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mc:AlternateContent xmlns:mc="http://schemas.openxmlformats.org/markup-compatibility/2006">
    <mc:Choice Requires="x15">
      <x15ac:absPath xmlns:x15ac="http://schemas.microsoft.com/office/spreadsheetml/2010/11/ac" url="C:\Users\anca.chibzuloiu\Desktop\"/>
    </mc:Choice>
  </mc:AlternateContent>
  <xr:revisionPtr revIDLastSave="0" documentId="13_ncr:8001_{114AA0FC-C657-4DBA-846D-8623C3BF95A8}" xr6:coauthVersionLast="47" xr6:coauthVersionMax="47" xr10:uidLastSave="{00000000-0000-0000-0000-000000000000}"/>
  <workbookProtection workbookPassword="CA39" lockStructure="1"/>
  <bookViews>
    <workbookView xWindow="-120" yWindow="-120" windowWidth="29040" windowHeight="15840" tabRatio="155" xr2:uid="{00000000-000D-0000-FFFF-FFFF00000000}"/>
  </bookViews>
  <sheets>
    <sheet name="Sheet1" sheetId="1" r:id="rId1"/>
  </sheets>
  <definedNames>
    <definedName name="_xlnm._FilterDatabase" localSheetId="0" hidden="1">Sheet1!$1:$588</definedName>
    <definedName name="_Hlk1048507" localSheetId="0">Sheet1!$H$487</definedName>
    <definedName name="_Hlk511228962">Sheet1!#REF!</definedName>
    <definedName name="_Hlk511229340">Sheet1!#REF!</definedName>
    <definedName name="_Hlk516490095" localSheetId="0">Sheet1!$H$452</definedName>
    <definedName name="_Hlk526934001" localSheetId="0">Sheet1!$F$137</definedName>
    <definedName name="_xlnm.Print_Area" localSheetId="0">Sheet1!$A$1:$AJ$588</definedName>
    <definedName name="Z_0585DD1B_89D4_4278_953B_FA6D57DCCE82_.wvu.FilterData" localSheetId="0" hidden="1">Sheet1!$A$4:$AJ$588</definedName>
    <definedName name="Z_0663978D_0EB1_40D5_9B2D_AA0E4175AE10_.wvu.FilterData" localSheetId="0" hidden="1">Sheet1!$C$1:$C$588</definedName>
    <definedName name="Z_0781B6C2_B440_4971_9809_BD16245A70FD_.wvu.FilterData" localSheetId="0" hidden="1">Sheet1!$A$1:$AJ$287</definedName>
    <definedName name="Z_0781B6C2_B440_4971_9809_BD16245A70FD_.wvu.PrintArea" localSheetId="0" hidden="1">Sheet1!$A$1:$AJ$588</definedName>
    <definedName name="Z_0948D5BA_8172_4FA8_BECB_CED738B20AF4_.wvu.FilterData" localSheetId="0" hidden="1">Sheet1!$A$4:$DE$588</definedName>
    <definedName name="Z_0A043D96_6DF8_4E40_9D1E_818A39BAFD81_.wvu.FilterData" localSheetId="0" hidden="1">Sheet1!$A$4:$AJ$588</definedName>
    <definedName name="Z_0BFEEF2C_C946_41CF_AC23_6881BEA2051C_.wvu.FilterData" localSheetId="0" hidden="1">Sheet1!$A$4:$AJ$588</definedName>
    <definedName name="Z_0D4E932E_8E85_4001_9304_AAB4DBAD8A65_.wvu.FilterData" localSheetId="0" hidden="1">Sheet1!$A$4:$DE$468</definedName>
    <definedName name="Z_122B486E_8EE5_41FD_B958_74B116FA5D23_.wvu.FilterData" localSheetId="0" hidden="1">Sheet1!$A$1:$DE$468</definedName>
    <definedName name="Z_1278E668_633E_4AB5_BA11_904BA4B2301D_.wvu.FilterData" localSheetId="0" hidden="1">Sheet1!$A$1:$DE$468</definedName>
    <definedName name="Z_136D924E_DA88_48BB_818E_2A0E48CDE443_.wvu.FilterData" localSheetId="0" hidden="1">Sheet1!$A$4:$DE$588</definedName>
    <definedName name="Z_13FEC0EB_A6AC_4EB9_BE0B_BA91B5951E65_.wvu.FilterData" localSheetId="0" hidden="1">Sheet1!$A$4:$DE$588</definedName>
    <definedName name="Z_15F03B40_FCDD_463A_AE42_63F6121ACBED_.wvu.FilterData" localSheetId="0" hidden="1">Sheet1!$C$1:$C$588</definedName>
    <definedName name="Z_16C0F8F6_73C2_446B_943F_E6331B612307_.wvu.FilterData" localSheetId="0" hidden="1">Sheet1!$A$1:$DE$516</definedName>
    <definedName name="Z_17F4A6A1_469E_46FB_A3A0_041FC3712E3B_.wvu.FilterData" localSheetId="0" hidden="1">Sheet1!$A$4:$AJ$588</definedName>
    <definedName name="Z_19FC3531_0DA5_4817_A3AD_017115B33D3C_.wvu.FilterData" localSheetId="0" hidden="1">Sheet1!#REF!</definedName>
    <definedName name="Z_1AA32817_7AF7_4644_968C_56F1D5DDD6B5_.wvu.FilterData" localSheetId="0" hidden="1">Sheet1!$A$1:$DE$588</definedName>
    <definedName name="Z_1CC91F84_AEF4_4042_AB5F_6C7D03A1F066_.wvu.FilterData" localSheetId="0" hidden="1">Sheet1!$4:$588</definedName>
    <definedName name="Z_1CC91F84_AEF4_4042_AB5F_6C7D03A1F066_.wvu.PrintArea" localSheetId="0" hidden="1">Sheet1!$A$1:$AJ$588</definedName>
    <definedName name="Z_1D1B5983_ECDA_4FB5_B5BD_5FCDD6AA2303_.wvu.Cols" localSheetId="0" hidden="1">Sheet1!$D:$I</definedName>
    <definedName name="Z_1D1B5983_ECDA_4FB5_B5BD_5FCDD6AA2303_.wvu.FilterData" localSheetId="0" hidden="1">Sheet1!$A$1:$DE$605</definedName>
    <definedName name="Z_1D1B5983_ECDA_4FB5_B5BD_5FCDD6AA2303_.wvu.PrintArea" localSheetId="0" hidden="1">Sheet1!$A$1:$AJ$588</definedName>
    <definedName name="Z_22D79F88_81A2_49FE_923A_13405540BBB2_.wvu.FilterData" localSheetId="0" hidden="1">Sheet1!$A$4:$DE$468</definedName>
    <definedName name="Z_2355B1FA_E7E3_44CD_A529_24812589AA28_.wvu.FilterData" localSheetId="0" hidden="1">Sheet1!$A$4:$AJ$588</definedName>
    <definedName name="Z_2416AE9F_2D01_4174_B7DC_0545588F9C27_.wvu.FilterData" localSheetId="0" hidden="1">Sheet1!$A$1:$AJ$588</definedName>
    <definedName name="Z_250231BB_5F02_4B46_B1CA_B904A9B40BA2_.wvu.FilterData" localSheetId="0" hidden="1">Sheet1!$A$3:$AJ$588</definedName>
    <definedName name="Z_25084D9D_9C92_4823_A653_D1AEC60737AD_.wvu.FilterData" localSheetId="0" hidden="1">Sheet1!$A$4:$DE$468</definedName>
    <definedName name="Z_2547C3D7_22F7_4CAF_8E48_C8F3425DB942_.wvu.FilterData" localSheetId="0" hidden="1">Sheet1!$A$4:$AJ$588</definedName>
    <definedName name="Z_280C391A_EEDA_43A4_BCD2_EE017A1C1AE2_.wvu.FilterData" localSheetId="0" hidden="1">Sheet1!$A$4:$DE$588</definedName>
    <definedName name="Z_29604E0D_C6E2_434A_B2B5_DCD40EFF623F_.wvu.FilterData" localSheetId="0" hidden="1">Sheet1!$A$4:$DE$588</definedName>
    <definedName name="Z_297CB86E_F816_4839_BE0B_A075145D0E50_.wvu.FilterData" localSheetId="0" hidden="1">Sheet1!$A$1:$DE$468</definedName>
    <definedName name="Z_2A26C971_CCE6_49C7_89EC_0B2699E5DD98_.wvu.FilterData" localSheetId="0" hidden="1">Sheet1!$A$4:$AJ$588</definedName>
    <definedName name="Z_2A657C48_B241_4C19_9A74_98ECFC665F2A_.wvu.FilterData" localSheetId="0" hidden="1">Sheet1!$A$4:$DE$588</definedName>
    <definedName name="Z_2C296388_EDB5_4F1F_B0F4_90EC07CCD947_.wvu.FilterData" localSheetId="0" hidden="1">Sheet1!$A$1:$DE$588</definedName>
    <definedName name="Z_2C296388_EDB5_4F1F_B0F4_90EC07CCD947_.wvu.PrintArea" localSheetId="0" hidden="1">Sheet1!$A$1:$AJ$588</definedName>
    <definedName name="Z_2E491347_3C24_4F24_80DE_5DC574AA2438_.wvu.FilterData" localSheetId="0" hidden="1">Sheet1!$A$4:$AJ$588</definedName>
    <definedName name="Z_3051DDA2_2F87_4403_87CC_F6C9C4F5B52F_.wvu.FilterData" localSheetId="0" hidden="1">Sheet1!$A$4:$DE$588</definedName>
    <definedName name="Z_305BEEB9_C99E_4E52_A4AB_56EA1595A366_.wvu.FilterData" localSheetId="0" hidden="1">Sheet1!$A$4:$AJ$588</definedName>
    <definedName name="Z_31567BC0_5366_4F93_AE32_123F006BC234_.wvu.FilterData" localSheetId="0" hidden="1">Sheet1!$A$4:$DE$588</definedName>
    <definedName name="Z_324E461A_DC75_4814_87BA_41F170D0ED0B_.wvu.FilterData" localSheetId="0" hidden="1">Sheet1!$A$4:$AJ$588</definedName>
    <definedName name="Z_33E976A7_3353_44E9_8131_0E68AAF18A21_.wvu.FilterData" localSheetId="0" hidden="1">Sheet1!$A$1:$AJ$588</definedName>
    <definedName name="Z_340EDCDE_FAE5_4319_AEAD_F8264DCA5D27_.wvu.FilterData" localSheetId="0" hidden="1">Sheet1!$A$4:$DE$588</definedName>
    <definedName name="Z_34BB42D3_88F0_437E_91ED_3E3C369B9525_.wvu.FilterData" localSheetId="0" hidden="1">Sheet1!$A$4:$AJ$588</definedName>
    <definedName name="Z_3656F679_79F6_439C_98F9_E05AFC52CE40_.wvu.FilterData" localSheetId="0" hidden="1">Sheet1!$A$4:$DE$588</definedName>
    <definedName name="Z_36624B2D_80F9_4F79_AC4A_B3547C36F23F_.wvu.FilterData" localSheetId="0" hidden="1">Sheet1!$A$4:$DE$588</definedName>
    <definedName name="Z_36624B2D_80F9_4F79_AC4A_B3547C36F23F_.wvu.PrintArea" localSheetId="0" hidden="1">Sheet1!$A$1:$AJ$588</definedName>
    <definedName name="Z_377DA8E3_6D61_4CAB_8EDD_2C41FF81A19E_.wvu.FilterData" localSheetId="0" hidden="1">Sheet1!$A$4:$AJ$588</definedName>
    <definedName name="Z_38C68E87_361F_434A_8BE4_BA2AF4CB3868_.wvu.FilterData" localSheetId="0" hidden="1">Sheet1!$A$4:$AJ$588</definedName>
    <definedName name="Z_3A00607E_664E_4ED3_AB65_1F25AC8DBC86_.wvu.FilterData" localSheetId="0" hidden="1">Sheet1!$C$1:$C$588</definedName>
    <definedName name="Z_3A3E83F9_303A_4CDE_BDDB_A2D752554829_.wvu.FilterData" localSheetId="0" hidden="1">Sheet1!$A$4:$AJ$588</definedName>
    <definedName name="Z_3A5F5F2B_AEA1_437C_9251_4F0D15756423_.wvu.FilterData" localSheetId="0" hidden="1">Sheet1!$A$1:$AJ$588</definedName>
    <definedName name="Z_3AFE79CE_CE75_447D_8C73_1AE63A224CBA_.wvu.FilterData" localSheetId="0" hidden="1">Sheet1!$A$4:$AJ$588</definedName>
    <definedName name="Z_3AFE79CE_CE75_447D_8C73_1AE63A224CBA_.wvu.PrintArea" localSheetId="0" hidden="1">Sheet1!$A$1:$AJ$588</definedName>
    <definedName name="Z_3E15816F_2EBF_42BD_89BB_84C7827E4C28_.wvu.FilterData" localSheetId="0" hidden="1">Sheet1!$A$4:$AJ$588</definedName>
    <definedName name="Z_3E7AD119_0031_4735_857B_FBC0C47AB231_.wvu.FilterData" localSheetId="0" hidden="1">Sheet1!$A$4:$AJ$588</definedName>
    <definedName name="Z_3F70E84F_60E2_4042_91AA_EFB3B23DDDDF_.wvu.FilterData" localSheetId="0" hidden="1">Sheet1!$A$1:$DE$468</definedName>
    <definedName name="Z_406022D5_A780_4A99_8362_68428BA49313_.wvu.FilterData" localSheetId="0" hidden="1">Sheet1!$A$1:$AJ$98</definedName>
    <definedName name="Z_4179C3D9_D1C3_46CD_B643_627525757C5E_.wvu.FilterData" localSheetId="0" hidden="1">Sheet1!$A$1:$AJ$380</definedName>
    <definedName name="Z_417D6CD8_690F_495B_A03E_2A89D52B6CE8_.wvu.FilterData" localSheetId="0" hidden="1">Sheet1!$A$4:$AJ$588</definedName>
    <definedName name="Z_41AA4E5D_9625_4478_B720_2BD6AE34E699_.wvu.FilterData" localSheetId="0" hidden="1">Sheet1!$A$4:$AJ$588</definedName>
    <definedName name="Z_471339A8_E0FA_4CA1_8194_04936068CF02_.wvu.FilterData" localSheetId="0" hidden="1">Sheet1!$A$1:$AJ$588</definedName>
    <definedName name="Z_497C7126_2491_461C_AFC3_03C2E163F15C_.wvu.FilterData" localSheetId="0" hidden="1">Sheet1!$A$4:$DE$468</definedName>
    <definedName name="Z_4AAB8139_F2B6_43E5_8C9F_E607BD4F44E4_.wvu.FilterData" localSheetId="0" hidden="1">Sheet1!$A$1:$AJ$468</definedName>
    <definedName name="Z_4B17E318_54E7_429F_ADB9_77F4B7D2DC42_.wvu.FilterData" localSheetId="0" hidden="1">Sheet1!$A$4:$AJ$588</definedName>
    <definedName name="Z_4B676F92_6D7B_43D7_8EB6_33FF3E7F6B6A_.wvu.FilterData" localSheetId="0" hidden="1">Sheet1!$A$4:$AJ$588</definedName>
    <definedName name="Z_4B7976D2_7781_4E51_BDF6_6AB2114A11DF_.wvu.FilterData" localSheetId="0" hidden="1">Sheet1!$A$4:$DE$588</definedName>
    <definedName name="Z_4BA8C48D_4728_4875_A249_068862BEA31A_.wvu.FilterData" localSheetId="0" hidden="1">Sheet1!$A$1:$DE$588</definedName>
    <definedName name="Z_4C2A0B30_0070_415E_A110_A9BCC2779710_.wvu.FilterData" localSheetId="0" hidden="1">Sheet1!$C$1:$C$588</definedName>
    <definedName name="Z_4FDB167B_D56E_45D4_B120_847D0871AA6B_.wvu.FilterData" localSheetId="0" hidden="1">Sheet1!$A$4:$AJ$588</definedName>
    <definedName name="Z_50FD82E6_2F75_4C53_A6D0_12482428C160_.wvu.FilterData" localSheetId="0" hidden="1">Sheet1!$A$1:$AJ$588</definedName>
    <definedName name="Z_529F67B3_DE0D_4FDC_BFEA_8F16107265EB_.wvu.FilterData" localSheetId="0" hidden="1">Sheet1!$A$4:$AJ$588</definedName>
    <definedName name="Z_53ED3D47_B2C0_43A1_9A1E_F030D529F74C_.wvu.FilterData" localSheetId="0" hidden="1">Sheet1!$A$4:$AJ$588</definedName>
    <definedName name="Z_53ED3D47_B2C0_43A1_9A1E_F030D529F74C_.wvu.PrintArea" localSheetId="0" hidden="1">Sheet1!$A$1:$AJ$588</definedName>
    <definedName name="Z_5789AB6A_B04B_4240_920E_89274E9F5C82_.wvu.FilterData" localSheetId="0" hidden="1">Sheet1!$A$4:$DE$384</definedName>
    <definedName name="Z_59EBF1CB_AF85_469A_B1D0_E57CB0203158_.wvu.FilterData" localSheetId="0" hidden="1">Sheet1!$C$1:$C$588</definedName>
    <definedName name="Z_5A66C3D0_FC57_4AA7_B0C6_C5E9A7DE2A79_.wvu.FilterData" localSheetId="0" hidden="1">Sheet1!$A$4:$AJ$588</definedName>
    <definedName name="Z_5AAA4DFE_88B1_4674_95ED_5FCD7A50BC22_.wvu.FilterData" localSheetId="0" hidden="1">Sheet1!$A$4:$DE$588</definedName>
    <definedName name="Z_5AAA4DFE_88B1_4674_95ED_5FCD7A50BC22_.wvu.PrintArea" localSheetId="0" hidden="1">Sheet1!$A$1:$AJ$588</definedName>
    <definedName name="Z_5E661ABE_E06E_455E_A661_DDD1907219D0_.wvu.FilterData" localSheetId="0" hidden="1">Sheet1!$A$1:$AJ$468</definedName>
    <definedName name="Z_6408B19F_539D_4190_A77D_CCE77E163803_.wvu.FilterData" localSheetId="0" hidden="1">Sheet1!$A$1:$DE$468</definedName>
    <definedName name="Z_65B035E3_87FA_46C5_996E_864F2C8D0EBC_.wvu.Cols" localSheetId="0" hidden="1">Sheet1!$G:$M</definedName>
    <definedName name="Z_65B035E3_87FA_46C5_996E_864F2C8D0EBC_.wvu.FilterData" localSheetId="0" hidden="1">Sheet1!$A$4:$DE$588</definedName>
    <definedName name="Z_65B035E3_87FA_46C5_996E_864F2C8D0EBC_.wvu.PrintArea" localSheetId="0" hidden="1">Sheet1!$A$1:$AJ$588</definedName>
    <definedName name="Z_65C35D6D_934F_4431_BA92_90255FC17BA4_.wvu.FilterData" localSheetId="0" hidden="1">Sheet1!$A$1:$AJ$588</definedName>
    <definedName name="Z_65C35D6D_934F_4431_BA92_90255FC17BA4_.wvu.PrintArea" localSheetId="0" hidden="1">Sheet1!$A$1:$AJ$588</definedName>
    <definedName name="Z_68CBE436_F3A0_4F45_B6A3_D7A57411F3B9_.wvu.FilterData" localSheetId="0" hidden="1">Sheet1!$A$4:$AJ$588</definedName>
    <definedName name="Z_6A81BAE2_3ABE_4D5F_A832_52D0E2F517F4_.wvu.FilterData" localSheetId="0" hidden="1">Sheet1!$A$1:$AJ$588</definedName>
    <definedName name="Z_6ABCD3C6_C29E_4027_B252_6CC3A2739142_.wvu.FilterData" localSheetId="0" hidden="1">Sheet1!$A$4:$AJ$588</definedName>
    <definedName name="Z_6B2EC822_DCDB_4711_A946_1038FC40FACE_.wvu.FilterData" localSheetId="0" hidden="1">Sheet1!$A$1:$DE$468</definedName>
    <definedName name="Z_6C96816B_17C2_4EA9_846E_8E6B5AD26B6D_.wvu.FilterData" localSheetId="0" hidden="1">Sheet1!#REF!</definedName>
    <definedName name="Z_6CE52079_5576_45A5_9A9F_9CA970D849EF_.wvu.FilterData" localSheetId="0" hidden="1">Sheet1!$A$4:$AJ$588</definedName>
    <definedName name="Z_6D5D71F0_C25E_4A20_AAD9_13707D9E0AED_.wvu.FilterData" localSheetId="0" hidden="1">Sheet1!$A$4:$DE$588</definedName>
    <definedName name="Z_6D5D71F0_C25E_4A20_AAD9_13707D9E0AED_.wvu.PrintArea" localSheetId="0" hidden="1">Sheet1!$A$1:$AJ$588</definedName>
    <definedName name="Z_7110BCB5_C242_4006_B056_E3ADAD3578E7_.wvu.FilterData" localSheetId="0" hidden="1">Sheet1!$A$4:$DE$588</definedName>
    <definedName name="Z_747340EB_2B31_46D2_ACDE_4FA91E2B50F6_.wvu.FilterData" localSheetId="0" hidden="1">Sheet1!$A$1:$DE$588</definedName>
    <definedName name="Z_747340EB_2B31_46D2_ACDE_4FA91E2B50F6_.wvu.PrintArea" localSheetId="0" hidden="1">Sheet1!$A$1:$AJ$588</definedName>
    <definedName name="Z_75FC0278_6C09_4E89_A68B_B06C003CBF69_.wvu.FilterData" localSheetId="0" hidden="1">Sheet1!$A$1:$AJ$588</definedName>
    <definedName name="Z_799A65B0_D762_4257_9EEB_02578FD2A697_.wvu.FilterData" localSheetId="0" hidden="1">Sheet1!$C$1:$C$588</definedName>
    <definedName name="Z_7A12EF56_0E17_493A_8E1E_6DFC6553C116_.wvu.FilterData" localSheetId="0" hidden="1">Sheet1!$A$4:$DE$468</definedName>
    <definedName name="Z_7A17A8CA_AF99_4D96_BCEC_898141635826_.wvu.FilterData" localSheetId="0" hidden="1">Sheet1!$A$4:$AJ$588</definedName>
    <definedName name="Z_7C1B4D6D_D666_48DD_AB17_E00791B6F0B6_.wvu.FilterData" localSheetId="0" hidden="1">Sheet1!$4:$588</definedName>
    <definedName name="Z_7C1B4D6D_D666_48DD_AB17_E00791B6F0B6_.wvu.PrintArea" localSheetId="0" hidden="1">Sheet1!$A$1:$AJ$588</definedName>
    <definedName name="Z_7C389A6C_C379_45EF_8779_FEC15F27C7E7_.wvu.FilterData" localSheetId="0" hidden="1">Sheet1!$C$1:$C$588</definedName>
    <definedName name="Z_7C3B80B0_9566_4DDC_9DF7_3BBB2DE77950_.wvu.FilterData" localSheetId="0" hidden="1">Sheet1!$A$1:$AJ$588</definedName>
    <definedName name="Z_7D2F4374_D571_49E4_B659_129D2AFDC43C_.wvu.FilterData" localSheetId="0" hidden="1">Sheet1!$A$4:$AJ$588</definedName>
    <definedName name="Z_7DFDB102_AB8E_41EB_81A4_CD36F3B45121_.wvu.FilterData" localSheetId="0" hidden="1">Sheet1!$A$4:$DE$588</definedName>
    <definedName name="Z_83085181_C77C_4D05_8C8A_9B8FFC5A1DD7_.wvu.FilterData" localSheetId="0" hidden="1">Sheet1!$A$4:$AJ$588</definedName>
    <definedName name="Z_831F7439_6937_483F_B601_184FEF5CECFD_.wvu.FilterData" localSheetId="0" hidden="1">Sheet1!$A$4:$AJ$588</definedName>
    <definedName name="Z_84FB199A_D56E_4FDD_AC4A_70CE86CD87BC_.wvu.FilterData" localSheetId="0" hidden="1">Sheet1!$A$1:$AK$588</definedName>
    <definedName name="Z_84FB199A_D56E_4FDD_AC4A_70CE86CD87BC_.wvu.PrintArea" localSheetId="0" hidden="1">Sheet1!$A$1:$AJ$588</definedName>
    <definedName name="Z_85F3C892_C52D_490E_9A31_2EBB79CFE6B3_.wvu.FilterData" localSheetId="0" hidden="1">Sheet1!$A$4:$DE$588</definedName>
    <definedName name="Z_87F9ACD0_3200_450C_B310_DAAD5FC85307_.wvu.FilterData" localSheetId="0" hidden="1">Sheet1!$A$4:$AJ$588</definedName>
    <definedName name="Z_89EE8E7D_C811_4C16_975A_830983580DAD_.wvu.FilterData" localSheetId="0" hidden="1">Sheet1!$A$4:$DE$588</definedName>
    <definedName name="Z_89F20599_320E_4C2A_9159_8E9F2F24F61C_.wvu.FilterData" localSheetId="0" hidden="1">Sheet1!$A$4:$AJ$588</definedName>
    <definedName name="Z_8A10B14C_0158_4D10_BD20_3EA3BE79AE5C_.wvu.FilterData" localSheetId="0" hidden="1">Sheet1!$A$1:$AJ$588</definedName>
    <definedName name="Z_8AA945B4_D724_4D85_9940_66A1F18CFF54_.wvu.FilterData" localSheetId="0" hidden="1">Sheet1!$A$1:$AJ$588</definedName>
    <definedName name="Z_8EDB8BF9_8BBB_4EEE_B4F0_C5928D0746DD_.wvu.FilterData" localSheetId="0" hidden="1">Sheet1!$A$1:$DE$588</definedName>
    <definedName name="Z_901F9774_8BE7_424D_87C2_1026F3FA2E93_.wvu.FilterData" localSheetId="0" hidden="1">Sheet1!$1:$605</definedName>
    <definedName name="Z_901F9774_8BE7_424D_87C2_1026F3FA2E93_.wvu.PrintArea" localSheetId="0" hidden="1">Sheet1!$A$1:$AJ$588</definedName>
    <definedName name="Z_902D3CAF_0577_4A3F_A86A_C01FD8CA4695_.wvu.FilterData" localSheetId="0" hidden="1">Sheet1!$A$4:$AJ$588</definedName>
    <definedName name="Z_9048650B_365B_48D5_8FC2_A911C6E66865_.wvu.FilterData" localSheetId="0" hidden="1">Sheet1!$A$1:$AJ$588</definedName>
    <definedName name="Z_905D93EA_5662_45AB_8995_A9908B3E5D52_.wvu.FilterData" localSheetId="0" hidden="1">Sheet1!$B$1:$B$605</definedName>
    <definedName name="Z_905D93EA_5662_45AB_8995_A9908B3E5D52_.wvu.PrintArea" localSheetId="0" hidden="1">Sheet1!$A$1:$AJ$588</definedName>
    <definedName name="Z_90D527B8_FE15_48EB_8A8E_6DB0EBF25D81_.wvu.FilterData" localSheetId="0" hidden="1">Sheet1!$A$1:$AJ$588</definedName>
    <definedName name="Z_91199DA1_59E7_4345_8CB7_A1085C901326_.wvu.FilterData" localSheetId="0" hidden="1">Sheet1!$A$4:$AJ$588</definedName>
    <definedName name="Z_91251A9B_6CF6_49E6_857D_BA6C728D7C53_.wvu.FilterData" localSheetId="0" hidden="1">Sheet1!$A$1:$DE$468</definedName>
    <definedName name="Z_9220B091_2E17_41A5_97CA_6AF44BB60369_.wvu.FilterData" localSheetId="0" hidden="1">Sheet1!$A$4:$DE$588</definedName>
    <definedName name="Z_923E7374_9C36_4380_9E0A_313EA2F408F0_.wvu.FilterData" localSheetId="0" hidden="1">Sheet1!$A$4:$AJ$588</definedName>
    <definedName name="Z_9552AAE6_9279_4387_9199_64D0E8A50A87_.wvu.FilterData" localSheetId="0" hidden="1">Sheet1!$A$4:$DE$588</definedName>
    <definedName name="Z_97F6C5A1_2596_4037_A854_1D6AE8A1071E_.wvu.FilterData" localSheetId="0" hidden="1">Sheet1!$A$4:$AJ$588</definedName>
    <definedName name="Z_98856761_4C70_4981_B8AD_C4287D704600_.wvu.FilterData" localSheetId="0" hidden="1">Sheet1!$A$1:$DE$588</definedName>
    <definedName name="Z_9980B309_0131_4577_BF29_212714399FDF_.wvu.FilterData" localSheetId="0" hidden="1">Sheet1!$A$1:$AJ$588</definedName>
    <definedName name="Z_9980B309_0131_4577_BF29_212714399FDF_.wvu.PrintArea" localSheetId="0" hidden="1">Sheet1!$A$1:$AJ$588</definedName>
    <definedName name="Z_99B0F6B4_A00E_4E43_9763_E6AAA385A3A3_.wvu.FilterData" localSheetId="0" hidden="1">Sheet1!$A$4:$AJ$588</definedName>
    <definedName name="Z_9A73B541_5E5D_49AE_9E83_D476C83586E3_.wvu.FilterData" localSheetId="0" hidden="1">Sheet1!$A$4:$AJ$588</definedName>
    <definedName name="Z_9DBBEDFC_B195_46CE_A9AF_AB019B7FD545_.wvu.FilterData" localSheetId="0" hidden="1">Sheet1!$A$4:$DE$588</definedName>
    <definedName name="Z_9DE067B2_E801_456D_B5D0_CD5646CA5948_.wvu.FilterData" localSheetId="0" hidden="1">Sheet1!$A$1:$DE$468</definedName>
    <definedName name="Z_9EA5E3FA_46F1_4729_828C_4A08518018C1_.wvu.FilterData" localSheetId="0" hidden="1">Sheet1!$A$1:$AJ$468</definedName>
    <definedName name="Z_9EA5E3FA_46F1_4729_828C_4A08518018C1_.wvu.PrintArea" localSheetId="0" hidden="1">Sheet1!$A$1:$AJ$588</definedName>
    <definedName name="Z_9F268523_731B_48FE_86AA_1A6382332A83_.wvu.FilterData" localSheetId="0" hidden="1">Sheet1!$A$4:$AJ$588</definedName>
    <definedName name="Z_A093D1FA_1747_4946_A02E_7D721604BB07_.wvu.FilterData" localSheetId="0" hidden="1">Sheet1!$B$1:$B$588</definedName>
    <definedName name="Z_A3134A53_5204_4FFF_BA84_3528D3179C0C_.wvu.FilterData" localSheetId="0" hidden="1">Sheet1!$A$3:$AJ$380</definedName>
    <definedName name="Z_A5B1481C_EF26_486A_984F_85CDDC2FD94F_.wvu.FilterData" localSheetId="0" hidden="1">Sheet1!$A$4:$DE$588</definedName>
    <definedName name="Z_A5B1481C_EF26_486A_984F_85CDDC2FD94F_.wvu.PrintArea" localSheetId="0" hidden="1">Sheet1!$A$1:$AJ$588</definedName>
    <definedName name="Z_A5EFE636_E984_4BB3_BEFD_877FE7A4960F_.wvu.FilterData" localSheetId="0" hidden="1">Sheet1!$A$4:$AJ$588</definedName>
    <definedName name="Z_A87F3E0E_3A8E_4B82_8170_33752259B7DB_.wvu.FilterData" localSheetId="0" hidden="1">Sheet1!$A$4:$AJ$588</definedName>
    <definedName name="Z_A87F3E0E_3A8E_4B82_8170_33752259B7DB_.wvu.PrintArea" localSheetId="0" hidden="1">Sheet1!$A$1:$AJ$588</definedName>
    <definedName name="Z_A9B3B58E_F12B_4916_890B_7D88AA745B81_.wvu.FilterData" localSheetId="0" hidden="1">Sheet1!$A$1:$DE$588</definedName>
    <definedName name="Z_A9C8B68B_7CCD_4DC7_92B4_0CF91200625C_.wvu.FilterData" localSheetId="0" hidden="1">Sheet1!$A$1:$AK$44</definedName>
    <definedName name="Z_AD1D8E66_18A9_4CB7_BBE4_02F7E757257F_.wvu.FilterData" localSheetId="0" hidden="1">Sheet1!$A$1:$DE$588</definedName>
    <definedName name="Z_ADCF07FA_E31E_45AC_A5B3_F3B126787A65_.wvu.FilterData" localSheetId="0" hidden="1">Sheet1!$A$1:$AK$515</definedName>
    <definedName name="Z_AE58BCBC_9F06_4E6C_A28B_2F5626DD7C1B_.wvu.FilterData" localSheetId="0" hidden="1">Sheet1!$A$4:$AJ$588</definedName>
    <definedName name="Z_AE8F3F1B_FDCB_45A5_9CC8_53B4E3A0445E_.wvu.FilterData" localSheetId="0" hidden="1">Sheet1!$A$1:$DE$468</definedName>
    <definedName name="Z_AECBC9F6_D9DE_4043_9C2F_160F7ECDAD3D_.wvu.FilterData" localSheetId="0" hidden="1">Sheet1!$A$4:$AJ$588</definedName>
    <definedName name="Z_B31B819C_CFEB_4B80_9AED_AC603C39BE78_.wvu.FilterData" localSheetId="0" hidden="1">Sheet1!$A$4:$DE$588</definedName>
    <definedName name="Z_B407928D_3938_4D05_B2B2_40B4F21D0436_.wvu.FilterData" localSheetId="0" hidden="1">Sheet1!#REF!</definedName>
    <definedName name="Z_B4445EFA_1A45_4C3B_9EA1_0E0790FECD3E_.wvu.FilterData" localSheetId="0" hidden="1">Sheet1!$A$4:$AJ$588</definedName>
    <definedName name="Z_B5BED753_4D8C_498E_8AE1_A08F7C0956F7_.wvu.FilterData" localSheetId="0" hidden="1">Sheet1!$A$4:$DE$588</definedName>
    <definedName name="Z_B5E00E2B_FB21_48A9_A2B7_06EAAF1DCD1F_.wvu.FilterData" localSheetId="0" hidden="1">Sheet1!$A$1:$AJ$588</definedName>
    <definedName name="Z_B86F2F61_43FD_4B29_80BE_D157A760919E_.wvu.FilterData" localSheetId="0" hidden="1">Sheet1!$A$4:$AJ$588</definedName>
    <definedName name="Z_BB5C630D_1317_4843_984F_E431986514A4_.wvu.FilterData" localSheetId="0" hidden="1">Sheet1!$A$4:$AJ$588</definedName>
    <definedName name="Z_BBF2EF6C_D4AD_46E1_803F_582F4D45F852_.wvu.FilterData" localSheetId="0" hidden="1">Sheet1!$A$1:$DE$588</definedName>
    <definedName name="Z_BDA3804A_96FA_4D9F_AFED_695788A754E9_.wvu.FilterData" localSheetId="0" hidden="1">Sheet1!$A$4:$DE$384</definedName>
    <definedName name="Z_C10084AF_B692_48FA_85A1_6DA070DB4BC7_.wvu.FilterData" localSheetId="0" hidden="1">Sheet1!$A$1:$AJ$287</definedName>
    <definedName name="Z_C19D7685_5857_48C6_97CD_2F755D2B2DF3_.wvu.FilterData" localSheetId="0" hidden="1">Sheet1!$A$1:$AJ$588</definedName>
    <definedName name="Z_C3502361_AD2C_4705_878B_D12169ED60B1_.wvu.FilterData" localSheetId="0" hidden="1">Sheet1!$A$4:$AJ$588</definedName>
    <definedName name="Z_C3502361_AD2C_4705_878B_D12169ED60B1_.wvu.PrintArea" localSheetId="0" hidden="1">Sheet1!$A$1:$AJ$588</definedName>
    <definedName name="Z_C408A2F1_296F_4EAD_B15B_336D73846FDD_.wvu.FilterData" localSheetId="0" hidden="1">Sheet1!$A$1:$AJ$588</definedName>
    <definedName name="Z_C408A2F1_296F_4EAD_B15B_336D73846FDD_.wvu.PrintArea" localSheetId="0" hidden="1">Sheet1!$A$1:$AJ$588</definedName>
    <definedName name="Z_C4E44235_F714_4BCE_B2B0_F4813D3BDF91_.wvu.FilterData" localSheetId="0" hidden="1">Sheet1!$A$4:$AJ$588</definedName>
    <definedName name="Z_C617B00B_5C1E_453A_BF77_BE61E91ACD97_.wvu.FilterData" localSheetId="0" hidden="1">Sheet1!$A$1:$DE$605</definedName>
    <definedName name="Z_C617B00B_5C1E_453A_BF77_BE61E91ACD97_.wvu.PrintArea" localSheetId="0" hidden="1">Sheet1!$A$1:$AJ$588</definedName>
    <definedName name="Z_C71F80D5_B6C1_4ED9_B18D_D719D69F5A47_.wvu.FilterData" localSheetId="0" hidden="1">Sheet1!$A$4:$AJ$588</definedName>
    <definedName name="Z_C90ECED7_D145_417E_BB55_4FC7FD4BF46C_.wvu.FilterData" localSheetId="0" hidden="1">Sheet1!$A$1:$DE$468</definedName>
    <definedName name="Z_CAB79FAE_AA32_4D62_A794_A6DB6513D801_.wvu.FilterData" localSheetId="0" hidden="1">Sheet1!$A$4:$AJ$588</definedName>
    <definedName name="Z_CC4BDE8D_BA98_4771_AE81_02F3DF26285D_.wvu.FilterData" localSheetId="0" hidden="1">Sheet1!$A$1:$AJ$588</definedName>
    <definedName name="Z_CC51448C_22F6_4583_82CD_2835AD1A82D7_.wvu.FilterData" localSheetId="0" hidden="1">Sheet1!$A$1:$AJ$380</definedName>
    <definedName name="Z_CEFAC6F5_4048_4FB5_8E88_A602B5B48691_.wvu.FilterData" localSheetId="0" hidden="1">Sheet1!$A$1:$AJ$98</definedName>
    <definedName name="Z_D14C8FFA_66C9_4AD5_90D4_6B2987347EA7_.wvu.FilterData" localSheetId="0" hidden="1">Sheet1!$A$1:$AJ$98</definedName>
    <definedName name="Z_D1981FDB_7063_4FCF_8DD5_A549E616E6FF_.wvu.FilterData" localSheetId="0" hidden="1">Sheet1!$A$4:$DE$588</definedName>
    <definedName name="Z_D365E121_F95E_415A_8CA0_9EA7ECCC60F5_.wvu.FilterData" localSheetId="0" hidden="1">Sheet1!$A$4:$AJ$588</definedName>
    <definedName name="Z_D3AEB135_5C7C_42C0_A07A_78B57DEB3E5D_.wvu.FilterData" localSheetId="0" hidden="1">Sheet1!$A$1:$AJ$588</definedName>
    <definedName name="Z_D56F5ED6_74F2_4AA3_9A98_EE5750FE63AF_.wvu.FilterData" localSheetId="0" hidden="1">Sheet1!$A$4:$DE$588</definedName>
    <definedName name="Z_D6684B8B_988F_4178_873C_47E3AB7327D0_.wvu.FilterData" localSheetId="0" hidden="1">Sheet1!$A$1:$AJ$588</definedName>
    <definedName name="Z_D802EE0F_98B9_4410_B31B_4ACC0EC9C9BC_.wvu.FilterData" localSheetId="0" hidden="1">Sheet1!$A$4:$AJ$588</definedName>
    <definedName name="Z_D9F6F366_DF3A_42DA_BFCE_91EC88AF7059_.wvu.FilterData" localSheetId="0" hidden="1">Sheet1!$A$4:$DE$588</definedName>
    <definedName name="Z_DA7616F9_5A5C_4D2A_B33C_B1EF83B6751E_.wvu.FilterData" localSheetId="0" hidden="1">Sheet1!$4:$588</definedName>
    <definedName name="Z_DAD27C7B_8B8A_46CB_98B5_59B1D1EFC319_.wvu.FilterData" localSheetId="0" hidden="1">Sheet1!$A$4:$DE$588</definedName>
    <definedName name="Z_DB41C7D7_14F0_4834_A7BD_0F1115A89C8E_.wvu.FilterData" localSheetId="0" hidden="1">Sheet1!$A$4:$DE$588</definedName>
    <definedName name="Z_DB43929D_F4B7_43FF_975F_960476D189E8_.wvu.FilterData" localSheetId="0" hidden="1">Sheet1!$A$4:$AJ$588</definedName>
    <definedName name="Z_DB51BB9F_5710_40B0_80E7_39B059BFD11D_.wvu.FilterData" localSheetId="0" hidden="1">Sheet1!$A$1:$DE$588</definedName>
    <definedName name="Z_DB51BB9F_5710_40B0_80E7_39B059BFD11D_.wvu.PrintArea" localSheetId="0" hidden="1">Sheet1!$A$1:$AJ$588</definedName>
    <definedName name="Z_DD7033C6_3EA7_4E73_ABEA_4285CD1957EA_.wvu.FilterData" localSheetId="0" hidden="1">Sheet1!$A$4:$AJ$588</definedName>
    <definedName name="Z_DD93CA86_AFD6_4C47_828D_70472BFCD288_.wvu.FilterData" localSheetId="0" hidden="1">Sheet1!$A$4:$AJ$588</definedName>
    <definedName name="Z_DE09B69C_7EEF_4060_8E06_F7DEC4B96D7E_.wvu.FilterData" localSheetId="0" hidden="1">Sheet1!$A$4:$AJ$588</definedName>
    <definedName name="Z_E388D237_97F4_4077_98EE_554EA7E7BDFD_.wvu.FilterData" localSheetId="0" hidden="1">Sheet1!$4:$588</definedName>
    <definedName name="Z_E53ADB69_E454_408C_8AAF_7FDA9FEDF6D0_.wvu.FilterData" localSheetId="0" hidden="1">Sheet1!$A$4:$DE$588</definedName>
    <definedName name="Z_E6455570_34BA_413B_82F6_378FA4CCBDF2_.wvu.FilterData" localSheetId="0" hidden="1">Sheet1!$A$4:$AJ$588</definedName>
    <definedName name="Z_E64C6006_DE37_44CA_8083_01C511E323D9_.wvu.FilterData" localSheetId="0" hidden="1">Sheet1!$A$3:$AJ$380</definedName>
    <definedName name="Z_E875C76B_3648_4C9A_A6B2_C3654837AAAC_.wvu.FilterData" localSheetId="0" hidden="1">Sheet1!$A$4:$DE$588</definedName>
    <definedName name="Z_EA64E7D7_BA48_4965_B650_778AE412FE0C_.wvu.FilterData" localSheetId="0" hidden="1">Sheet1!$A$1:$DE$588</definedName>
    <definedName name="Z_EA64E7D7_BA48_4965_B650_778AE412FE0C_.wvu.PrintArea" localSheetId="0" hidden="1">Sheet1!$A$1:$AJ$588</definedName>
    <definedName name="Z_EB0F2E6A_FA33_479E_9A47_8E3494FBB4DE_.wvu.FilterData" localSheetId="0" hidden="1">Sheet1!$A$4:$AJ$588</definedName>
    <definedName name="Z_EB0F2E6A_FA33_479E_9A47_8E3494FBB4DE_.wvu.PrintArea" localSheetId="0" hidden="1">Sheet1!$A$1:$AJ$588</definedName>
    <definedName name="Z_EB688584_325A_400C_AEB8_9170040049B0_.wvu.FilterData" localSheetId="0" hidden="1">Sheet1!$A$1:$AJ$588</definedName>
    <definedName name="Z_EBECCF5E_4B46_43F8_B11C_A2E3D2F626C0_.wvu.FilterData" localSheetId="0" hidden="1">Sheet1!$A$1:$AJ$588</definedName>
    <definedName name="Z_EC924560_B745_4DE3_A0D5_56BE5BB85747_.wvu.FilterData" localSheetId="0" hidden="1">Sheet1!$A$4:$AJ$588</definedName>
    <definedName name="Z_EEA37434_2D22_478B_B49F_C3E8CD4AC2E1_.wvu.FilterData" localSheetId="0" hidden="1">Sheet1!$A$4:$DE$588</definedName>
    <definedName name="Z_EEA37434_2D22_478B_B49F_C3E8CD4AC2E1_.wvu.PrintArea" localSheetId="0" hidden="1">Sheet1!$A$1:$AJ$588</definedName>
    <definedName name="Z_EF10298D_3F59_43F1_9A86_8C1CCA3B5D93_.wvu.FilterData" localSheetId="0" hidden="1">Sheet1!$A$4:$AJ$588</definedName>
    <definedName name="Z_EF10298D_3F59_43F1_9A86_8C1CCA3B5D93_.wvu.PrintArea" localSheetId="0" hidden="1">Sheet1!$A$1:$AJ$588</definedName>
    <definedName name="Z_EFE45138_A2B3_46EB_8A69_D9745D73FBF5_.wvu.FilterData" localSheetId="0" hidden="1">Sheet1!$A$4:$AJ$588</definedName>
    <definedName name="Z_F1FF8598_176D_475F_BFF2_4F9BDA2E6952_.wvu.FilterData" localSheetId="0" hidden="1">Sheet1!$A$1:$AJ$588</definedName>
    <definedName name="Z_F3A1A24F_74AB_497F_AC98_51305A547AD9_.wvu.FilterData" localSheetId="0" hidden="1">Sheet1!$A$4:$AJ$588</definedName>
    <definedName name="Z_F52D90D4_508D_43B6_8295_6D179E5F0FEB_.wvu.FilterData" localSheetId="0" hidden="1">Sheet1!$A$4:$AJ$588</definedName>
    <definedName name="Z_F87A8A59_D53A_435C_8A87_4EC432C7A064_.wvu.FilterData" localSheetId="0" hidden="1">Sheet1!$A$1:$DE$605</definedName>
    <definedName name="Z_F952A18B_3430_4F65_89F2_B7C17998F981_.wvu.FilterData" localSheetId="0" hidden="1">Sheet1!$A$4:$AJ$588</definedName>
    <definedName name="Z_FC0B350C_CDF7_408B_82D9_51AB34E1E398_.wvu.FilterData" localSheetId="0" hidden="1">Sheet1!$A$1:$AJ$588</definedName>
    <definedName name="Z_FCA57096_6DC5_4D66_B221_076BCE14BFDB_.wvu.FilterData" localSheetId="0" hidden="1">Sheet1!$A$4:$AJ$588</definedName>
    <definedName name="Z_FE50EAC0_52A5_4C33_B973_65E93D03D3EA_.wvu.FilterData" localSheetId="0" hidden="1">Sheet1!$A$1:$AJ$588</definedName>
    <definedName name="Z_FE50EAC0_52A5_4C33_B973_65E93D03D3EA_.wvu.PrintArea" localSheetId="0" hidden="1">Sheet1!$A$1:$AJ$588</definedName>
    <definedName name="Z_FFC44E67_8559_4D31_893D_BF5BA4229E04_.wvu.FilterData" localSheetId="0" hidden="1">Sheet1!$A$1:$AJ$468</definedName>
  </definedNames>
  <calcPr calcId="181029"/>
  <customWorkbookViews>
    <customWorkbookView name="vlad.pereteanu - Personal View" guid="{5AAA4DFE-88B1-4674-95ED-5FCD7A50BC22}" mergeInterval="0" personalView="1" maximized="1" xWindow="-9" yWindow="-9" windowWidth="1938" windowHeight="1048" tabRatio="154" activeSheetId="1"/>
    <customWorkbookView name="mysmis - Personal View" guid="{1CC91F84-AEF4-4042-AB5F-6C7D03A1F066}" mergeInterval="0" personalView="1" maximized="1" xWindow="1" yWindow="1" windowWidth="1627" windowHeight="622" tabRatio="154" activeSheetId="1"/>
    <customWorkbookView name="ovidiu.dumitrache - Personal View" guid="{FE50EAC0-52A5-4C33-B973-65E93D03D3EA}" mergeInterval="0" personalView="1" maximized="1" xWindow="-9" yWindow="-9" windowWidth="1938" windowHeight="1048" tabRatio="154" activeSheetId="1"/>
    <customWorkbookView name="georgiana.dobre - Personal View" guid="{C408A2F1-296F-4EAD-B15B-336D73846FDD}" mergeInterval="0" personalView="1" maximized="1" xWindow="-8" yWindow="-8" windowWidth="1936" windowHeight="1056" tabRatio="154" activeSheetId="1"/>
    <customWorkbookView name="anca.constantin - Personal View" guid="{C617B00B-5C1E-453A-BF77-BE61E91ACD97}" mergeInterval="0" personalView="1" maximized="1" xWindow="-8" yWindow="-8" windowWidth="1936" windowHeight="1056" tabRatio="154" activeSheetId="1"/>
    <customWorkbookView name="mihaela.nicolae - Personal View" guid="{EF10298D-3F59-43F1-9A86-8C1CCA3B5D93}" mergeInterval="0" personalView="1" maximized="1" xWindow="-11" yWindow="-11" windowWidth="1942" windowHeight="1042" tabRatio="154" activeSheetId="1"/>
    <customWorkbookView name="corina.pelmus - Personal View" guid="{EB0F2E6A-FA33-479E-9A47-8E3494FBB4DE}" mergeInterval="0" personalView="1" maximized="1" xWindow="1912" yWindow="-8" windowWidth="1936" windowHeight="1056" tabRatio="154" activeSheetId="1"/>
    <customWorkbookView name="maria.petre - Personal View" guid="{7C1B4D6D-D666-48DD-AB17-E00791B6F0B6}" mergeInterval="0" personalView="1" maximized="1" xWindow="-11" yWindow="-11" windowWidth="1942" windowHeight="1042" tabRatio="154" activeSheetId="1"/>
    <customWorkbookView name="raluca.georgescu - Personal View" guid="{901F9774-8BE7-424D-87C2-1026F3FA2E93}" mergeInterval="0" personalView="1" maximized="1" xWindow="1912" yWindow="-8" windowWidth="1936" windowHeight="1056" tabRatio="154" activeSheetId="1"/>
    <customWorkbookView name="sorin.deca - Personal View" guid="{EEA37434-2D22-478B-B49F-C3E8CD4AC2E1}" mergeInterval="0" personalView="1" maximized="1" xWindow="-8"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otilia.chirita - Personal View" guid="{0781B6C2-B440-4971-9809-BD16245A70FD}" mergeInterval="0" personalView="1" maximized="1" xWindow="-8" yWindow="-8" windowWidth="1936" windowHeight="1056" tabRatio="154" activeSheetId="1"/>
    <customWorkbookView name="gabriela.clabescu - Personal View" guid="{747340EB-2B31-46D2-ACDE-4FA91E2B50F6}"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aurelian.tarcatu - Personal View" guid="{C3502361-AD2C-4705-878B-D12169ED60B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stefan.dragan - Personal View" guid="{9EA5E3FA-46F1-4729-828C-4A08518018C1}"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tefan Dragan - Personal View" guid="{2C296388-EDB5-4F1F-B0F4-90EC07CCD947}" mergeInterval="0" personalView="1" maximized="1" xWindow="-8" yWindow="-8" windowWidth="1936" windowHeight="1056" tabRatio="154" activeSheetId="1"/>
    <customWorkbookView name="ana.ionescu - Personal View" guid="{9980B309-0131-4577-BF29-212714399FDF}" mergeInterval="0" personalView="1" xWindow="1939" yWindow="6" windowWidth="1883" windowHeight="998" tabRatio="154" activeSheetId="1"/>
    <customWorkbookView name="mihaela.vasilescu - Personal View" guid="{84FB199A-D56E-4FDD-AC4A-70CE86CD87BC}" mergeInterval="0" personalView="1" maximized="1" xWindow="-8" yWindow="-8" windowWidth="1936" windowHeight="1056" tabRatio="154" activeSheetId="1"/>
    <customWorkbookView name="Vlad - Personal View" guid="{6D5D71F0-C25E-4A20-AAD9-13707D9E0AED}" mergeInterval="0" personalView="1" maximized="1" xWindow="1912"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Admin - Personal View" guid="{1D1B5983-ECDA-4FB5-B5BD-5FCDD6AA2303}" mergeInterval="0" personalView="1" maximized="1" xWindow="-8" yWindow="-8" windowWidth="1936" windowHeight="1056" tabRatio="154" activeSheetId="1"/>
    <customWorkbookView name="cristian.airinei - Personal View" guid="{A5B1481C-EF26-486A-984F-85CDDC2FD94F}" mergeInterval="0" personalView="1" maximized="1" xWindow="1912" yWindow="-8" windowWidth="1936" windowHeight="1056" tabRatio="154" activeSheetId="1"/>
    <customWorkbookView name="mariana.moraru - Personal View" guid="{65C35D6D-934F-4431-BA92-90255FC17BA4}" mergeInterval="0" personalView="1" xWindow="224" yWindow="211" windowWidth="1440" windowHeight="759" tabRatio="154" activeSheetId="1"/>
    <customWorkbookView name="daniela.voicu - Personal View" guid="{EA64E7D7-BA48-4965-B650-778AE412FE0C}" mergeInterval="0" personalView="1" maximized="1" xWindow="-11" yWindow="-11" windowWidth="1942" windowHeight="1042" tabRatio="154" activeSheetId="1"/>
    <customWorkbookView name="luminita.jipa - Personal View" guid="{A87F3E0E-3A8E-4B82-8170-33752259B7DB}" mergeInterval="0" personalView="1" maximized="1" xWindow="-8" yWindow="-8" windowWidth="1936" windowHeight="1056" activeSheetId="1"/>
    <customWorkbookView name="elisabeta.trifan - Personal View" guid="{36624B2D-80F9-4F79-AC4A-B3547C36F23F}" mergeInterval="0" personalView="1" maximized="1" xWindow="-9" yWindow="-9" windowWidth="1938" windowHeight="1048" tabRatio="154" activeSheetId="1"/>
  </customWorkbookViews>
  <fileRecoveryPr autoRecover="0"/>
</workbook>
</file>

<file path=xl/calcChain.xml><?xml version="1.0" encoding="utf-8"?>
<calcChain xmlns="http://schemas.openxmlformats.org/spreadsheetml/2006/main">
  <c r="AD591" i="1" l="1"/>
  <c r="S589" i="1" l="1"/>
  <c r="T589" i="1"/>
  <c r="U589" i="1"/>
  <c r="V589" i="1"/>
  <c r="W589" i="1"/>
  <c r="X589" i="1"/>
  <c r="Y589" i="1"/>
  <c r="Z589" i="1"/>
  <c r="AA589" i="1"/>
  <c r="AB589" i="1"/>
  <c r="AC589" i="1"/>
  <c r="AD589" i="1"/>
  <c r="AE589" i="1"/>
  <c r="AF589" i="1"/>
  <c r="AI589" i="1"/>
  <c r="AJ589" i="1"/>
  <c r="R589" i="1"/>
  <c r="A6" i="1"/>
  <c r="A7" i="1" s="1"/>
  <c r="A8" i="1" s="1"/>
  <c r="A9" i="1" s="1"/>
  <c r="A10" i="1" s="1"/>
  <c r="A11" i="1" s="1"/>
  <c r="A12" i="1" s="1"/>
  <c r="A13" i="1"/>
  <c r="A14" i="1" s="1"/>
  <c r="A15" i="1" s="1"/>
  <c r="A16" i="1" s="1"/>
  <c r="A17" i="1" s="1"/>
  <c r="A18" i="1" s="1"/>
  <c r="A19" i="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 i="1"/>
  <c r="A4" i="1"/>
  <c r="AD5" i="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288" i="1"/>
  <c r="AD289" i="1"/>
  <c r="AD290" i="1"/>
  <c r="AD291" i="1"/>
  <c r="AD292" i="1"/>
  <c r="AD293" i="1"/>
  <c r="AD294" i="1"/>
  <c r="AD295" i="1"/>
  <c r="AD296" i="1"/>
  <c r="AD297" i="1"/>
  <c r="AD298" i="1"/>
  <c r="AD299" i="1"/>
  <c r="AD300" i="1"/>
  <c r="AD301" i="1"/>
  <c r="AD302" i="1"/>
  <c r="AD303" i="1"/>
  <c r="AD304" i="1"/>
  <c r="AD305" i="1"/>
  <c r="AD306" i="1"/>
  <c r="AD307" i="1"/>
  <c r="AD308" i="1"/>
  <c r="AD309" i="1"/>
  <c r="AD310" i="1"/>
  <c r="AD311" i="1"/>
  <c r="AD312" i="1"/>
  <c r="AD313" i="1"/>
  <c r="AD314" i="1"/>
  <c r="AD315" i="1"/>
  <c r="AD316" i="1"/>
  <c r="AD317" i="1"/>
  <c r="AD318" i="1"/>
  <c r="AD319" i="1"/>
  <c r="AD320" i="1"/>
  <c r="AD321" i="1"/>
  <c r="AD322" i="1"/>
  <c r="AD323" i="1"/>
  <c r="AD324" i="1"/>
  <c r="AD325" i="1"/>
  <c r="AD326" i="1"/>
  <c r="AD327" i="1"/>
  <c r="AD328" i="1"/>
  <c r="AD329" i="1"/>
  <c r="AD330" i="1"/>
  <c r="AD331" i="1"/>
  <c r="AD332" i="1"/>
  <c r="AD333" i="1"/>
  <c r="AD334" i="1"/>
  <c r="AD335" i="1"/>
  <c r="AD336" i="1"/>
  <c r="AD337" i="1"/>
  <c r="AD338" i="1"/>
  <c r="AD339" i="1"/>
  <c r="AD340" i="1"/>
  <c r="AD341" i="1"/>
  <c r="AD342" i="1"/>
  <c r="AD343" i="1"/>
  <c r="AD344" i="1"/>
  <c r="AD345" i="1"/>
  <c r="AD346" i="1"/>
  <c r="AD347" i="1"/>
  <c r="AD348" i="1"/>
  <c r="AD349" i="1"/>
  <c r="AD350" i="1"/>
  <c r="AD351" i="1"/>
  <c r="AD352" i="1"/>
  <c r="AD353" i="1"/>
  <c r="AD354" i="1"/>
  <c r="AD355" i="1"/>
  <c r="AD356" i="1"/>
  <c r="AD357" i="1"/>
  <c r="AD358" i="1"/>
  <c r="AD359" i="1"/>
  <c r="AD360" i="1"/>
  <c r="AD361" i="1"/>
  <c r="AD362" i="1"/>
  <c r="AD363" i="1"/>
  <c r="AD364" i="1"/>
  <c r="AD365" i="1"/>
  <c r="AD366" i="1"/>
  <c r="AD367" i="1"/>
  <c r="AD368" i="1"/>
  <c r="AD369" i="1"/>
  <c r="AD370" i="1"/>
  <c r="AD371" i="1"/>
  <c r="AD372" i="1"/>
  <c r="AD373" i="1"/>
  <c r="AD374" i="1"/>
  <c r="AD375" i="1"/>
  <c r="AD376" i="1"/>
  <c r="AD377" i="1"/>
  <c r="AD378" i="1"/>
  <c r="AD379" i="1"/>
  <c r="AD380" i="1"/>
  <c r="AD381" i="1"/>
  <c r="AD382" i="1"/>
  <c r="AD383" i="1"/>
  <c r="AD384" i="1"/>
  <c r="AD385" i="1"/>
  <c r="AD386" i="1"/>
  <c r="AD387" i="1"/>
  <c r="AD388" i="1"/>
  <c r="AD389" i="1"/>
  <c r="AD390" i="1"/>
  <c r="AD391" i="1"/>
  <c r="AD392" i="1"/>
  <c r="AD393" i="1"/>
  <c r="AD394" i="1"/>
  <c r="AD395" i="1"/>
  <c r="AD396" i="1"/>
  <c r="AD397" i="1"/>
  <c r="AD398" i="1"/>
  <c r="AD399" i="1"/>
  <c r="AD400" i="1"/>
  <c r="AD401" i="1"/>
  <c r="AD402" i="1"/>
  <c r="AD403" i="1"/>
  <c r="AD404" i="1"/>
  <c r="AD405" i="1"/>
  <c r="AD406" i="1"/>
  <c r="AD407" i="1"/>
  <c r="AD408" i="1"/>
  <c r="AD409" i="1"/>
  <c r="AD410" i="1"/>
  <c r="AD411" i="1"/>
  <c r="AD412" i="1"/>
  <c r="AD413" i="1"/>
  <c r="AD414" i="1"/>
  <c r="AD415" i="1"/>
  <c r="AD416" i="1"/>
  <c r="AD417" i="1"/>
  <c r="AD418" i="1"/>
  <c r="AD419" i="1"/>
  <c r="AD420" i="1"/>
  <c r="AD421" i="1"/>
  <c r="AD422" i="1"/>
  <c r="AD423" i="1"/>
  <c r="AD424" i="1"/>
  <c r="AD425" i="1"/>
  <c r="AD426" i="1"/>
  <c r="AD427" i="1"/>
  <c r="AD428" i="1"/>
  <c r="AD429" i="1"/>
  <c r="AD430" i="1"/>
  <c r="AD431" i="1"/>
  <c r="AD432" i="1"/>
  <c r="AD433" i="1"/>
  <c r="AD434" i="1"/>
  <c r="AD435" i="1"/>
  <c r="AD436" i="1"/>
  <c r="AD437" i="1"/>
  <c r="AD438" i="1"/>
  <c r="AD439" i="1"/>
  <c r="AD440" i="1"/>
  <c r="AD441" i="1"/>
  <c r="AD442" i="1"/>
  <c r="AD443" i="1"/>
  <c r="AD444" i="1"/>
  <c r="AD445" i="1"/>
  <c r="AD446" i="1"/>
  <c r="AD447" i="1"/>
  <c r="AD448" i="1"/>
  <c r="AD449" i="1"/>
  <c r="AD450" i="1"/>
  <c r="AD451" i="1"/>
  <c r="AD452" i="1"/>
  <c r="AD453" i="1"/>
  <c r="AD454" i="1"/>
  <c r="AD455" i="1"/>
  <c r="AD456" i="1"/>
  <c r="AD457" i="1"/>
  <c r="AD458" i="1"/>
  <c r="AD459" i="1"/>
  <c r="AD460" i="1"/>
  <c r="AD461" i="1"/>
  <c r="AD462" i="1"/>
  <c r="AD463" i="1"/>
  <c r="AD464" i="1"/>
  <c r="AD465" i="1"/>
  <c r="AD466" i="1"/>
  <c r="AD467" i="1"/>
  <c r="AD468" i="1"/>
  <c r="AD469" i="1"/>
  <c r="AD470" i="1"/>
  <c r="AD471" i="1"/>
  <c r="AD472" i="1"/>
  <c r="AD473" i="1"/>
  <c r="AD474" i="1"/>
  <c r="AD475" i="1"/>
  <c r="AD476" i="1"/>
  <c r="AD477" i="1"/>
  <c r="AD478" i="1"/>
  <c r="AD479" i="1"/>
  <c r="AD480" i="1"/>
  <c r="AD481" i="1"/>
  <c r="AD482" i="1"/>
  <c r="AD483" i="1"/>
  <c r="AD484" i="1"/>
  <c r="AD485" i="1"/>
  <c r="AD486" i="1"/>
  <c r="AD487" i="1"/>
  <c r="AD488" i="1"/>
  <c r="AD489" i="1"/>
  <c r="AD490" i="1"/>
  <c r="AD491" i="1"/>
  <c r="AD492" i="1"/>
  <c r="AD493" i="1"/>
  <c r="AD494" i="1"/>
  <c r="AD495" i="1"/>
  <c r="AD496" i="1"/>
  <c r="AD497" i="1"/>
  <c r="AD498" i="1"/>
  <c r="AD499" i="1"/>
  <c r="AD500" i="1"/>
  <c r="AD501" i="1"/>
  <c r="AD502" i="1"/>
  <c r="AD503" i="1"/>
  <c r="AD504" i="1"/>
  <c r="AD505" i="1"/>
  <c r="AD506" i="1"/>
  <c r="AD507" i="1"/>
  <c r="AD508" i="1"/>
  <c r="AD509" i="1"/>
  <c r="AD510" i="1"/>
  <c r="AD511" i="1"/>
  <c r="AD512" i="1"/>
  <c r="AD513" i="1"/>
  <c r="AD514" i="1"/>
  <c r="AD515" i="1"/>
  <c r="AD516" i="1"/>
  <c r="AD517" i="1"/>
  <c r="AD518" i="1"/>
  <c r="AD519" i="1"/>
  <c r="AD520" i="1"/>
  <c r="AD521" i="1"/>
  <c r="AD522" i="1"/>
  <c r="AD523" i="1"/>
  <c r="AD524" i="1"/>
  <c r="AD525" i="1"/>
  <c r="AD526" i="1"/>
  <c r="AD527" i="1"/>
  <c r="AD528" i="1"/>
  <c r="AD529" i="1"/>
  <c r="AD530" i="1"/>
  <c r="AD531" i="1"/>
  <c r="AD532" i="1"/>
  <c r="AD533" i="1"/>
  <c r="AD534" i="1"/>
  <c r="AD535" i="1"/>
  <c r="AD536" i="1"/>
  <c r="AD537" i="1"/>
  <c r="AD538" i="1"/>
  <c r="AD539" i="1"/>
  <c r="AD540" i="1"/>
  <c r="AD541" i="1"/>
  <c r="AD542" i="1"/>
  <c r="AD543" i="1"/>
  <c r="AD544" i="1"/>
  <c r="AD545" i="1"/>
  <c r="AD546" i="1"/>
  <c r="AD547" i="1"/>
  <c r="AD548" i="1"/>
  <c r="AD549" i="1"/>
  <c r="AD550" i="1"/>
  <c r="AD551" i="1"/>
  <c r="AD552" i="1"/>
  <c r="AD553" i="1"/>
  <c r="AD554" i="1"/>
  <c r="AD555" i="1"/>
  <c r="AD556" i="1"/>
  <c r="AD557" i="1"/>
  <c r="AD558" i="1"/>
  <c r="AD559" i="1"/>
  <c r="AD560" i="1"/>
  <c r="AD561" i="1"/>
  <c r="AD562" i="1"/>
  <c r="AD563" i="1"/>
  <c r="AD564" i="1"/>
  <c r="AD565" i="1"/>
  <c r="AD566" i="1"/>
  <c r="AD567" i="1"/>
  <c r="AD568" i="1"/>
  <c r="AD569" i="1"/>
  <c r="AD570" i="1"/>
  <c r="AD571" i="1"/>
  <c r="AD572" i="1"/>
  <c r="AD573" i="1"/>
  <c r="AD574" i="1"/>
  <c r="AD575" i="1"/>
  <c r="AD576" i="1"/>
  <c r="AD577" i="1"/>
  <c r="AD578" i="1"/>
  <c r="AD579" i="1"/>
  <c r="AD580" i="1"/>
  <c r="AD581" i="1"/>
  <c r="AD582" i="1"/>
  <c r="AD583" i="1"/>
  <c r="AD584" i="1"/>
  <c r="AD585" i="1"/>
  <c r="AD586" i="1"/>
  <c r="AD587" i="1"/>
  <c r="AD588" i="1"/>
  <c r="AJ550" i="1"/>
  <c r="AI550" i="1"/>
  <c r="AJ79" i="1"/>
  <c r="AI79" i="1"/>
  <c r="AJ229" i="1"/>
  <c r="AI229" i="1"/>
  <c r="AJ223" i="1"/>
  <c r="AI223" i="1"/>
  <c r="AJ67" i="1"/>
  <c r="AI67" i="1"/>
  <c r="AJ129" i="1"/>
  <c r="AI129" i="1"/>
  <c r="AJ242" i="1"/>
  <c r="AI242" i="1"/>
  <c r="AJ47" i="1"/>
  <c r="AI47" i="1"/>
  <c r="AJ208" i="1"/>
  <c r="AI208" i="1"/>
  <c r="AI76" i="1"/>
  <c r="AJ173" i="1"/>
  <c r="AI173" i="1"/>
  <c r="AJ98" i="1"/>
  <c r="AI98" i="1"/>
  <c r="AJ194" i="1"/>
  <c r="AI194" i="1"/>
  <c r="AJ33" i="1"/>
  <c r="AI33" i="1"/>
  <c r="AJ97" i="1"/>
  <c r="AI97" i="1"/>
  <c r="AJ183" i="1"/>
  <c r="AI183" i="1"/>
  <c r="AJ102" i="1"/>
  <c r="AI102" i="1"/>
  <c r="AJ513" i="1"/>
  <c r="AI513" i="1"/>
  <c r="AI511" i="1"/>
  <c r="AJ494" i="1"/>
  <c r="AI494" i="1"/>
  <c r="AJ487" i="1"/>
  <c r="AI487" i="1"/>
  <c r="AI484" i="1"/>
  <c r="AI516" i="1"/>
  <c r="AJ486" i="1"/>
  <c r="AI486" i="1"/>
  <c r="AI545" i="1"/>
  <c r="AI499" i="1"/>
  <c r="AI502" i="1"/>
  <c r="AJ503" i="1"/>
  <c r="AI503" i="1"/>
  <c r="AI534" i="1"/>
  <c r="AJ32" i="1"/>
  <c r="AI32" i="1"/>
  <c r="AJ96" i="1"/>
  <c r="AI96" i="1"/>
  <c r="AJ51" i="1"/>
  <c r="AI51" i="1"/>
  <c r="AJ247" i="1"/>
  <c r="AI247" i="1"/>
  <c r="AJ241" i="1"/>
  <c r="AI241" i="1"/>
  <c r="AJ121" i="1"/>
  <c r="AI121" i="1"/>
  <c r="AJ260" i="1"/>
  <c r="AI260" i="1"/>
  <c r="AJ233" i="1"/>
  <c r="AI233" i="1"/>
  <c r="AJ13" i="1"/>
  <c r="AI13" i="1"/>
  <c r="AJ431" i="1"/>
  <c r="AI431" i="1"/>
  <c r="AJ297" i="1"/>
  <c r="AI297" i="1"/>
  <c r="AJ404" i="1"/>
  <c r="AI404" i="1"/>
  <c r="AI392" i="1"/>
  <c r="AI482" i="1"/>
  <c r="AI460" i="1"/>
  <c r="AI387" i="1"/>
  <c r="AI478" i="1"/>
  <c r="AI464" i="1"/>
  <c r="AI344" i="1"/>
  <c r="AI300" i="1"/>
  <c r="AI338" i="1"/>
  <c r="AI335" i="1"/>
  <c r="X162" i="1"/>
  <c r="U162" i="1"/>
  <c r="R162" i="1"/>
  <c r="AJ211" i="1"/>
  <c r="AJ566" i="1"/>
  <c r="AI566" i="1"/>
  <c r="AI125" i="1"/>
  <c r="AJ53" i="1"/>
  <c r="AI53" i="1"/>
  <c r="AJ269" i="1"/>
  <c r="AI269" i="1"/>
  <c r="AI211" i="1"/>
  <c r="AJ279" i="1"/>
  <c r="AI279" i="1"/>
  <c r="AJ69" i="1"/>
  <c r="AI69" i="1"/>
  <c r="AJ293" i="1"/>
  <c r="AI293" i="1"/>
  <c r="AJ288" i="1"/>
  <c r="AI288" i="1"/>
  <c r="AJ278" i="1"/>
  <c r="AI278" i="1"/>
  <c r="AJ187" i="1"/>
  <c r="AI187" i="1"/>
  <c r="AJ29" i="1"/>
  <c r="AI29" i="1"/>
  <c r="AJ213" i="1"/>
  <c r="AI213" i="1"/>
  <c r="AJ256" i="1"/>
  <c r="AI256" i="1"/>
  <c r="AJ92" i="1"/>
  <c r="AI92" i="1"/>
  <c r="AJ258" i="1"/>
  <c r="AI258" i="1"/>
  <c r="AJ16" i="1"/>
  <c r="AI16" i="1"/>
  <c r="AJ210" i="1"/>
  <c r="AI210" i="1"/>
  <c r="AI551" i="1"/>
  <c r="AI531" i="1"/>
  <c r="AI522" i="1"/>
  <c r="AI505" i="1"/>
  <c r="AI512" i="1"/>
  <c r="AI558" i="1"/>
  <c r="AI518" i="1"/>
  <c r="AI557" i="1"/>
  <c r="AI582" i="1"/>
  <c r="AJ222" i="1"/>
  <c r="AI222" i="1"/>
  <c r="AJ46" i="1"/>
  <c r="AI46" i="1"/>
  <c r="AJ197" i="1"/>
  <c r="AI197" i="1"/>
  <c r="AJ209" i="1"/>
  <c r="AI209" i="1"/>
  <c r="AJ76" i="1"/>
  <c r="AJ249" i="1"/>
  <c r="AI249" i="1"/>
  <c r="AJ171" i="1"/>
  <c r="AI171" i="1"/>
  <c r="AJ28" i="1"/>
  <c r="AI28" i="1"/>
  <c r="AJ88" i="1"/>
  <c r="AI88" i="1"/>
  <c r="AJ184" i="1"/>
  <c r="AI184" i="1"/>
  <c r="AJ172" i="1"/>
  <c r="AI172" i="1"/>
  <c r="AJ35" i="1"/>
  <c r="AI35" i="1"/>
  <c r="AJ287" i="1"/>
  <c r="AI287" i="1"/>
  <c r="AJ175" i="1"/>
  <c r="AI175" i="1"/>
  <c r="AI507" i="1"/>
  <c r="AI480" i="1"/>
  <c r="AI500" i="1"/>
  <c r="AJ501" i="1"/>
  <c r="AI501" i="1"/>
  <c r="AI496" i="1"/>
  <c r="AJ543" i="1"/>
  <c r="AI543" i="1"/>
  <c r="AJ491" i="1"/>
  <c r="AI491" i="1"/>
  <c r="AI535" i="1"/>
  <c r="AI506" i="1"/>
  <c r="AI515" i="1"/>
  <c r="AJ493" i="1"/>
  <c r="AI493" i="1"/>
  <c r="AI497" i="1"/>
  <c r="AJ27" i="1"/>
  <c r="AI27" i="1"/>
  <c r="AJ248" i="1"/>
  <c r="AI248" i="1"/>
  <c r="AJ143" i="1"/>
  <c r="AI143" i="1"/>
  <c r="AJ120" i="1"/>
  <c r="AI120" i="1"/>
  <c r="AJ234" i="1"/>
  <c r="AI234" i="1"/>
  <c r="AJ227" i="1"/>
  <c r="AI227" i="1"/>
  <c r="AI201" i="1"/>
  <c r="AJ170" i="1"/>
  <c r="AI170" i="1"/>
  <c r="AJ216" i="1"/>
  <c r="AI216" i="1"/>
  <c r="AJ137" i="1"/>
  <c r="AI137" i="1"/>
  <c r="AJ75" i="1"/>
  <c r="AI75" i="1"/>
  <c r="AJ139" i="1"/>
  <c r="AI139" i="1"/>
  <c r="AJ461" i="1"/>
  <c r="AI461" i="1"/>
  <c r="AJ435" i="1"/>
  <c r="AI435" i="1"/>
  <c r="AI379" i="1"/>
  <c r="AJ376" i="1"/>
  <c r="AI376" i="1"/>
  <c r="AI321" i="1"/>
  <c r="AI363" i="1"/>
  <c r="AI310" i="1"/>
  <c r="AI332" i="1"/>
  <c r="AI353" i="1"/>
  <c r="AI295" i="1"/>
  <c r="AI317" i="1"/>
  <c r="AI261" i="1"/>
  <c r="AI556" i="1"/>
  <c r="AI575" i="1"/>
  <c r="AI562" i="1"/>
  <c r="AI563" i="1"/>
  <c r="AI559" i="1"/>
  <c r="AJ198" i="1"/>
  <c r="AI198" i="1"/>
  <c r="AI103" i="1"/>
  <c r="AI17" i="1"/>
  <c r="AI178" i="1"/>
  <c r="AJ38" i="1"/>
  <c r="AI38" i="1"/>
  <c r="AJ238" i="1"/>
  <c r="AI238" i="1"/>
  <c r="AJ185" i="1"/>
  <c r="AI185" i="1"/>
  <c r="AJ177" i="1"/>
  <c r="AI177" i="1"/>
  <c r="AI151" i="1"/>
  <c r="AJ203" i="1"/>
  <c r="AI203" i="1"/>
  <c r="AJ255" i="1"/>
  <c r="AI255" i="1"/>
  <c r="AJ160" i="1"/>
  <c r="AI160" i="1"/>
  <c r="AI555" i="1"/>
  <c r="AI554" i="1"/>
  <c r="AI528" i="1"/>
  <c r="AI537" i="1"/>
  <c r="AJ261" i="1"/>
  <c r="AI495" i="1"/>
  <c r="AJ14" i="1"/>
  <c r="AI14" i="1"/>
  <c r="AJ138" i="1"/>
  <c r="AI138" i="1"/>
  <c r="AJ78" i="1"/>
  <c r="AI78" i="1"/>
  <c r="AJ254" i="1"/>
  <c r="AI254" i="1"/>
  <c r="AI508" i="1"/>
  <c r="AJ496" i="1"/>
  <c r="AI509" i="1"/>
  <c r="AJ542" i="1"/>
  <c r="AI542" i="1"/>
  <c r="AJ490" i="1"/>
  <c r="AI490" i="1"/>
  <c r="AI483" i="1"/>
  <c r="AI514" i="1"/>
  <c r="AJ12" i="1"/>
  <c r="AI12" i="1"/>
  <c r="AJ64" i="1"/>
  <c r="AI64" i="1"/>
  <c r="AJ196" i="1"/>
  <c r="AI196" i="1"/>
  <c r="AJ267" i="1"/>
  <c r="AI267" i="1"/>
  <c r="AJ11" i="1"/>
  <c r="AI11" i="1"/>
  <c r="AJ201" i="1"/>
  <c r="AJ110" i="1"/>
  <c r="AI110" i="1"/>
  <c r="AJ405" i="1"/>
  <c r="AI405" i="1"/>
  <c r="AI391" i="1"/>
  <c r="AJ438" i="1"/>
  <c r="AI438" i="1"/>
  <c r="AJ479" i="1"/>
  <c r="AI479" i="1"/>
  <c r="AJ349" i="1"/>
  <c r="AI349" i="1"/>
  <c r="AI429" i="1"/>
  <c r="AI381" i="1"/>
  <c r="AI298" i="1"/>
  <c r="AI305" i="1"/>
  <c r="U257" i="1"/>
  <c r="X257" i="1"/>
  <c r="AA257" i="1"/>
  <c r="AJ443" i="1"/>
  <c r="AJ452" i="1"/>
  <c r="AJ18" i="1" l="1"/>
  <c r="AI18" i="1"/>
  <c r="AJ124" i="1"/>
  <c r="AI124" i="1"/>
  <c r="AJ244" i="1"/>
  <c r="AI244" i="1"/>
  <c r="AJ37" i="1"/>
  <c r="AI37" i="1"/>
  <c r="AJ103" i="1"/>
  <c r="AJ289" i="1"/>
  <c r="AI289" i="1"/>
  <c r="AI239" i="1"/>
  <c r="AJ114" i="1"/>
  <c r="AI114" i="1"/>
  <c r="AJ17" i="1"/>
  <c r="AJ217" i="1"/>
  <c r="AI217" i="1"/>
  <c r="AJ188" i="1"/>
  <c r="AI188" i="1"/>
  <c r="AJ243" i="1"/>
  <c r="AI243" i="1"/>
  <c r="AJ82" i="1"/>
  <c r="AI82" i="1"/>
  <c r="AJ115" i="1"/>
  <c r="AI115" i="1"/>
  <c r="AJ113" i="1"/>
  <c r="AI113" i="1"/>
  <c r="AJ68" i="1"/>
  <c r="AI68" i="1"/>
  <c r="AI48" i="1"/>
  <c r="AI553" i="1"/>
  <c r="AJ505" i="1"/>
  <c r="AI547" i="1"/>
  <c r="AJ262" i="1"/>
  <c r="AI262" i="1"/>
  <c r="AJ174" i="1"/>
  <c r="AI174" i="1"/>
  <c r="AJ101" i="1"/>
  <c r="AI101" i="1"/>
  <c r="AJ228" i="1"/>
  <c r="AI228" i="1"/>
  <c r="AJ275" i="1" l="1"/>
  <c r="AI275" i="1"/>
  <c r="AJ65" i="1"/>
  <c r="AI65" i="1"/>
  <c r="AJ86" i="1"/>
  <c r="AI86" i="1"/>
  <c r="AJ157" i="1"/>
  <c r="AI157" i="1"/>
  <c r="AJ158" i="1"/>
  <c r="AI158" i="1"/>
  <c r="AJ74" i="1"/>
  <c r="AI74" i="1"/>
  <c r="AI443" i="1"/>
  <c r="AI342" i="1" l="1"/>
  <c r="AI316" i="1"/>
  <c r="R588" i="1"/>
  <c r="U588" i="1"/>
  <c r="X588" i="1"/>
  <c r="AA588" i="1"/>
  <c r="AA587" i="1" l="1"/>
  <c r="X587" i="1"/>
  <c r="U587" i="1"/>
  <c r="R587" i="1"/>
  <c r="AI146" i="1"/>
  <c r="AJ146" i="1"/>
  <c r="AF588" i="1" l="1"/>
  <c r="L588" i="1"/>
  <c r="AI498" i="1"/>
  <c r="AI561" i="1"/>
  <c r="AJ504" i="1"/>
  <c r="AI504" i="1"/>
  <c r="AJ530" i="1"/>
  <c r="AI530" i="1"/>
  <c r="AJ549" i="1"/>
  <c r="AI549" i="1"/>
  <c r="AI517" i="1"/>
  <c r="AJ42" i="1"/>
  <c r="AI42" i="1"/>
  <c r="AJ58" i="1"/>
  <c r="AI58" i="1"/>
  <c r="AJ112" i="1"/>
  <c r="AI112" i="1"/>
  <c r="AJ163" i="1"/>
  <c r="AI163" i="1"/>
  <c r="AJ524" i="1"/>
  <c r="AI524" i="1"/>
  <c r="AI523" i="1"/>
  <c r="AI476" i="1"/>
  <c r="AJ126" i="1"/>
  <c r="AI126" i="1"/>
  <c r="AJ284" i="1"/>
  <c r="AI284" i="1"/>
  <c r="AJ145" i="1"/>
  <c r="AI145" i="1"/>
  <c r="AJ162" i="1"/>
  <c r="AI162" i="1"/>
  <c r="AJ169" i="1"/>
  <c r="AI169" i="1"/>
  <c r="AJ207" i="1"/>
  <c r="AI207" i="1"/>
  <c r="AI336" i="1"/>
  <c r="AI348" i="1"/>
  <c r="AI299" i="1"/>
  <c r="AI351" i="1"/>
  <c r="L587" i="1" l="1"/>
  <c r="AF587" i="1"/>
  <c r="U586" i="1"/>
  <c r="X586" i="1"/>
  <c r="AA586" i="1"/>
  <c r="R586" i="1"/>
  <c r="AF586" i="1" l="1"/>
  <c r="R585" i="1"/>
  <c r="U585" i="1"/>
  <c r="X585" i="1"/>
  <c r="AA585" i="1"/>
  <c r="AJ252" i="1"/>
  <c r="AI252" i="1"/>
  <c r="AJ239" i="1"/>
  <c r="AJ202" i="1"/>
  <c r="AI202" i="1"/>
  <c r="AJ231" i="1"/>
  <c r="AI231" i="1"/>
  <c r="AJ15" i="1"/>
  <c r="AI15" i="1"/>
  <c r="AJ176" i="1"/>
  <c r="AI176" i="1"/>
  <c r="AJ36" i="1"/>
  <c r="AI36" i="1"/>
  <c r="AI492" i="1"/>
  <c r="AJ539" i="1"/>
  <c r="AI539" i="1"/>
  <c r="AI526" i="1"/>
  <c r="AI527" i="1"/>
  <c r="AI532" i="1"/>
  <c r="AJ536" i="1"/>
  <c r="AI536" i="1"/>
  <c r="AI529" i="1"/>
  <c r="AJ80" i="1"/>
  <c r="AI80" i="1"/>
  <c r="AJ272" i="1"/>
  <c r="AI272" i="1"/>
  <c r="AJ485" i="1"/>
  <c r="AI485" i="1"/>
  <c r="AJ189" i="1"/>
  <c r="AI189" i="1"/>
  <c r="AJ489" i="1"/>
  <c r="AI489" i="1"/>
  <c r="AJ499" i="1"/>
  <c r="AJ286" i="1"/>
  <c r="AI286" i="1"/>
  <c r="AJ150" i="1"/>
  <c r="AI150" i="1"/>
  <c r="L586" i="1" l="1"/>
  <c r="AF585" i="1"/>
  <c r="AJ159" i="1"/>
  <c r="AI159" i="1"/>
  <c r="AJ375" i="1"/>
  <c r="AI375" i="1"/>
  <c r="AI341" i="1"/>
  <c r="AJ475" i="1"/>
  <c r="AI475" i="1"/>
  <c r="AI337" i="1"/>
  <c r="AI296" i="1"/>
  <c r="AI352" i="1"/>
  <c r="L585" i="1" l="1"/>
  <c r="AI152" i="1"/>
  <c r="AJ22" i="1" l="1"/>
  <c r="AI22" i="1"/>
  <c r="AI276" i="1"/>
  <c r="AI546" i="1" l="1"/>
  <c r="AI510" i="1"/>
  <c r="AI544" i="1"/>
  <c r="AI533" i="1"/>
  <c r="AI520" i="1"/>
  <c r="AI350" i="1" l="1"/>
  <c r="AI474" i="1"/>
  <c r="AI343" i="1"/>
  <c r="AJ190" i="1"/>
  <c r="AI190" i="1"/>
  <c r="AI104" i="1"/>
  <c r="AJ218" i="1"/>
  <c r="AI218" i="1"/>
  <c r="AJ91" i="1"/>
  <c r="AI91" i="1"/>
  <c r="AJ250" i="1"/>
  <c r="AI250" i="1"/>
  <c r="AJ544" i="1"/>
  <c r="AI540" i="1"/>
  <c r="AJ77" i="1"/>
  <c r="AI77" i="1"/>
  <c r="AI477" i="1" l="1"/>
  <c r="AJ516" i="1"/>
  <c r="AJ10" i="1"/>
  <c r="AI10" i="1"/>
  <c r="AI66" i="1"/>
  <c r="AJ276" i="1"/>
  <c r="AJ20" i="1"/>
  <c r="AI20" i="1"/>
  <c r="AJ350" i="1"/>
  <c r="AJ474" i="1"/>
  <c r="AI315" i="1"/>
  <c r="S440" i="1"/>
  <c r="T440" i="1"/>
  <c r="U582" i="1" l="1"/>
  <c r="U583" i="1"/>
  <c r="U584" i="1"/>
  <c r="X582" i="1"/>
  <c r="X583" i="1"/>
  <c r="X584" i="1"/>
  <c r="AA582" i="1"/>
  <c r="AA583" i="1"/>
  <c r="AA584" i="1"/>
  <c r="R582" i="1"/>
  <c r="R583" i="1"/>
  <c r="R584" i="1"/>
  <c r="L584" i="1" l="1"/>
  <c r="AF582" i="1"/>
  <c r="R580" i="1"/>
  <c r="R581" i="1"/>
  <c r="U580" i="1"/>
  <c r="U581" i="1"/>
  <c r="X580" i="1"/>
  <c r="X581" i="1"/>
  <c r="AA580" i="1"/>
  <c r="AA581" i="1"/>
  <c r="L582" i="1" l="1"/>
  <c r="AF584" i="1"/>
  <c r="L583" i="1"/>
  <c r="AF583" i="1"/>
  <c r="AF580" i="1"/>
  <c r="L581" i="1"/>
  <c r="AA576" i="1"/>
  <c r="AA577" i="1"/>
  <c r="AA578" i="1"/>
  <c r="AA579" i="1"/>
  <c r="X576" i="1"/>
  <c r="X577" i="1"/>
  <c r="X578" i="1"/>
  <c r="X579" i="1"/>
  <c r="U576" i="1"/>
  <c r="U577" i="1"/>
  <c r="U578" i="1"/>
  <c r="U579" i="1"/>
  <c r="R576" i="1"/>
  <c r="R577" i="1"/>
  <c r="R578" i="1"/>
  <c r="R579" i="1"/>
  <c r="AF577" i="1" l="1"/>
  <c r="AF579" i="1"/>
  <c r="L580" i="1"/>
  <c r="AF581" i="1"/>
  <c r="AF578" i="1"/>
  <c r="L576" i="1"/>
  <c r="R575" i="1"/>
  <c r="U575" i="1"/>
  <c r="X575" i="1"/>
  <c r="AA575" i="1"/>
  <c r="X573" i="1"/>
  <c r="X574" i="1"/>
  <c r="AA573" i="1"/>
  <c r="AA574" i="1"/>
  <c r="U573" i="1"/>
  <c r="U574" i="1"/>
  <c r="R573" i="1"/>
  <c r="R574" i="1"/>
  <c r="U572" i="1"/>
  <c r="X572" i="1"/>
  <c r="AA572" i="1"/>
  <c r="R572" i="1"/>
  <c r="L577" i="1" l="1"/>
  <c r="L579" i="1"/>
  <c r="L578" i="1"/>
  <c r="AF576" i="1"/>
  <c r="AF575" i="1"/>
  <c r="AF573" i="1"/>
  <c r="AF574" i="1"/>
  <c r="L572" i="1"/>
  <c r="AA571" i="1"/>
  <c r="X571" i="1"/>
  <c r="U571" i="1"/>
  <c r="R571" i="1"/>
  <c r="AA570" i="1"/>
  <c r="X570" i="1"/>
  <c r="U570" i="1"/>
  <c r="R570" i="1"/>
  <c r="AI54" i="1"/>
  <c r="AI257" i="1"/>
  <c r="AJ90" i="1"/>
  <c r="AI90" i="1"/>
  <c r="AI538" i="1"/>
  <c r="AJ230" i="1"/>
  <c r="AI230" i="1"/>
  <c r="AJ41" i="1"/>
  <c r="AI41" i="1"/>
  <c r="L575" i="1" l="1"/>
  <c r="L574" i="1"/>
  <c r="L573" i="1"/>
  <c r="AF572" i="1"/>
  <c r="L571" i="1"/>
  <c r="L570" i="1"/>
  <c r="AF571" i="1" l="1"/>
  <c r="AF570" i="1"/>
  <c r="AJ66" i="1"/>
  <c r="AJ109" i="1"/>
  <c r="AI109" i="1"/>
  <c r="AJ57" i="1"/>
  <c r="AI57" i="1"/>
  <c r="AJ285" i="1"/>
  <c r="AI285" i="1"/>
  <c r="AI407" i="1"/>
  <c r="AI374" i="1"/>
  <c r="AI329" i="1"/>
  <c r="R569" i="1" l="1"/>
  <c r="U569" i="1"/>
  <c r="X569" i="1"/>
  <c r="AA569" i="1"/>
  <c r="AJ52" i="1" l="1"/>
  <c r="AI52" i="1"/>
  <c r="AJ245" i="1"/>
  <c r="AI245" i="1"/>
  <c r="AF569" i="1" l="1"/>
  <c r="L569" i="1"/>
  <c r="U74" i="1"/>
  <c r="X74" i="1"/>
  <c r="AA74" i="1"/>
  <c r="U568" i="1"/>
  <c r="X568" i="1"/>
  <c r="AA568" i="1"/>
  <c r="R568" i="1"/>
  <c r="L568" i="1" l="1"/>
  <c r="AF568" i="1" l="1"/>
  <c r="AA567" i="1"/>
  <c r="X567" i="1"/>
  <c r="U567" i="1"/>
  <c r="R567" i="1"/>
  <c r="AF567" i="1" l="1"/>
  <c r="L567" i="1" l="1"/>
  <c r="AJ111" i="1" l="1"/>
  <c r="AI111" i="1"/>
  <c r="AJ273" i="1"/>
  <c r="AI273" i="1"/>
  <c r="AJ246" i="1"/>
  <c r="AI246" i="1"/>
  <c r="AJ428" i="1"/>
  <c r="AI428" i="1"/>
  <c r="AJ466" i="1"/>
  <c r="AI466" i="1"/>
  <c r="AJ459" i="1"/>
  <c r="AI459" i="1"/>
  <c r="U566" i="1"/>
  <c r="X566" i="1"/>
  <c r="AA566" i="1"/>
  <c r="R566" i="1"/>
  <c r="X565" i="1" l="1"/>
  <c r="U564" i="1"/>
  <c r="U565" i="1"/>
  <c r="X564" i="1"/>
  <c r="AA564" i="1"/>
  <c r="AA565" i="1"/>
  <c r="R564" i="1"/>
  <c r="R565" i="1"/>
  <c r="U563" i="1"/>
  <c r="X563" i="1"/>
  <c r="AA563" i="1"/>
  <c r="R563" i="1"/>
  <c r="L566" i="1" l="1"/>
  <c r="AF566" i="1"/>
  <c r="AF564" i="1"/>
  <c r="L563" i="1"/>
  <c r="AC440" i="1"/>
  <c r="AB440" i="1"/>
  <c r="W440" i="1"/>
  <c r="V440" i="1"/>
  <c r="L564" i="1" l="1"/>
  <c r="AF565" i="1"/>
  <c r="L565" i="1"/>
  <c r="AF563" i="1"/>
  <c r="AJ436" i="1"/>
  <c r="AI436" i="1"/>
  <c r="AJ472" i="1"/>
  <c r="AI472" i="1"/>
  <c r="U562" i="1"/>
  <c r="X562" i="1"/>
  <c r="AA562" i="1"/>
  <c r="U561" i="1" l="1"/>
  <c r="U560" i="1"/>
  <c r="X560" i="1"/>
  <c r="X561" i="1"/>
  <c r="AA561" i="1"/>
  <c r="AA560" i="1"/>
  <c r="R560" i="1"/>
  <c r="R561" i="1"/>
  <c r="R562" i="1"/>
  <c r="U559" i="1"/>
  <c r="U558" i="1"/>
  <c r="U557" i="1"/>
  <c r="X557" i="1"/>
  <c r="X558" i="1"/>
  <c r="X559" i="1"/>
  <c r="AA559" i="1"/>
  <c r="AA558" i="1"/>
  <c r="AA557" i="1"/>
  <c r="R557" i="1"/>
  <c r="R558" i="1"/>
  <c r="R559" i="1"/>
  <c r="U125" i="1"/>
  <c r="X125" i="1"/>
  <c r="AA125" i="1"/>
  <c r="R125" i="1"/>
  <c r="U556" i="1"/>
  <c r="X556" i="1"/>
  <c r="AA556" i="1"/>
  <c r="R556" i="1"/>
  <c r="AF561" i="1" l="1"/>
  <c r="AF560" i="1"/>
  <c r="AF562" i="1"/>
  <c r="AF557" i="1"/>
  <c r="AF558" i="1"/>
  <c r="L559" i="1"/>
  <c r="R553" i="1"/>
  <c r="R554" i="1"/>
  <c r="R555" i="1"/>
  <c r="U555" i="1"/>
  <c r="U554" i="1"/>
  <c r="U553" i="1"/>
  <c r="X553" i="1"/>
  <c r="X554" i="1"/>
  <c r="X555" i="1"/>
  <c r="AA555" i="1"/>
  <c r="AA554" i="1"/>
  <c r="AA553" i="1"/>
  <c r="L562" i="1" l="1"/>
  <c r="L561" i="1"/>
  <c r="L560" i="1"/>
  <c r="L557" i="1"/>
  <c r="AF559" i="1"/>
  <c r="L558" i="1"/>
  <c r="L125" i="1"/>
  <c r="AF125" i="1"/>
  <c r="AF556" i="1"/>
  <c r="L556" i="1"/>
  <c r="AF553" i="1"/>
  <c r="AF554" i="1"/>
  <c r="L553" i="1" l="1"/>
  <c r="AF555" i="1"/>
  <c r="L555" i="1"/>
  <c r="L554" i="1"/>
  <c r="U117" i="1"/>
  <c r="X117" i="1"/>
  <c r="AA117" i="1"/>
  <c r="R117" i="1"/>
  <c r="AF117" i="1" l="1"/>
  <c r="AJ291" i="1"/>
  <c r="AI291" i="1"/>
  <c r="AJ303" i="1"/>
  <c r="AI303" i="1"/>
  <c r="AJ40" i="1"/>
  <c r="AI40" i="1"/>
  <c r="AI388" i="1"/>
  <c r="AI294" i="1"/>
  <c r="L117" i="1" l="1"/>
  <c r="U552" i="1"/>
  <c r="X552" i="1"/>
  <c r="AA552" i="1"/>
  <c r="R552" i="1"/>
  <c r="U279" i="1" l="1"/>
  <c r="X279" i="1"/>
  <c r="AA279" i="1"/>
  <c r="R279" i="1"/>
  <c r="AF552" i="1" l="1"/>
  <c r="L552" i="1"/>
  <c r="AF279" i="1"/>
  <c r="U105" i="1"/>
  <c r="X105" i="1"/>
  <c r="AA105" i="1"/>
  <c r="R105" i="1"/>
  <c r="L279" i="1" l="1"/>
  <c r="L105" i="1"/>
  <c r="R304" i="1"/>
  <c r="U304" i="1"/>
  <c r="X304" i="1"/>
  <c r="AA304" i="1"/>
  <c r="R305" i="1"/>
  <c r="U305" i="1"/>
  <c r="X305" i="1"/>
  <c r="AA305" i="1"/>
  <c r="R306" i="1"/>
  <c r="U306" i="1"/>
  <c r="X306" i="1"/>
  <c r="AA306" i="1"/>
  <c r="U124" i="1"/>
  <c r="X124" i="1"/>
  <c r="AA124" i="1"/>
  <c r="R124" i="1"/>
  <c r="AF105" i="1" l="1"/>
  <c r="L305" i="1"/>
  <c r="L306" i="1"/>
  <c r="AF124" i="1"/>
  <c r="M512" i="1"/>
  <c r="M511" i="1"/>
  <c r="AF304" i="1" l="1"/>
  <c r="AF305" i="1"/>
  <c r="L304" i="1"/>
  <c r="AF306" i="1"/>
  <c r="L124" i="1"/>
  <c r="U123" i="1"/>
  <c r="X123" i="1"/>
  <c r="AA123" i="1"/>
  <c r="R123" i="1"/>
  <c r="AF123" i="1" l="1"/>
  <c r="U551" i="1"/>
  <c r="X551" i="1"/>
  <c r="AA551" i="1"/>
  <c r="R551" i="1"/>
  <c r="U18" i="1"/>
  <c r="X18" i="1"/>
  <c r="AA18" i="1"/>
  <c r="R18" i="1"/>
  <c r="AA252" i="1"/>
  <c r="X252" i="1"/>
  <c r="U252" i="1"/>
  <c r="R252" i="1"/>
  <c r="U239" i="1"/>
  <c r="X239" i="1"/>
  <c r="AA239" i="1"/>
  <c r="R239" i="1"/>
  <c r="X263" i="1"/>
  <c r="U263" i="1"/>
  <c r="AA263" i="1"/>
  <c r="R263" i="1"/>
  <c r="U188" i="1"/>
  <c r="X188" i="1"/>
  <c r="AA188" i="1"/>
  <c r="R188" i="1"/>
  <c r="U251" i="1"/>
  <c r="X251" i="1"/>
  <c r="AA251" i="1"/>
  <c r="R251" i="1"/>
  <c r="AA278" i="1"/>
  <c r="X278" i="1"/>
  <c r="U278" i="1"/>
  <c r="R278" i="1"/>
  <c r="L123" i="1" l="1"/>
  <c r="AF18" i="1"/>
  <c r="AF239" i="1"/>
  <c r="AF263" i="1"/>
  <c r="AF188" i="1"/>
  <c r="AF251" i="1"/>
  <c r="AF278" i="1"/>
  <c r="U191" i="1"/>
  <c r="X191" i="1"/>
  <c r="AA191" i="1"/>
  <c r="R191" i="1"/>
  <c r="U289" i="1"/>
  <c r="X289" i="1"/>
  <c r="AA289" i="1"/>
  <c r="R289" i="1"/>
  <c r="R59" i="1"/>
  <c r="R58" i="1"/>
  <c r="U59" i="1"/>
  <c r="X59" i="1"/>
  <c r="U178" i="1"/>
  <c r="X178" i="1"/>
  <c r="AA178" i="1"/>
  <c r="R178" i="1"/>
  <c r="U213" i="1"/>
  <c r="X213" i="1"/>
  <c r="AA213" i="1"/>
  <c r="R213" i="1"/>
  <c r="U116" i="1"/>
  <c r="X116" i="1"/>
  <c r="AA116" i="1"/>
  <c r="R116" i="1"/>
  <c r="U115" i="1"/>
  <c r="X115" i="1"/>
  <c r="AA115" i="1"/>
  <c r="R115" i="1"/>
  <c r="AF551" i="1" l="1"/>
  <c r="L551" i="1"/>
  <c r="L18" i="1"/>
  <c r="L252" i="1"/>
  <c r="AF252" i="1"/>
  <c r="L239" i="1"/>
  <c r="L263" i="1"/>
  <c r="L188" i="1"/>
  <c r="L251" i="1"/>
  <c r="L278" i="1"/>
  <c r="AF59" i="1"/>
  <c r="AF289" i="1"/>
  <c r="AF178" i="1"/>
  <c r="AF213" i="1"/>
  <c r="AF116" i="1"/>
  <c r="AF115" i="1"/>
  <c r="AA550" i="1"/>
  <c r="X550" i="1"/>
  <c r="U550" i="1"/>
  <c r="R550" i="1"/>
  <c r="L289" i="1" l="1"/>
  <c r="L59" i="1"/>
  <c r="L178" i="1"/>
  <c r="L213" i="1"/>
  <c r="L116" i="1"/>
  <c r="L115" i="1"/>
  <c r="AJ270" i="1"/>
  <c r="AI270" i="1"/>
  <c r="AJ265" i="1"/>
  <c r="AI265" i="1"/>
  <c r="AJ450" i="1"/>
  <c r="AI450" i="1"/>
  <c r="AI308" i="1"/>
  <c r="U38" i="1"/>
  <c r="X38" i="1"/>
  <c r="R38" i="1"/>
  <c r="X244" i="1"/>
  <c r="AA244" i="1"/>
  <c r="U244" i="1"/>
  <c r="R244" i="1"/>
  <c r="AF550" i="1" l="1"/>
  <c r="L550" i="1"/>
  <c r="AF38" i="1"/>
  <c r="AF244" i="1"/>
  <c r="AA92" i="1"/>
  <c r="U92" i="1"/>
  <c r="X92" i="1"/>
  <c r="R92" i="1"/>
  <c r="U17" i="1"/>
  <c r="X17" i="1"/>
  <c r="AA17" i="1"/>
  <c r="R17" i="1"/>
  <c r="U54" i="1"/>
  <c r="X54" i="1"/>
  <c r="AA54" i="1"/>
  <c r="R54" i="1"/>
  <c r="U44" i="1"/>
  <c r="X44" i="1"/>
  <c r="R44" i="1"/>
  <c r="U218" i="1"/>
  <c r="X218" i="1"/>
  <c r="AA218" i="1"/>
  <c r="R218" i="1"/>
  <c r="U16" i="1"/>
  <c r="X16" i="1"/>
  <c r="AA16" i="1"/>
  <c r="R16" i="1"/>
  <c r="AA53" i="1"/>
  <c r="U53" i="1"/>
  <c r="X53" i="1"/>
  <c r="R53" i="1"/>
  <c r="U69" i="1"/>
  <c r="X69" i="1"/>
  <c r="AA69" i="1"/>
  <c r="R69" i="1"/>
  <c r="U198" i="1"/>
  <c r="X198" i="1"/>
  <c r="AA198" i="1"/>
  <c r="R198" i="1"/>
  <c r="U114" i="1"/>
  <c r="X114" i="1"/>
  <c r="AA114" i="1"/>
  <c r="R114" i="1"/>
  <c r="U293" i="1"/>
  <c r="X293" i="1"/>
  <c r="AA293" i="1"/>
  <c r="R293" i="1"/>
  <c r="U258" i="1"/>
  <c r="X258" i="1"/>
  <c r="AA258" i="1"/>
  <c r="R258" i="1"/>
  <c r="U256" i="1"/>
  <c r="R257" i="1"/>
  <c r="U140" i="1"/>
  <c r="X140" i="1"/>
  <c r="AA140" i="1"/>
  <c r="R140" i="1"/>
  <c r="L38" i="1" l="1"/>
  <c r="L244" i="1"/>
  <c r="AF92" i="1"/>
  <c r="AF17" i="1"/>
  <c r="AF54" i="1"/>
  <c r="AF44" i="1"/>
  <c r="AF218" i="1"/>
  <c r="AF16" i="1"/>
  <c r="AF53" i="1"/>
  <c r="AF69" i="1"/>
  <c r="AF198" i="1"/>
  <c r="L114" i="1"/>
  <c r="L293" i="1"/>
  <c r="AF258" i="1"/>
  <c r="AF257" i="1"/>
  <c r="AF140" i="1"/>
  <c r="L92" i="1" l="1"/>
  <c r="L17" i="1"/>
  <c r="L54" i="1"/>
  <c r="L44" i="1"/>
  <c r="L218" i="1"/>
  <c r="L16" i="1"/>
  <c r="L53" i="1"/>
  <c r="L69" i="1"/>
  <c r="L198" i="1"/>
  <c r="AF114" i="1"/>
  <c r="AF293" i="1"/>
  <c r="L258" i="1"/>
  <c r="L140" i="1"/>
  <c r="L257" i="1"/>
  <c r="U165" i="1"/>
  <c r="X165" i="1"/>
  <c r="AA165" i="1"/>
  <c r="R165" i="1"/>
  <c r="AF165" i="1" l="1"/>
  <c r="R256" i="1"/>
  <c r="X256" i="1"/>
  <c r="AA256" i="1"/>
  <c r="L165" i="1" l="1"/>
  <c r="AF256" i="1"/>
  <c r="AJ444" i="1"/>
  <c r="AI444" i="1"/>
  <c r="L256" i="1" l="1"/>
  <c r="U269" i="1" l="1"/>
  <c r="X269" i="1"/>
  <c r="R269" i="1"/>
  <c r="U190" i="1"/>
  <c r="X190" i="1"/>
  <c r="AA190" i="1"/>
  <c r="R190" i="1"/>
  <c r="U255" i="1"/>
  <c r="X255" i="1"/>
  <c r="AA255" i="1"/>
  <c r="R255" i="1"/>
  <c r="AF255" i="1" l="1"/>
  <c r="AF269" i="1" l="1"/>
  <c r="L269" i="1"/>
  <c r="L255" i="1"/>
  <c r="U68" i="1"/>
  <c r="X68" i="1"/>
  <c r="AA68" i="1"/>
  <c r="R68" i="1"/>
  <c r="U243" i="1"/>
  <c r="X243" i="1"/>
  <c r="AA243" i="1"/>
  <c r="R243" i="1"/>
  <c r="X48" i="1"/>
  <c r="U48" i="1"/>
  <c r="R48" i="1"/>
  <c r="AF68" i="1" l="1"/>
  <c r="AF48" i="1"/>
  <c r="L68" i="1" l="1"/>
  <c r="AF243" i="1"/>
  <c r="L243" i="1"/>
  <c r="L48" i="1"/>
  <c r="U29" i="1"/>
  <c r="X29" i="1"/>
  <c r="AA29" i="1"/>
  <c r="R29" i="1"/>
  <c r="AA177" i="1"/>
  <c r="X177" i="1"/>
  <c r="U177" i="1"/>
  <c r="R177" i="1"/>
  <c r="U113" i="1"/>
  <c r="X113" i="1"/>
  <c r="AA113" i="1"/>
  <c r="R113" i="1"/>
  <c r="U130" i="1"/>
  <c r="X130" i="1"/>
  <c r="AA130" i="1"/>
  <c r="R130" i="1"/>
  <c r="AA212" i="1"/>
  <c r="X212" i="1"/>
  <c r="U212" i="1"/>
  <c r="R212" i="1"/>
  <c r="R288" i="1"/>
  <c r="AA288" i="1"/>
  <c r="X288" i="1"/>
  <c r="U288" i="1"/>
  <c r="AF29" i="1" l="1"/>
  <c r="L177" i="1"/>
  <c r="AF113" i="1"/>
  <c r="AF130" i="1"/>
  <c r="L212" i="1"/>
  <c r="AF288" i="1"/>
  <c r="AF177" i="1" l="1"/>
  <c r="L113" i="1"/>
  <c r="L29" i="1"/>
  <c r="L130" i="1"/>
  <c r="AF212" i="1"/>
  <c r="L288" i="1"/>
  <c r="AA203" i="1" l="1"/>
  <c r="X203" i="1"/>
  <c r="U203" i="1"/>
  <c r="R203" i="1"/>
  <c r="U104" i="1"/>
  <c r="X104" i="1"/>
  <c r="AA104" i="1"/>
  <c r="R104" i="1"/>
  <c r="AA231" i="1"/>
  <c r="X231" i="1"/>
  <c r="U231" i="1"/>
  <c r="R231" i="1"/>
  <c r="AF104" i="1" l="1"/>
  <c r="AF231" i="1"/>
  <c r="L231" i="1" l="1"/>
  <c r="L203" i="1"/>
  <c r="AF203" i="1"/>
  <c r="L104" i="1"/>
  <c r="U187" i="1"/>
  <c r="X187" i="1"/>
  <c r="AA187" i="1"/>
  <c r="R187" i="1"/>
  <c r="U186" i="1"/>
  <c r="X186" i="1"/>
  <c r="AA186" i="1"/>
  <c r="R186" i="1"/>
  <c r="AF187" i="1" l="1"/>
  <c r="L186" i="1"/>
  <c r="AA91" i="1"/>
  <c r="X91" i="1"/>
  <c r="U91" i="1"/>
  <c r="R91" i="1"/>
  <c r="X43" i="1"/>
  <c r="U43" i="1"/>
  <c r="R43" i="1"/>
  <c r="AA103" i="1"/>
  <c r="X103" i="1"/>
  <c r="U103" i="1"/>
  <c r="R103" i="1"/>
  <c r="AA152" i="1"/>
  <c r="X152" i="1"/>
  <c r="U152" i="1"/>
  <c r="R152" i="1"/>
  <c r="AA99" i="1"/>
  <c r="U99" i="1"/>
  <c r="R99" i="1"/>
  <c r="L43" i="1" l="1"/>
  <c r="L187" i="1"/>
  <c r="AF186" i="1"/>
  <c r="L103" i="1"/>
  <c r="AF152" i="1"/>
  <c r="AA160" i="1"/>
  <c r="X160" i="1"/>
  <c r="U160" i="1"/>
  <c r="R160" i="1"/>
  <c r="AA238" i="1"/>
  <c r="X238" i="1"/>
  <c r="U238" i="1"/>
  <c r="R238" i="1"/>
  <c r="AA211" i="1"/>
  <c r="X211" i="1"/>
  <c r="U211" i="1"/>
  <c r="R211" i="1"/>
  <c r="X268" i="1"/>
  <c r="U268" i="1"/>
  <c r="R268" i="1"/>
  <c r="AA217" i="1"/>
  <c r="X217" i="1"/>
  <c r="U217" i="1"/>
  <c r="R217" i="1"/>
  <c r="AA210" i="1"/>
  <c r="X210" i="1"/>
  <c r="U210" i="1"/>
  <c r="R210" i="1"/>
  <c r="AA202" i="1"/>
  <c r="X202" i="1"/>
  <c r="U202" i="1"/>
  <c r="R202" i="1"/>
  <c r="AA277" i="1"/>
  <c r="X277" i="1"/>
  <c r="U277" i="1"/>
  <c r="R277" i="1"/>
  <c r="AA151" i="1"/>
  <c r="X151" i="1"/>
  <c r="U151" i="1"/>
  <c r="R151" i="1"/>
  <c r="X37" i="1"/>
  <c r="U37" i="1"/>
  <c r="R37" i="1"/>
  <c r="AF43" i="1" l="1"/>
  <c r="L152" i="1"/>
  <c r="AF91" i="1"/>
  <c r="L91" i="1"/>
  <c r="AF103" i="1"/>
  <c r="L160" i="1"/>
  <c r="AF238" i="1"/>
  <c r="L211" i="1"/>
  <c r="AF268" i="1"/>
  <c r="L210" i="1"/>
  <c r="L202" i="1"/>
  <c r="AF277" i="1"/>
  <c r="L151" i="1"/>
  <c r="AF37" i="1"/>
  <c r="AF160" i="1" l="1"/>
  <c r="L238" i="1"/>
  <c r="AF211" i="1"/>
  <c r="L268" i="1"/>
  <c r="AF217" i="1"/>
  <c r="L217" i="1"/>
  <c r="AF210" i="1"/>
  <c r="AF202" i="1"/>
  <c r="L277" i="1"/>
  <c r="AF151" i="1"/>
  <c r="L37" i="1"/>
  <c r="AJ372" i="1" l="1"/>
  <c r="AI372" i="1"/>
  <c r="AJ456" i="1"/>
  <c r="AI456" i="1"/>
  <c r="AA292" i="1" l="1"/>
  <c r="X292" i="1"/>
  <c r="U292" i="1"/>
  <c r="R292" i="1"/>
  <c r="U36" i="1"/>
  <c r="X36" i="1"/>
  <c r="R36" i="1"/>
  <c r="AA176" i="1"/>
  <c r="X176" i="1"/>
  <c r="U176" i="1"/>
  <c r="R176" i="1"/>
  <c r="AA250" i="1"/>
  <c r="X250" i="1"/>
  <c r="U250" i="1"/>
  <c r="R250" i="1"/>
  <c r="L36" i="1" l="1"/>
  <c r="L176" i="1"/>
  <c r="AF250" i="1" l="1"/>
  <c r="L292" i="1"/>
  <c r="AF292" i="1"/>
  <c r="AF36" i="1"/>
  <c r="AF176" i="1"/>
  <c r="L250" i="1"/>
  <c r="AA185" i="1" l="1"/>
  <c r="X185" i="1"/>
  <c r="U185" i="1"/>
  <c r="R185" i="1"/>
  <c r="AA90" i="1"/>
  <c r="X90" i="1"/>
  <c r="U90" i="1"/>
  <c r="R90" i="1"/>
  <c r="AA15" i="1"/>
  <c r="X15" i="1"/>
  <c r="U15" i="1"/>
  <c r="R15" i="1"/>
  <c r="AF90" i="1" l="1"/>
  <c r="AF185" i="1"/>
  <c r="AF15" i="1" l="1"/>
  <c r="L15" i="1"/>
  <c r="L90" i="1"/>
  <c r="L185" i="1"/>
  <c r="AJ470" i="1"/>
  <c r="AI470" i="1"/>
  <c r="AJ469" i="1"/>
  <c r="AI469" i="1"/>
  <c r="AJ302" i="1"/>
  <c r="AJ408" i="1"/>
  <c r="AI408" i="1"/>
  <c r="AJ465" i="1"/>
  <c r="AI465" i="1"/>
  <c r="AJ455" i="1"/>
  <c r="AI455" i="1"/>
  <c r="AJ401" i="1"/>
  <c r="AI401" i="1"/>
  <c r="AJ396" i="1"/>
  <c r="AI396" i="1"/>
  <c r="AJ402" i="1"/>
  <c r="AI402" i="1"/>
  <c r="AJ340" i="1"/>
  <c r="AI340" i="1"/>
  <c r="AJ420" i="1"/>
  <c r="AI420" i="1"/>
  <c r="AJ413" i="1"/>
  <c r="AI413" i="1"/>
  <c r="AJ416" i="1"/>
  <c r="AI416" i="1"/>
  <c r="AI454" i="1"/>
  <c r="AJ446" i="1"/>
  <c r="AI446" i="1"/>
  <c r="AA479" i="1" l="1"/>
  <c r="X479" i="1"/>
  <c r="U479" i="1"/>
  <c r="R479" i="1"/>
  <c r="AF479" i="1" l="1"/>
  <c r="AA82" i="1"/>
  <c r="X82" i="1"/>
  <c r="U82" i="1"/>
  <c r="R82" i="1"/>
  <c r="AF82" i="1" l="1"/>
  <c r="AA81" i="1"/>
  <c r="X81" i="1"/>
  <c r="U81" i="1"/>
  <c r="R81" i="1"/>
  <c r="L82" i="1" l="1"/>
  <c r="AF81" i="1" l="1"/>
  <c r="L81" i="1"/>
  <c r="AJ415" i="1" l="1"/>
  <c r="AI415" i="1"/>
  <c r="AI452" i="1"/>
  <c r="AJ432" i="1"/>
  <c r="AI432" i="1"/>
  <c r="AJ457" i="1"/>
  <c r="AI457" i="1"/>
  <c r="AJ453" i="1"/>
  <c r="AI453" i="1"/>
  <c r="AJ403" i="1"/>
  <c r="AI403" i="1"/>
  <c r="AJ385" i="1"/>
  <c r="AI385" i="1"/>
  <c r="AJ448" i="1"/>
  <c r="AI448" i="1"/>
  <c r="AJ409" i="1"/>
  <c r="AI409" i="1"/>
  <c r="AJ462" i="1"/>
  <c r="AI462" i="1"/>
  <c r="AJ454" i="1"/>
  <c r="AJ463" i="1"/>
  <c r="AI463" i="1"/>
  <c r="AJ339" i="1"/>
  <c r="AI339" i="1"/>
  <c r="AA549" i="1" l="1"/>
  <c r="X549" i="1"/>
  <c r="U549" i="1"/>
  <c r="R549" i="1"/>
  <c r="L549" i="1" l="1"/>
  <c r="U472" i="1"/>
  <c r="AF549" i="1" l="1"/>
  <c r="AA548" i="1"/>
  <c r="X548" i="1"/>
  <c r="U548" i="1"/>
  <c r="R548" i="1"/>
  <c r="AF548" i="1" l="1"/>
  <c r="AI406" i="1"/>
  <c r="AI442" i="1"/>
  <c r="AJ406" i="1"/>
  <c r="L548" i="1" l="1"/>
  <c r="AA547" i="1"/>
  <c r="X547" i="1"/>
  <c r="U547" i="1"/>
  <c r="R547" i="1"/>
  <c r="AF547" i="1" l="1"/>
  <c r="L547" i="1" l="1"/>
  <c r="L174" i="1" l="1"/>
  <c r="AA536" i="1" l="1"/>
  <c r="X536" i="1"/>
  <c r="U536" i="1"/>
  <c r="R536" i="1"/>
  <c r="AF536" i="1" l="1"/>
  <c r="L536" i="1"/>
  <c r="AA545" i="1" l="1"/>
  <c r="X545" i="1"/>
  <c r="U545" i="1"/>
  <c r="R545" i="1"/>
  <c r="AF545" i="1" l="1"/>
  <c r="U67" i="1"/>
  <c r="L545" i="1" l="1"/>
  <c r="AI434" i="1"/>
  <c r="AJ434" i="1"/>
  <c r="AI71" i="1"/>
  <c r="AJ119" i="1" l="1"/>
  <c r="AJ418" i="1"/>
  <c r="AI418" i="1"/>
  <c r="AJ421" i="1"/>
  <c r="AI421" i="1"/>
  <c r="AJ367" i="1" l="1"/>
  <c r="AI367" i="1"/>
  <c r="AJ373" i="1"/>
  <c r="AI373" i="1"/>
  <c r="AJ386" i="1"/>
  <c r="AI386" i="1"/>
  <c r="AJ397" i="1"/>
  <c r="AI397" i="1"/>
  <c r="AJ423" i="1"/>
  <c r="AI423" i="1"/>
  <c r="AJ424" i="1"/>
  <c r="AI424" i="1"/>
  <c r="AJ439" i="1"/>
  <c r="AI439" i="1"/>
  <c r="AJ377" i="1"/>
  <c r="AI377" i="1"/>
  <c r="AJ442" i="1"/>
  <c r="AJ451" i="1"/>
  <c r="AI451" i="1"/>
  <c r="AJ398" i="1"/>
  <c r="AI398" i="1"/>
  <c r="AJ445" i="1"/>
  <c r="AI445" i="1"/>
  <c r="AJ449" i="1"/>
  <c r="AI449" i="1"/>
  <c r="AJ441" i="1"/>
  <c r="AI441" i="1"/>
  <c r="AJ425" i="1"/>
  <c r="AI425" i="1"/>
  <c r="AJ414" i="1" l="1"/>
  <c r="AI414" i="1"/>
  <c r="AJ433" i="1" l="1"/>
  <c r="AI433" i="1"/>
  <c r="AJ437" i="1"/>
  <c r="AI437" i="1"/>
  <c r="AJ422" i="1"/>
  <c r="AI422" i="1"/>
  <c r="AJ419" i="1"/>
  <c r="AI419" i="1"/>
  <c r="AJ410" i="1"/>
  <c r="AI410" i="1"/>
  <c r="AJ412" i="1"/>
  <c r="AI412" i="1"/>
  <c r="AJ71" i="1" l="1"/>
  <c r="AJ39" i="1"/>
  <c r="AI346" i="1"/>
  <c r="AA544" i="1" l="1"/>
  <c r="X544" i="1"/>
  <c r="U544" i="1"/>
  <c r="R544" i="1"/>
  <c r="L544" i="1" l="1"/>
  <c r="AF544" i="1" l="1"/>
  <c r="AA543" i="1"/>
  <c r="X543" i="1"/>
  <c r="U543" i="1"/>
  <c r="R543" i="1"/>
  <c r="AA542" i="1"/>
  <c r="X542" i="1"/>
  <c r="U542" i="1"/>
  <c r="R542" i="1"/>
  <c r="X541" i="1"/>
  <c r="U541" i="1"/>
  <c r="R541" i="1"/>
  <c r="AF542" i="1" l="1"/>
  <c r="AF543" i="1"/>
  <c r="L541" i="1"/>
  <c r="X540" i="1"/>
  <c r="U540" i="1"/>
  <c r="R540" i="1"/>
  <c r="L543" i="1" l="1"/>
  <c r="L542" i="1"/>
  <c r="AF541" i="1"/>
  <c r="AF540" i="1"/>
  <c r="L540" i="1" l="1"/>
  <c r="X539" i="1" l="1"/>
  <c r="U539" i="1"/>
  <c r="R539" i="1"/>
  <c r="AF539" i="1" l="1"/>
  <c r="L539" i="1" l="1"/>
  <c r="AJ389" i="1"/>
  <c r="AI389" i="1"/>
  <c r="AI395" i="1"/>
  <c r="AJ395" i="1"/>
  <c r="AJ356" i="1"/>
  <c r="AI356" i="1"/>
  <c r="AJ400" i="1"/>
  <c r="AI400" i="1"/>
  <c r="AJ361" i="1"/>
  <c r="AI361" i="1"/>
  <c r="AJ417" i="1"/>
  <c r="AI417" i="1"/>
  <c r="AJ390" i="1"/>
  <c r="AI390" i="1"/>
  <c r="AJ399" i="1"/>
  <c r="AI399" i="1"/>
  <c r="AJ384" i="1"/>
  <c r="AI384" i="1"/>
  <c r="AJ378" i="1"/>
  <c r="AI378" i="1"/>
  <c r="AJ358" i="1"/>
  <c r="AI358" i="1"/>
  <c r="AJ394" i="1"/>
  <c r="AI394" i="1"/>
  <c r="AJ458" i="1"/>
  <c r="AI458" i="1"/>
  <c r="R430" i="1" l="1"/>
  <c r="X538" i="1" l="1"/>
  <c r="U538" i="1"/>
  <c r="R538" i="1"/>
  <c r="L538" i="1" l="1"/>
  <c r="AF538" i="1" l="1"/>
  <c r="X537" i="1"/>
  <c r="U537" i="1"/>
  <c r="R537" i="1"/>
  <c r="AF537" i="1" l="1"/>
  <c r="L537" i="1" l="1"/>
  <c r="X246" i="1" l="1"/>
  <c r="AA535" i="1" l="1"/>
  <c r="X535" i="1"/>
  <c r="U535" i="1"/>
  <c r="R535" i="1"/>
  <c r="L535" i="1" l="1"/>
  <c r="AF535" i="1" l="1"/>
  <c r="X546" i="1"/>
  <c r="U546" i="1"/>
  <c r="R546" i="1"/>
  <c r="L546" i="1" l="1"/>
  <c r="AF546" i="1" l="1"/>
  <c r="AJ357" i="1" l="1"/>
  <c r="AI357" i="1"/>
  <c r="AJ383" i="1"/>
  <c r="AI383" i="1"/>
  <c r="AJ427" i="1"/>
  <c r="AI427" i="1"/>
  <c r="AJ440" i="1"/>
  <c r="AI440" i="1"/>
  <c r="AJ380" i="1"/>
  <c r="AI380" i="1"/>
  <c r="AJ382" i="1"/>
  <c r="AI382" i="1"/>
  <c r="AJ364" i="1" l="1"/>
  <c r="AI364" i="1"/>
  <c r="AJ426" i="1"/>
  <c r="AI426" i="1"/>
  <c r="AJ365" i="1"/>
  <c r="AI365" i="1"/>
  <c r="AJ359" i="1"/>
  <c r="AI359" i="1"/>
  <c r="AJ354" i="1"/>
  <c r="AI354" i="1"/>
  <c r="AA533" i="1" l="1"/>
  <c r="X533" i="1"/>
  <c r="U533" i="1"/>
  <c r="R533" i="1"/>
  <c r="L533" i="1" l="1"/>
  <c r="AJ73" i="1"/>
  <c r="AI73" i="1"/>
  <c r="AF533" i="1" l="1"/>
  <c r="AA534" i="1"/>
  <c r="X534" i="1"/>
  <c r="U534" i="1"/>
  <c r="R534" i="1"/>
  <c r="L534" i="1" l="1"/>
  <c r="AA532" i="1"/>
  <c r="X532" i="1"/>
  <c r="U532" i="1"/>
  <c r="R532" i="1"/>
  <c r="AF534" i="1" l="1"/>
  <c r="AA223" i="1"/>
  <c r="X223" i="1"/>
  <c r="U223" i="1"/>
  <c r="R223" i="1"/>
  <c r="L532" i="1" l="1"/>
  <c r="AF532" i="1"/>
  <c r="AF223" i="1"/>
  <c r="L223" i="1" l="1"/>
  <c r="AA531" i="1"/>
  <c r="X531" i="1"/>
  <c r="U531" i="1"/>
  <c r="R531" i="1"/>
  <c r="AA529" i="1" l="1"/>
  <c r="X529" i="1"/>
  <c r="U529" i="1"/>
  <c r="R529" i="1"/>
  <c r="AF531" i="1" l="1"/>
  <c r="L531" i="1"/>
  <c r="AF529" i="1"/>
  <c r="AE270" i="1"/>
  <c r="L529" i="1" l="1"/>
  <c r="AA530" i="1"/>
  <c r="X530" i="1"/>
  <c r="U530" i="1"/>
  <c r="R530" i="1"/>
  <c r="M510" i="1"/>
  <c r="M509" i="1"/>
  <c r="AA527" i="1" l="1"/>
  <c r="X527" i="1"/>
  <c r="U527" i="1"/>
  <c r="R527" i="1"/>
  <c r="L530" i="1" l="1"/>
  <c r="AF530" i="1"/>
  <c r="AF527" i="1"/>
  <c r="AA528" i="1"/>
  <c r="X528" i="1"/>
  <c r="U528" i="1"/>
  <c r="R528" i="1"/>
  <c r="L527" i="1" l="1"/>
  <c r="AF528" i="1"/>
  <c r="AA526" i="1"/>
  <c r="X526" i="1"/>
  <c r="U526" i="1"/>
  <c r="R526" i="1"/>
  <c r="L528" i="1" l="1"/>
  <c r="L526" i="1"/>
  <c r="AA525" i="1"/>
  <c r="X525" i="1"/>
  <c r="U525" i="1"/>
  <c r="R525" i="1"/>
  <c r="AF526" i="1" l="1"/>
  <c r="L525" i="1"/>
  <c r="AA524" i="1"/>
  <c r="X524" i="1"/>
  <c r="U524" i="1"/>
  <c r="R524" i="1"/>
  <c r="AF525" i="1" l="1"/>
  <c r="AA457" i="1"/>
  <c r="L524" i="1" l="1"/>
  <c r="AF524" i="1"/>
  <c r="AA523" i="1"/>
  <c r="X523" i="1"/>
  <c r="U523" i="1"/>
  <c r="R523" i="1"/>
  <c r="AA197" i="1" l="1"/>
  <c r="X197" i="1"/>
  <c r="U197" i="1"/>
  <c r="R197" i="1"/>
  <c r="L523" i="1" l="1"/>
  <c r="AF523" i="1"/>
  <c r="L197" i="1"/>
  <c r="AF197" i="1" l="1"/>
  <c r="X46" i="1" l="1"/>
  <c r="U46" i="1"/>
  <c r="R46" i="1"/>
  <c r="AA522" i="1" l="1"/>
  <c r="X522" i="1"/>
  <c r="U522" i="1"/>
  <c r="R522" i="1"/>
  <c r="L46" i="1" l="1"/>
  <c r="AF46" i="1"/>
  <c r="AF522" i="1"/>
  <c r="L522" i="1" l="1"/>
  <c r="AA521" i="1"/>
  <c r="X521" i="1"/>
  <c r="U521" i="1"/>
  <c r="R521" i="1"/>
  <c r="AF521" i="1" l="1"/>
  <c r="AJ193" i="1"/>
  <c r="AA520" i="1"/>
  <c r="X520" i="1"/>
  <c r="U520" i="1"/>
  <c r="R520" i="1"/>
  <c r="AI72" i="1"/>
  <c r="L521" i="1" l="1"/>
  <c r="AF520" i="1"/>
  <c r="AA519" i="1"/>
  <c r="U519" i="1"/>
  <c r="X519" i="1"/>
  <c r="R519" i="1"/>
  <c r="L520" i="1" l="1"/>
  <c r="L519" i="1"/>
  <c r="AA517" i="1"/>
  <c r="AA518" i="1"/>
  <c r="X517" i="1"/>
  <c r="X518" i="1"/>
  <c r="U517" i="1"/>
  <c r="U518" i="1"/>
  <c r="R517" i="1"/>
  <c r="R518" i="1"/>
  <c r="AF519" i="1" l="1"/>
  <c r="AF517" i="1"/>
  <c r="AF518" i="1"/>
  <c r="R441" i="1"/>
  <c r="R386" i="1"/>
  <c r="L517" i="1" l="1"/>
  <c r="L518" i="1"/>
  <c r="R181" i="1"/>
  <c r="X181" i="1" l="1"/>
  <c r="AA516" i="1" l="1"/>
  <c r="X516" i="1"/>
  <c r="U516" i="1"/>
  <c r="R516" i="1"/>
  <c r="L516" i="1" l="1"/>
  <c r="AA230" i="1"/>
  <c r="X6" i="1"/>
  <c r="X7" i="1"/>
  <c r="X8" i="1"/>
  <c r="X9" i="1"/>
  <c r="X10" i="1"/>
  <c r="X11" i="1"/>
  <c r="X12" i="1"/>
  <c r="X13" i="1"/>
  <c r="X14" i="1"/>
  <c r="X19" i="1"/>
  <c r="X20" i="1"/>
  <c r="X21" i="1"/>
  <c r="X22" i="1"/>
  <c r="X23" i="1"/>
  <c r="X24" i="1"/>
  <c r="X25" i="1"/>
  <c r="X26" i="1"/>
  <c r="X27" i="1"/>
  <c r="X28" i="1"/>
  <c r="X30" i="1"/>
  <c r="X31" i="1"/>
  <c r="X32" i="1"/>
  <c r="X33" i="1"/>
  <c r="X34" i="1"/>
  <c r="X35" i="1"/>
  <c r="X39" i="1"/>
  <c r="X40" i="1"/>
  <c r="X41" i="1"/>
  <c r="X42" i="1"/>
  <c r="X45" i="1"/>
  <c r="X47" i="1"/>
  <c r="X49" i="1"/>
  <c r="X50" i="1"/>
  <c r="X51" i="1"/>
  <c r="X52" i="1"/>
  <c r="X55" i="1"/>
  <c r="X56" i="1"/>
  <c r="X57" i="1"/>
  <c r="X58" i="1"/>
  <c r="X60" i="1"/>
  <c r="X61" i="1"/>
  <c r="X62" i="1"/>
  <c r="X63" i="1"/>
  <c r="X64" i="1"/>
  <c r="X65" i="1"/>
  <c r="X66" i="1"/>
  <c r="X67" i="1"/>
  <c r="X70" i="1"/>
  <c r="X71" i="1"/>
  <c r="X72" i="1"/>
  <c r="X73" i="1"/>
  <c r="X75" i="1"/>
  <c r="X76" i="1"/>
  <c r="X77" i="1"/>
  <c r="X78" i="1"/>
  <c r="X79" i="1"/>
  <c r="X80" i="1"/>
  <c r="X83" i="1"/>
  <c r="X84" i="1"/>
  <c r="X85" i="1"/>
  <c r="X86" i="1"/>
  <c r="X87" i="1"/>
  <c r="X88" i="1"/>
  <c r="X89" i="1"/>
  <c r="X93" i="1"/>
  <c r="X94" i="1"/>
  <c r="X95" i="1"/>
  <c r="X96" i="1"/>
  <c r="X97" i="1"/>
  <c r="X98" i="1"/>
  <c r="X99" i="1"/>
  <c r="X100" i="1"/>
  <c r="X101" i="1"/>
  <c r="X102" i="1"/>
  <c r="X106" i="1"/>
  <c r="X107" i="1"/>
  <c r="X108" i="1"/>
  <c r="X109" i="1"/>
  <c r="X110" i="1"/>
  <c r="X111" i="1"/>
  <c r="X112" i="1"/>
  <c r="X118" i="1"/>
  <c r="X119" i="1"/>
  <c r="X120" i="1"/>
  <c r="X121" i="1"/>
  <c r="X122" i="1"/>
  <c r="X126" i="1"/>
  <c r="X127" i="1"/>
  <c r="X128" i="1"/>
  <c r="X129" i="1"/>
  <c r="X131" i="1"/>
  <c r="X132" i="1"/>
  <c r="X133" i="1"/>
  <c r="X134" i="1"/>
  <c r="X135" i="1"/>
  <c r="X136" i="1"/>
  <c r="X137" i="1"/>
  <c r="X138" i="1"/>
  <c r="X139" i="1"/>
  <c r="X141" i="1"/>
  <c r="X142" i="1"/>
  <c r="X143" i="1"/>
  <c r="X144" i="1"/>
  <c r="X145" i="1"/>
  <c r="X146" i="1"/>
  <c r="X147" i="1"/>
  <c r="X148" i="1"/>
  <c r="X149" i="1"/>
  <c r="X150" i="1"/>
  <c r="X153" i="1"/>
  <c r="X154" i="1"/>
  <c r="X155" i="1"/>
  <c r="X156" i="1"/>
  <c r="X157" i="1"/>
  <c r="X158" i="1"/>
  <c r="X159" i="1"/>
  <c r="X161" i="1"/>
  <c r="X163" i="1"/>
  <c r="X164" i="1"/>
  <c r="X166" i="1"/>
  <c r="X167" i="1"/>
  <c r="X168" i="1"/>
  <c r="X169" i="1"/>
  <c r="X170" i="1"/>
  <c r="X171" i="1"/>
  <c r="X172" i="1"/>
  <c r="X173" i="1"/>
  <c r="X175" i="1"/>
  <c r="X179" i="1"/>
  <c r="X180" i="1"/>
  <c r="X182" i="1"/>
  <c r="X183" i="1"/>
  <c r="X184" i="1"/>
  <c r="X189" i="1"/>
  <c r="X192" i="1"/>
  <c r="X193" i="1"/>
  <c r="X194" i="1"/>
  <c r="X195" i="1"/>
  <c r="X196" i="1"/>
  <c r="X199" i="1"/>
  <c r="X200" i="1"/>
  <c r="X201" i="1"/>
  <c r="X204" i="1"/>
  <c r="X205" i="1"/>
  <c r="X206" i="1"/>
  <c r="X207" i="1"/>
  <c r="X208" i="1"/>
  <c r="X209" i="1"/>
  <c r="X214" i="1"/>
  <c r="X215" i="1"/>
  <c r="X216" i="1"/>
  <c r="X219" i="1"/>
  <c r="X220" i="1"/>
  <c r="X221" i="1"/>
  <c r="X222" i="1"/>
  <c r="X224" i="1"/>
  <c r="X225" i="1"/>
  <c r="X226" i="1"/>
  <c r="X227" i="1"/>
  <c r="X228" i="1"/>
  <c r="X229" i="1"/>
  <c r="X230" i="1"/>
  <c r="U6" i="1"/>
  <c r="U7" i="1"/>
  <c r="U8" i="1"/>
  <c r="U9" i="1"/>
  <c r="U10" i="1"/>
  <c r="U11" i="1"/>
  <c r="U12" i="1"/>
  <c r="U13" i="1"/>
  <c r="U14" i="1"/>
  <c r="U19" i="1"/>
  <c r="U20" i="1"/>
  <c r="U21" i="1"/>
  <c r="U22" i="1"/>
  <c r="U23" i="1"/>
  <c r="U24" i="1"/>
  <c r="U25" i="1"/>
  <c r="U26" i="1"/>
  <c r="U27" i="1"/>
  <c r="U28" i="1"/>
  <c r="U30" i="1"/>
  <c r="U31" i="1"/>
  <c r="U32" i="1"/>
  <c r="U33" i="1"/>
  <c r="U34" i="1"/>
  <c r="U35" i="1"/>
  <c r="U39" i="1"/>
  <c r="U40" i="1"/>
  <c r="U41" i="1"/>
  <c r="U42" i="1"/>
  <c r="U45" i="1"/>
  <c r="U47" i="1"/>
  <c r="U49" i="1"/>
  <c r="U50" i="1"/>
  <c r="U51" i="1"/>
  <c r="U52" i="1"/>
  <c r="U55" i="1"/>
  <c r="U56" i="1"/>
  <c r="U57" i="1"/>
  <c r="U58" i="1"/>
  <c r="U60" i="1"/>
  <c r="U61" i="1"/>
  <c r="U62" i="1"/>
  <c r="U63" i="1"/>
  <c r="U64" i="1"/>
  <c r="U65" i="1"/>
  <c r="U66" i="1"/>
  <c r="U70" i="1"/>
  <c r="U71" i="1"/>
  <c r="U72" i="1"/>
  <c r="U73" i="1"/>
  <c r="U75" i="1"/>
  <c r="U76" i="1"/>
  <c r="U77" i="1"/>
  <c r="U78" i="1"/>
  <c r="U79" i="1"/>
  <c r="U80" i="1"/>
  <c r="U83" i="1"/>
  <c r="U84" i="1"/>
  <c r="U85" i="1"/>
  <c r="U86" i="1"/>
  <c r="U87" i="1"/>
  <c r="U88" i="1"/>
  <c r="U89" i="1"/>
  <c r="U93" i="1"/>
  <c r="U94" i="1"/>
  <c r="U95" i="1"/>
  <c r="U96" i="1"/>
  <c r="U97" i="1"/>
  <c r="U98" i="1"/>
  <c r="U100" i="1"/>
  <c r="U101" i="1"/>
  <c r="U102" i="1"/>
  <c r="U106" i="1"/>
  <c r="U107" i="1"/>
  <c r="U108" i="1"/>
  <c r="U109" i="1"/>
  <c r="U110" i="1"/>
  <c r="U111" i="1"/>
  <c r="U112" i="1"/>
  <c r="U118" i="1"/>
  <c r="U119" i="1"/>
  <c r="U120" i="1"/>
  <c r="U121" i="1"/>
  <c r="U122" i="1"/>
  <c r="U126" i="1"/>
  <c r="U127" i="1"/>
  <c r="U128" i="1"/>
  <c r="U129" i="1"/>
  <c r="U131" i="1"/>
  <c r="U132" i="1"/>
  <c r="U133" i="1"/>
  <c r="U134" i="1"/>
  <c r="U135" i="1"/>
  <c r="U136" i="1"/>
  <c r="U137" i="1"/>
  <c r="U138" i="1"/>
  <c r="U139" i="1"/>
  <c r="U141" i="1"/>
  <c r="U142" i="1"/>
  <c r="U143" i="1"/>
  <c r="U144" i="1"/>
  <c r="U145" i="1"/>
  <c r="U146" i="1"/>
  <c r="U147" i="1"/>
  <c r="U148" i="1"/>
  <c r="U149" i="1"/>
  <c r="U150" i="1"/>
  <c r="U153" i="1"/>
  <c r="U154" i="1"/>
  <c r="U155" i="1"/>
  <c r="U156" i="1"/>
  <c r="U157" i="1"/>
  <c r="U158" i="1"/>
  <c r="U159" i="1"/>
  <c r="U161" i="1"/>
  <c r="U163" i="1"/>
  <c r="U164" i="1"/>
  <c r="U166" i="1"/>
  <c r="U167" i="1"/>
  <c r="U168" i="1"/>
  <c r="U169" i="1"/>
  <c r="U170" i="1"/>
  <c r="U171" i="1"/>
  <c r="U172" i="1"/>
  <c r="U173" i="1"/>
  <c r="U175" i="1"/>
  <c r="U179" i="1"/>
  <c r="U180" i="1"/>
  <c r="U182" i="1"/>
  <c r="U183" i="1"/>
  <c r="U184" i="1"/>
  <c r="U189" i="1"/>
  <c r="U192" i="1"/>
  <c r="U193" i="1"/>
  <c r="U194" i="1"/>
  <c r="U195" i="1"/>
  <c r="U196" i="1"/>
  <c r="U199" i="1"/>
  <c r="U200" i="1"/>
  <c r="U201" i="1"/>
  <c r="U204" i="1"/>
  <c r="U205" i="1"/>
  <c r="U206" i="1"/>
  <c r="U207" i="1"/>
  <c r="U208" i="1"/>
  <c r="U209" i="1"/>
  <c r="U214" i="1"/>
  <c r="U215" i="1"/>
  <c r="U216" i="1"/>
  <c r="U219" i="1"/>
  <c r="U220" i="1"/>
  <c r="U221" i="1"/>
  <c r="U222" i="1"/>
  <c r="U224" i="1"/>
  <c r="U225" i="1"/>
  <c r="U226" i="1"/>
  <c r="U227" i="1"/>
  <c r="U228" i="1"/>
  <c r="U229" i="1"/>
  <c r="U230" i="1"/>
  <c r="R230" i="1"/>
  <c r="AF516" i="1" l="1"/>
  <c r="AF230" i="1"/>
  <c r="AF99" i="1" l="1"/>
  <c r="L99" i="1"/>
  <c r="L230" i="1"/>
  <c r="R42" i="1"/>
  <c r="AF42" i="1" l="1"/>
  <c r="L42" i="1"/>
  <c r="AA515" i="1"/>
  <c r="X515" i="1"/>
  <c r="U515" i="1"/>
  <c r="R515" i="1"/>
  <c r="U514" i="1"/>
  <c r="AA514" i="1"/>
  <c r="X514" i="1"/>
  <c r="R514" i="1"/>
  <c r="L514" i="1" l="1"/>
  <c r="L515" i="1"/>
  <c r="AA513" i="1"/>
  <c r="X513" i="1"/>
  <c r="U513" i="1"/>
  <c r="R513" i="1"/>
  <c r="AF513" i="1" l="1"/>
  <c r="AF514" i="1"/>
  <c r="AF515" i="1"/>
  <c r="AA23" i="1"/>
  <c r="R23" i="1"/>
  <c r="L513" i="1" l="1"/>
  <c r="X512" i="1"/>
  <c r="AF23" i="1" l="1"/>
  <c r="L23" i="1"/>
  <c r="AA512" i="1"/>
  <c r="U512" i="1"/>
  <c r="R512" i="1"/>
  <c r="N512" i="1"/>
  <c r="O512" i="1"/>
  <c r="P512" i="1"/>
  <c r="AA67" i="1" l="1"/>
  <c r="R67" i="1"/>
  <c r="L512" i="1" l="1"/>
  <c r="AF512" i="1"/>
  <c r="AA511" i="1"/>
  <c r="X511" i="1"/>
  <c r="U511" i="1"/>
  <c r="R511" i="1"/>
  <c r="Q511" i="1"/>
  <c r="Q512" i="1" s="1"/>
  <c r="Q513" i="1" s="1"/>
  <c r="Q514" i="1" s="1"/>
  <c r="Q515" i="1" s="1"/>
  <c r="Q516" i="1" s="1"/>
  <c r="D512" i="1"/>
  <c r="L67" i="1" l="1"/>
  <c r="AF67" i="1"/>
  <c r="AF511" i="1"/>
  <c r="AA89" i="1"/>
  <c r="R89" i="1"/>
  <c r="L511" i="1" l="1"/>
  <c r="L89" i="1"/>
  <c r="AA222" i="1"/>
  <c r="R222" i="1"/>
  <c r="AF89" i="1" l="1"/>
  <c r="AF222" i="1" l="1"/>
  <c r="L222" i="1"/>
  <c r="AA164" i="1" l="1"/>
  <c r="R164" i="1"/>
  <c r="L164" i="1" l="1"/>
  <c r="AJ368" i="1"/>
  <c r="AI368" i="1"/>
  <c r="AF164" i="1" l="1"/>
  <c r="AJ366" i="1" l="1"/>
  <c r="AI366" i="1"/>
  <c r="L500" i="1" l="1"/>
  <c r="AA129" i="1" l="1"/>
  <c r="R129" i="1"/>
  <c r="M129" i="1"/>
  <c r="M130" i="1" s="1"/>
  <c r="N129" i="1"/>
  <c r="N130" i="1" s="1"/>
  <c r="O129" i="1"/>
  <c r="P129" i="1"/>
  <c r="P130" i="1" s="1"/>
  <c r="Q129" i="1"/>
  <c r="G129" i="1"/>
  <c r="L129" i="1" l="1"/>
  <c r="AA510" i="1"/>
  <c r="X510" i="1"/>
  <c r="U510" i="1"/>
  <c r="R510" i="1"/>
  <c r="AF129" i="1" l="1"/>
  <c r="AF510" i="1"/>
  <c r="AA509" i="1"/>
  <c r="X509" i="1"/>
  <c r="U509" i="1"/>
  <c r="R509" i="1"/>
  <c r="L510" i="1" l="1"/>
  <c r="AA507" i="1"/>
  <c r="AA508" i="1"/>
  <c r="X507" i="1"/>
  <c r="X508" i="1"/>
  <c r="U507" i="1"/>
  <c r="U508" i="1"/>
  <c r="R507" i="1"/>
  <c r="R508" i="1"/>
  <c r="L509" i="1" l="1"/>
  <c r="AF509" i="1"/>
  <c r="L508" i="1" l="1"/>
  <c r="AF508" i="1"/>
  <c r="L507" i="1"/>
  <c r="AF507" i="1"/>
  <c r="X506" i="1" l="1"/>
  <c r="U506" i="1"/>
  <c r="AA506" i="1"/>
  <c r="R506" i="1"/>
  <c r="N509" i="1"/>
  <c r="N510" i="1" s="1"/>
  <c r="O506" i="1"/>
  <c r="O507" i="1" s="1"/>
  <c r="O508" i="1" s="1"/>
  <c r="P506" i="1"/>
  <c r="P507" i="1" s="1"/>
  <c r="P508" i="1" s="1"/>
  <c r="Q506" i="1"/>
  <c r="Q507" i="1" s="1"/>
  <c r="Q508" i="1" s="1"/>
  <c r="Q509" i="1" s="1"/>
  <c r="AF506" i="1" l="1"/>
  <c r="L506" i="1" l="1"/>
  <c r="AA242" i="1"/>
  <c r="X242" i="1"/>
  <c r="U242" i="1"/>
  <c r="R242" i="1"/>
  <c r="AA175" i="1"/>
  <c r="R175" i="1"/>
  <c r="R504" i="1"/>
  <c r="U504" i="1"/>
  <c r="X504" i="1"/>
  <c r="AA504" i="1"/>
  <c r="R505" i="1"/>
  <c r="U505" i="1"/>
  <c r="X505" i="1"/>
  <c r="AA505" i="1"/>
  <c r="AF505" i="1" l="1"/>
  <c r="L242" i="1"/>
  <c r="L504" i="1"/>
  <c r="AF175" i="1" l="1"/>
  <c r="L175" i="1"/>
  <c r="L505" i="1"/>
  <c r="AF504" i="1"/>
  <c r="AF242" i="1"/>
  <c r="AA146" i="1"/>
  <c r="R146" i="1"/>
  <c r="AF146" i="1" l="1"/>
  <c r="L146" i="1"/>
  <c r="AA503" i="1"/>
  <c r="AA502" i="1" l="1"/>
  <c r="X503" i="1"/>
  <c r="U503" i="1"/>
  <c r="R503" i="1"/>
  <c r="AF503" i="1" l="1"/>
  <c r="X502" i="1"/>
  <c r="U502" i="1"/>
  <c r="R502" i="1"/>
  <c r="L503" i="1" l="1"/>
  <c r="L502" i="1"/>
  <c r="X501" i="1"/>
  <c r="U501" i="1"/>
  <c r="R501" i="1"/>
  <c r="AF502" i="1" l="1"/>
  <c r="AA501" i="1"/>
  <c r="AF501" i="1" s="1"/>
  <c r="L501" i="1" l="1"/>
  <c r="AA189" i="1"/>
  <c r="R189" i="1"/>
  <c r="L189" i="1" l="1"/>
  <c r="AI345" i="1"/>
  <c r="AJ355" i="1"/>
  <c r="AI355" i="1"/>
  <c r="AF189" i="1" l="1"/>
  <c r="AA499" i="1"/>
  <c r="X499" i="1"/>
  <c r="U499" i="1"/>
  <c r="R499" i="1"/>
  <c r="AF499" i="1" l="1"/>
  <c r="L499" i="1" l="1"/>
  <c r="R35" i="1"/>
  <c r="AA498" i="1" l="1"/>
  <c r="U498" i="1"/>
  <c r="X498" i="1"/>
  <c r="R498" i="1"/>
  <c r="AF35" i="1" l="1"/>
  <c r="L35" i="1"/>
  <c r="AF498" i="1"/>
  <c r="L498" i="1" l="1"/>
  <c r="AA497" i="1"/>
  <c r="X497" i="1"/>
  <c r="U497" i="1"/>
  <c r="R497" i="1" l="1"/>
  <c r="AA496" i="1" l="1"/>
  <c r="X496" i="1"/>
  <c r="U496" i="1"/>
  <c r="R496" i="1"/>
  <c r="AF497" i="1" l="1"/>
  <c r="L497" i="1"/>
  <c r="AF496" i="1"/>
  <c r="AA209" i="1"/>
  <c r="R209" i="1"/>
  <c r="L496" i="1" l="1"/>
  <c r="L209" i="1"/>
  <c r="AF209" i="1" l="1"/>
  <c r="L58" i="1" l="1"/>
  <c r="AF58" i="1"/>
  <c r="AA495" i="1"/>
  <c r="X495" i="1"/>
  <c r="U495" i="1"/>
  <c r="R495" i="1"/>
  <c r="R494" i="1"/>
  <c r="AA494" i="1"/>
  <c r="U494" i="1"/>
  <c r="AA493" i="1"/>
  <c r="X493" i="1"/>
  <c r="U493" i="1"/>
  <c r="R493" i="1"/>
  <c r="L495" i="1" l="1"/>
  <c r="L493" i="1"/>
  <c r="AA254" i="1"/>
  <c r="X254" i="1"/>
  <c r="U254" i="1"/>
  <c r="R254" i="1"/>
  <c r="AF493" i="1" l="1"/>
  <c r="AF495" i="1"/>
  <c r="L254" i="1"/>
  <c r="AF254" i="1" l="1"/>
  <c r="AA237" i="1"/>
  <c r="X237" i="1"/>
  <c r="U237" i="1"/>
  <c r="R237" i="1"/>
  <c r="AA236" i="1"/>
  <c r="X236" i="1"/>
  <c r="U236" i="1"/>
  <c r="R236" i="1"/>
  <c r="AA34" i="1"/>
  <c r="R34" i="1"/>
  <c r="AA235" i="1"/>
  <c r="X235" i="1"/>
  <c r="U235" i="1"/>
  <c r="R235" i="1"/>
  <c r="AA122" i="1"/>
  <c r="R122" i="1"/>
  <c r="AF237" i="1" l="1"/>
  <c r="L236" i="1"/>
  <c r="AF235" i="1"/>
  <c r="AA492" i="1"/>
  <c r="X492" i="1"/>
  <c r="U492" i="1"/>
  <c r="R492" i="1"/>
  <c r="AF122" i="1" l="1"/>
  <c r="L122" i="1"/>
  <c r="AF34" i="1"/>
  <c r="L34" i="1"/>
  <c r="L237" i="1"/>
  <c r="L235" i="1"/>
  <c r="AF236" i="1"/>
  <c r="AF492" i="1"/>
  <c r="X494" i="1"/>
  <c r="L494" i="1" s="1"/>
  <c r="L492" i="1" l="1"/>
  <c r="AF494" i="1"/>
  <c r="R373" i="1"/>
  <c r="AA491" i="1" l="1"/>
  <c r="X491" i="1"/>
  <c r="U491" i="1"/>
  <c r="R491" i="1"/>
  <c r="AA489" i="1"/>
  <c r="X489" i="1"/>
  <c r="U489" i="1"/>
  <c r="R489" i="1"/>
  <c r="AA249" i="1"/>
  <c r="X249" i="1"/>
  <c r="U249" i="1"/>
  <c r="R249" i="1"/>
  <c r="AF249" i="1" l="1"/>
  <c r="L489" i="1"/>
  <c r="AF491" i="1" l="1"/>
  <c r="L491" i="1"/>
  <c r="L249" i="1"/>
  <c r="AF489" i="1"/>
  <c r="AA194" i="1"/>
  <c r="R194" i="1"/>
  <c r="R40" i="1" l="1"/>
  <c r="R41" i="1"/>
  <c r="AF194" i="1" l="1"/>
  <c r="L194" i="1"/>
  <c r="AF41" i="1" l="1"/>
  <c r="L41" i="1"/>
  <c r="AA490" i="1"/>
  <c r="X490" i="1" l="1"/>
  <c r="U490" i="1"/>
  <c r="R490" i="1"/>
  <c r="AF490" i="1" l="1"/>
  <c r="O47" i="1"/>
  <c r="L490" i="1" l="1"/>
  <c r="AA88" i="1"/>
  <c r="R88" i="1"/>
  <c r="L93" i="1" l="1"/>
  <c r="AA208" i="1"/>
  <c r="R208" i="1"/>
  <c r="AF88" i="1" l="1"/>
  <c r="L88" i="1"/>
  <c r="AF208" i="1" l="1"/>
  <c r="L208" i="1"/>
  <c r="R47" i="1"/>
  <c r="M47" i="1"/>
  <c r="H47" i="1"/>
  <c r="N47" i="1" l="1"/>
  <c r="L47" i="1" l="1"/>
  <c r="AF47" i="1"/>
  <c r="AA229" i="1"/>
  <c r="R229" i="1"/>
  <c r="AA102" i="1" l="1"/>
  <c r="R102" i="1"/>
  <c r="AF229" i="1" l="1"/>
  <c r="L229" i="1"/>
  <c r="L102" i="1"/>
  <c r="AF102" i="1" l="1"/>
  <c r="AA80" i="1"/>
  <c r="R80" i="1"/>
  <c r="L80" i="1" l="1"/>
  <c r="AF80" i="1" l="1"/>
  <c r="AF180" i="1"/>
  <c r="AF93" i="1"/>
  <c r="R78" i="1" l="1"/>
  <c r="AF78" i="1" l="1"/>
  <c r="L78" i="1"/>
  <c r="AA163" i="1"/>
  <c r="R163" i="1"/>
  <c r="L163" i="1" l="1"/>
  <c r="AA184" i="1"/>
  <c r="R184" i="1"/>
  <c r="AF163" i="1" l="1"/>
  <c r="X488" i="1"/>
  <c r="U488" i="1"/>
  <c r="R488" i="1"/>
  <c r="AF488" i="1" l="1"/>
  <c r="AA33" i="1"/>
  <c r="R33" i="1"/>
  <c r="AA173" i="1"/>
  <c r="R173" i="1"/>
  <c r="L488" i="1" l="1"/>
  <c r="L173" i="1"/>
  <c r="AA228" i="1"/>
  <c r="R228" i="1"/>
  <c r="AF33" i="1" l="1"/>
  <c r="L33" i="1"/>
  <c r="AF173" i="1"/>
  <c r="AA111" i="1"/>
  <c r="R111" i="1"/>
  <c r="AF228" i="1" l="1"/>
  <c r="L228" i="1"/>
  <c r="L111" i="1"/>
  <c r="AF111" i="1" l="1"/>
  <c r="AA76" i="1" l="1"/>
  <c r="AA77" i="1"/>
  <c r="AA79" i="1"/>
  <c r="R75" i="1"/>
  <c r="R76" i="1"/>
  <c r="R77" i="1"/>
  <c r="R79" i="1"/>
  <c r="L76" i="1" l="1"/>
  <c r="AA112" i="1"/>
  <c r="R112" i="1"/>
  <c r="P112" i="1"/>
  <c r="Q112" i="1"/>
  <c r="AF77" i="1" l="1"/>
  <c r="L77" i="1"/>
  <c r="AF79" i="1"/>
  <c r="L79" i="1"/>
  <c r="AF76" i="1"/>
  <c r="AA172" i="1"/>
  <c r="R172" i="1"/>
  <c r="AF112" i="1" l="1"/>
  <c r="L112" i="1"/>
  <c r="L172" i="1"/>
  <c r="AA14" i="1"/>
  <c r="R14" i="1"/>
  <c r="L14" i="1" l="1"/>
  <c r="AF172" i="1"/>
  <c r="X262" i="1"/>
  <c r="AA262" i="1"/>
  <c r="U262" i="1"/>
  <c r="R262" i="1"/>
  <c r="AF14" i="1" l="1"/>
  <c r="L262" i="1"/>
  <c r="R52" i="1"/>
  <c r="L184" i="1" l="1"/>
  <c r="AF262" i="1"/>
  <c r="AA261" i="1"/>
  <c r="X261" i="1"/>
  <c r="U261" i="1"/>
  <c r="R261" i="1"/>
  <c r="R171" i="1"/>
  <c r="AA171" i="1"/>
  <c r="AF52" i="1" l="1"/>
  <c r="L52" i="1"/>
  <c r="AF184" i="1"/>
  <c r="L261" i="1"/>
  <c r="AA28" i="1"/>
  <c r="R28" i="1"/>
  <c r="AF171" i="1" l="1"/>
  <c r="L171" i="1"/>
  <c r="AF261" i="1"/>
  <c r="AF28" i="1" l="1"/>
  <c r="L28" i="1"/>
  <c r="AA139" i="1"/>
  <c r="R139" i="1"/>
  <c r="L139" i="1" l="1"/>
  <c r="R460" i="1"/>
  <c r="AA183" i="1"/>
  <c r="R183" i="1"/>
  <c r="AF139" i="1" l="1"/>
  <c r="R148" i="1"/>
  <c r="AA98" i="1" l="1"/>
  <c r="R98" i="1"/>
  <c r="M98" i="1" l="1"/>
  <c r="N98" i="1"/>
  <c r="E98" i="1"/>
  <c r="AF98" i="1" l="1"/>
  <c r="L98" i="1"/>
  <c r="R138" i="1"/>
  <c r="AF138" i="1" l="1"/>
  <c r="L138" i="1"/>
  <c r="AA101" i="1" l="1"/>
  <c r="R101" i="1"/>
  <c r="L101" i="1" l="1"/>
  <c r="X487" i="1"/>
  <c r="AA487" i="1"/>
  <c r="U487" i="1"/>
  <c r="R487" i="1"/>
  <c r="AF101" i="1" l="1"/>
  <c r="L487" i="1"/>
  <c r="AF487" i="1" l="1"/>
  <c r="AA97" i="1"/>
  <c r="R97" i="1"/>
  <c r="AA302" i="1"/>
  <c r="X302" i="1"/>
  <c r="U302" i="1"/>
  <c r="R302" i="1"/>
  <c r="AA301" i="1"/>
  <c r="X301" i="1"/>
  <c r="U301" i="1"/>
  <c r="R301" i="1"/>
  <c r="L97" i="1" l="1"/>
  <c r="L302" i="1"/>
  <c r="AF301" i="1"/>
  <c r="L301" i="1" l="1"/>
  <c r="AF97" i="1"/>
  <c r="AF302" i="1"/>
  <c r="U486" i="1"/>
  <c r="AA486" i="1" l="1"/>
  <c r="X486" i="1"/>
  <c r="R486" i="1"/>
  <c r="AF486" i="1" l="1"/>
  <c r="R443" i="1"/>
  <c r="L486" i="1" l="1"/>
  <c r="AA66" i="1"/>
  <c r="R66" i="1"/>
  <c r="L66" i="1" l="1"/>
  <c r="AF66" i="1" l="1"/>
  <c r="L485" i="1" l="1"/>
  <c r="L162" i="1"/>
  <c r="AA22" i="1" l="1"/>
  <c r="R22" i="1"/>
  <c r="AA390" i="1" l="1"/>
  <c r="X390" i="1"/>
  <c r="R390" i="1"/>
  <c r="U390" i="1"/>
  <c r="AF22" i="1" l="1"/>
  <c r="L22" i="1"/>
  <c r="AA169" i="1" l="1"/>
  <c r="AA170" i="1"/>
  <c r="R170" i="1"/>
  <c r="X234" i="1" l="1"/>
  <c r="AF170" i="1" l="1"/>
  <c r="L170" i="1"/>
  <c r="X267" i="1"/>
  <c r="U267" i="1"/>
  <c r="R267" i="1"/>
  <c r="AF267" i="1" l="1"/>
  <c r="R156" i="1"/>
  <c r="AA481" i="1"/>
  <c r="U481" i="1"/>
  <c r="R481" i="1"/>
  <c r="L267" i="1" l="1"/>
  <c r="AF481" i="1"/>
  <c r="X247" i="1"/>
  <c r="L481" i="1" l="1"/>
  <c r="AA303" i="1"/>
  <c r="X303" i="1"/>
  <c r="U303" i="1"/>
  <c r="R303" i="1"/>
  <c r="AB431" i="1" l="1"/>
  <c r="AA13" i="1"/>
  <c r="R13" i="1"/>
  <c r="AF303" i="1" l="1"/>
  <c r="L303" i="1"/>
  <c r="AA275" i="1"/>
  <c r="X275" i="1"/>
  <c r="U275" i="1"/>
  <c r="R275" i="1"/>
  <c r="AF13" i="1" l="1"/>
  <c r="L13" i="1"/>
  <c r="AF275" i="1"/>
  <c r="L275" i="1" l="1"/>
  <c r="AA12" i="1"/>
  <c r="R12" i="1"/>
  <c r="AA248" i="1" l="1"/>
  <c r="X248" i="1"/>
  <c r="X241" i="1"/>
  <c r="U247" i="1"/>
  <c r="U248" i="1"/>
  <c r="R248" i="1"/>
  <c r="R245" i="1"/>
  <c r="AF12" i="1" l="1"/>
  <c r="L12" i="1"/>
  <c r="AA247" i="1"/>
  <c r="R247" i="1"/>
  <c r="R246" i="1"/>
  <c r="L248" i="1"/>
  <c r="AF248" i="1" l="1"/>
  <c r="AF247" i="1"/>
  <c r="L247" i="1" l="1"/>
  <c r="AA297" i="1"/>
  <c r="X297" i="1"/>
  <c r="U297" i="1"/>
  <c r="R297" i="1"/>
  <c r="AA405" i="1"/>
  <c r="X405" i="1"/>
  <c r="U405" i="1"/>
  <c r="R405" i="1"/>
  <c r="AF297" i="1" l="1"/>
  <c r="AA137" i="1"/>
  <c r="AF405" i="1" l="1"/>
  <c r="L297" i="1"/>
  <c r="L405" i="1"/>
  <c r="AA484" i="1"/>
  <c r="X484" i="1"/>
  <c r="U484" i="1"/>
  <c r="R484" i="1"/>
  <c r="L484" i="1" l="1"/>
  <c r="AF484" i="1" l="1"/>
  <c r="AI347" i="1" l="1"/>
  <c r="AA461" i="1" l="1"/>
  <c r="AA435" i="1"/>
  <c r="AA431" i="1"/>
  <c r="X461" i="1"/>
  <c r="X435" i="1"/>
  <c r="X431" i="1"/>
  <c r="U435" i="1"/>
  <c r="U431" i="1"/>
  <c r="U461" i="1"/>
  <c r="R435" i="1"/>
  <c r="R431" i="1"/>
  <c r="R461" i="1"/>
  <c r="AF431" i="1" l="1"/>
  <c r="L461" i="1"/>
  <c r="L435" i="1" l="1"/>
  <c r="L431" i="1"/>
  <c r="AF461" i="1"/>
  <c r="AF435" i="1"/>
  <c r="AA404" i="1" l="1"/>
  <c r="X404" i="1"/>
  <c r="U404" i="1"/>
  <c r="R404" i="1"/>
  <c r="U483" i="1" l="1"/>
  <c r="AA483" i="1"/>
  <c r="X483" i="1"/>
  <c r="R483" i="1"/>
  <c r="L404" i="1" l="1"/>
  <c r="AF404" i="1"/>
  <c r="AF483" i="1"/>
  <c r="L483" i="1" l="1"/>
  <c r="AA11" i="1"/>
  <c r="R11" i="1"/>
  <c r="AF11" i="1" l="1"/>
  <c r="L11" i="1"/>
  <c r="R324" i="1"/>
  <c r="R145" i="1" l="1"/>
  <c r="AA27" i="1" l="1"/>
  <c r="R27" i="1"/>
  <c r="AF27" i="1" l="1"/>
  <c r="L27" i="1"/>
  <c r="AA86" i="1" l="1"/>
  <c r="AA10" i="1" l="1"/>
  <c r="R10" i="1"/>
  <c r="AA241" i="1" l="1"/>
  <c r="U241" i="1"/>
  <c r="R241" i="1"/>
  <c r="AF10" i="1" l="1"/>
  <c r="L10" i="1"/>
  <c r="L241" i="1"/>
  <c r="AF241" i="1" l="1"/>
  <c r="AA233" i="1"/>
  <c r="R150" i="1"/>
  <c r="AA477" i="1" l="1"/>
  <c r="AA478" i="1"/>
  <c r="X477" i="1"/>
  <c r="X478" i="1"/>
  <c r="U477" i="1"/>
  <c r="U478" i="1"/>
  <c r="R477" i="1"/>
  <c r="R478" i="1"/>
  <c r="L477" i="1" l="1"/>
  <c r="AF478" i="1"/>
  <c r="L479" i="1" l="1"/>
  <c r="L478" i="1"/>
  <c r="AF477" i="1"/>
  <c r="X233" i="1"/>
  <c r="U233" i="1"/>
  <c r="R233" i="1"/>
  <c r="L233" i="1" l="1"/>
  <c r="U476" i="1"/>
  <c r="AF233" i="1" l="1"/>
  <c r="R169" i="1"/>
  <c r="L169" i="1" l="1"/>
  <c r="AF169" i="1" l="1"/>
  <c r="AA207" i="1" l="1"/>
  <c r="R207" i="1"/>
  <c r="AA201" i="1"/>
  <c r="R201" i="1"/>
  <c r="AA158" i="1"/>
  <c r="AA159" i="1"/>
  <c r="R158" i="1"/>
  <c r="R159" i="1"/>
  <c r="AA150" i="1"/>
  <c r="AA145" i="1"/>
  <c r="AA144" i="1"/>
  <c r="AA143" i="1"/>
  <c r="AA142" i="1"/>
  <c r="R144" i="1"/>
  <c r="R137" i="1"/>
  <c r="AA121" i="1"/>
  <c r="R121" i="1"/>
  <c r="AA96" i="1"/>
  <c r="R96" i="1"/>
  <c r="AA65" i="1"/>
  <c r="R65" i="1"/>
  <c r="AA32" i="1"/>
  <c r="R32" i="1"/>
  <c r="L201" i="1" l="1"/>
  <c r="L150" i="1"/>
  <c r="L207" i="1"/>
  <c r="L144" i="1"/>
  <c r="L145" i="1"/>
  <c r="AF158" i="1" l="1"/>
  <c r="L158" i="1"/>
  <c r="AF96" i="1"/>
  <c r="L96" i="1"/>
  <c r="AF159" i="1"/>
  <c r="L159" i="1"/>
  <c r="AF121" i="1"/>
  <c r="L121" i="1"/>
  <c r="AF137" i="1"/>
  <c r="L137" i="1"/>
  <c r="AF65" i="1"/>
  <c r="L65" i="1"/>
  <c r="AF32" i="1"/>
  <c r="L32" i="1"/>
  <c r="AF144" i="1"/>
  <c r="AF207" i="1"/>
  <c r="AF150" i="1"/>
  <c r="AF201" i="1"/>
  <c r="AF145" i="1"/>
  <c r="AA64" i="1" l="1"/>
  <c r="R64" i="1"/>
  <c r="L64" i="1" l="1"/>
  <c r="AF64" i="1" l="1"/>
  <c r="AA120" i="1"/>
  <c r="R120" i="1"/>
  <c r="L120" i="1" l="1"/>
  <c r="AF120" i="1" l="1"/>
  <c r="R136" i="1"/>
  <c r="L136" i="1" l="1"/>
  <c r="AF136" i="1"/>
  <c r="AA423" i="1" l="1"/>
  <c r="AA284" i="1" l="1"/>
  <c r="AA285" i="1"/>
  <c r="AA286" i="1"/>
  <c r="X283" i="1"/>
  <c r="X284" i="1"/>
  <c r="X285" i="1"/>
  <c r="X286" i="1"/>
  <c r="U283" i="1"/>
  <c r="U284" i="1"/>
  <c r="U285" i="1"/>
  <c r="U286" i="1"/>
  <c r="R284" i="1"/>
  <c r="R285" i="1"/>
  <c r="R286" i="1"/>
  <c r="R283" i="1"/>
  <c r="AF286" i="1" l="1"/>
  <c r="L284" i="1"/>
  <c r="L285" i="1" l="1"/>
  <c r="L286" i="1"/>
  <c r="AF284" i="1"/>
  <c r="AF285" i="1"/>
  <c r="AA157" i="1"/>
  <c r="R157" i="1"/>
  <c r="AA156" i="1"/>
  <c r="L156" i="1" s="1"/>
  <c r="AF156" i="1" l="1"/>
  <c r="AF157" i="1" l="1"/>
  <c r="L157" i="1"/>
  <c r="R143" i="1"/>
  <c r="L143" i="1" l="1"/>
  <c r="R86" i="1"/>
  <c r="L86" i="1" l="1"/>
  <c r="AF143" i="1"/>
  <c r="AF86" i="1" l="1"/>
  <c r="AA291" i="1"/>
  <c r="X291" i="1"/>
  <c r="U291" i="1"/>
  <c r="R291" i="1"/>
  <c r="L291" i="1" l="1"/>
  <c r="AF291" i="1" l="1"/>
  <c r="X232" i="1"/>
  <c r="R232" i="1"/>
  <c r="R85" i="1" l="1"/>
  <c r="L85" i="1" l="1"/>
  <c r="AA473" i="1"/>
  <c r="X473" i="1"/>
  <c r="R214" i="1" l="1"/>
  <c r="AA216" i="1" l="1"/>
  <c r="AA214" i="1"/>
  <c r="R216" i="1"/>
  <c r="L216" i="1" l="1"/>
  <c r="L214" i="1"/>
  <c r="AF214" i="1"/>
  <c r="AF216" i="1"/>
  <c r="AF85" i="1"/>
  <c r="R95" i="1"/>
  <c r="R94" i="1"/>
  <c r="AA470" i="1"/>
  <c r="X470" i="1"/>
  <c r="R470" i="1"/>
  <c r="AA148" i="1" l="1"/>
  <c r="L148" i="1" s="1"/>
  <c r="AA265" i="1"/>
  <c r="X265" i="1"/>
  <c r="U265" i="1"/>
  <c r="R265" i="1"/>
  <c r="AA264" i="1"/>
  <c r="X264" i="1"/>
  <c r="U264" i="1"/>
  <c r="R264" i="1"/>
  <c r="AF265" i="1" l="1"/>
  <c r="AF148" i="1"/>
  <c r="L264" i="1" l="1"/>
  <c r="L265" i="1"/>
  <c r="AF264" i="1"/>
  <c r="X467" i="1" l="1"/>
  <c r="AA480" i="1"/>
  <c r="AA349" i="1"/>
  <c r="AA476" i="1"/>
  <c r="AA475" i="1"/>
  <c r="AA474" i="1"/>
  <c r="AA472" i="1"/>
  <c r="AA471" i="1"/>
  <c r="AA469" i="1"/>
  <c r="X480" i="1"/>
  <c r="X349" i="1"/>
  <c r="X476" i="1"/>
  <c r="X475" i="1"/>
  <c r="X474" i="1"/>
  <c r="X472" i="1"/>
  <c r="X471" i="1"/>
  <c r="X469" i="1"/>
  <c r="U480" i="1"/>
  <c r="U349" i="1"/>
  <c r="U475" i="1"/>
  <c r="U474" i="1"/>
  <c r="U473" i="1"/>
  <c r="U471" i="1"/>
  <c r="U470" i="1"/>
  <c r="U469" i="1"/>
  <c r="R480" i="1"/>
  <c r="R349" i="1"/>
  <c r="R476" i="1"/>
  <c r="R475" i="1"/>
  <c r="R474" i="1"/>
  <c r="R473" i="1"/>
  <c r="R472" i="1"/>
  <c r="R471" i="1"/>
  <c r="R469" i="1"/>
  <c r="AA468" i="1"/>
  <c r="X468" i="1"/>
  <c r="U468" i="1"/>
  <c r="R468" i="1"/>
  <c r="AA467" i="1"/>
  <c r="U467" i="1"/>
  <c r="R467" i="1"/>
  <c r="U290" i="1"/>
  <c r="AA75" i="1"/>
  <c r="R74" i="1"/>
  <c r="AF480" i="1" l="1"/>
  <c r="L467" i="1"/>
  <c r="L468" i="1"/>
  <c r="AF475" i="1"/>
  <c r="L75" i="1"/>
  <c r="L470" i="1"/>
  <c r="AF473" i="1"/>
  <c r="AF349" i="1"/>
  <c r="AF469" i="1"/>
  <c r="AF472" i="1"/>
  <c r="L476" i="1"/>
  <c r="L74" i="1" l="1"/>
  <c r="AF474" i="1"/>
  <c r="AF471" i="1"/>
  <c r="L474" i="1"/>
  <c r="L472" i="1"/>
  <c r="L473" i="1"/>
  <c r="L349" i="1"/>
  <c r="L471" i="1"/>
  <c r="L469" i="1"/>
  <c r="L475" i="1"/>
  <c r="L480" i="1"/>
  <c r="AF75" i="1"/>
  <c r="AF476" i="1"/>
  <c r="AF74" i="1"/>
  <c r="AF470" i="1"/>
  <c r="AF467" i="1"/>
  <c r="AF468" i="1"/>
  <c r="AA464" i="1"/>
  <c r="X464" i="1"/>
  <c r="U464" i="1"/>
  <c r="R464" i="1"/>
  <c r="U465" i="1" l="1"/>
  <c r="R459" i="1" l="1"/>
  <c r="R456" i="1" l="1"/>
  <c r="AA482" i="1" l="1"/>
  <c r="X482" i="1"/>
  <c r="U482" i="1"/>
  <c r="R482" i="1"/>
  <c r="L482" i="1" l="1"/>
  <c r="AF482" i="1" l="1"/>
  <c r="R215" i="1"/>
  <c r="AA446" i="1" l="1"/>
  <c r="X446" i="1"/>
  <c r="U446" i="1"/>
  <c r="R446" i="1"/>
  <c r="AF446" i="1" l="1"/>
  <c r="X240" i="1"/>
  <c r="L446" i="1" l="1"/>
  <c r="AA134" i="1"/>
  <c r="R134" i="1"/>
  <c r="L134" i="1" l="1"/>
  <c r="AF134" i="1" l="1"/>
  <c r="X253" i="1"/>
  <c r="AA290" i="1"/>
  <c r="X290" i="1"/>
  <c r="R290" i="1"/>
  <c r="R30" i="1" l="1"/>
  <c r="R182" i="1" l="1"/>
  <c r="AF30" i="1" l="1"/>
  <c r="L30" i="1"/>
  <c r="L182" i="1"/>
  <c r="AF182" i="1" l="1"/>
  <c r="AA168" i="1" l="1"/>
  <c r="S168" i="1"/>
  <c r="R84" i="1" l="1"/>
  <c r="AA133" i="1"/>
  <c r="R133" i="1"/>
  <c r="L133" i="1" l="1"/>
  <c r="R192" i="1"/>
  <c r="AF133" i="1" l="1"/>
  <c r="AA439" i="1" l="1"/>
  <c r="AA440" i="1"/>
  <c r="AA441" i="1"/>
  <c r="AA442" i="1"/>
  <c r="AA443" i="1"/>
  <c r="AA444" i="1"/>
  <c r="AA445" i="1"/>
  <c r="AA447" i="1"/>
  <c r="AA448" i="1"/>
  <c r="AA449" i="1"/>
  <c r="AA450" i="1"/>
  <c r="AA215" i="1"/>
  <c r="AA451" i="1"/>
  <c r="AA452" i="1"/>
  <c r="AA453" i="1"/>
  <c r="AA454" i="1"/>
  <c r="AA455" i="1"/>
  <c r="AA456" i="1"/>
  <c r="AA458" i="1"/>
  <c r="AA459" i="1"/>
  <c r="AA460" i="1"/>
  <c r="AA339" i="1"/>
  <c r="AA462" i="1"/>
  <c r="AA463" i="1"/>
  <c r="AA465" i="1"/>
  <c r="X439" i="1"/>
  <c r="X440" i="1"/>
  <c r="X441" i="1"/>
  <c r="X442" i="1"/>
  <c r="X443" i="1"/>
  <c r="X444" i="1"/>
  <c r="X445" i="1"/>
  <c r="X447" i="1"/>
  <c r="X448" i="1"/>
  <c r="X449" i="1"/>
  <c r="X450" i="1"/>
  <c r="X451" i="1"/>
  <c r="X452" i="1"/>
  <c r="X453" i="1"/>
  <c r="X454" i="1"/>
  <c r="X455" i="1"/>
  <c r="X456" i="1"/>
  <c r="X457" i="1"/>
  <c r="X458" i="1"/>
  <c r="X459" i="1"/>
  <c r="X460" i="1"/>
  <c r="X339" i="1"/>
  <c r="X462" i="1"/>
  <c r="X463" i="1"/>
  <c r="X465" i="1"/>
  <c r="U439" i="1"/>
  <c r="U440" i="1"/>
  <c r="U441" i="1"/>
  <c r="U442" i="1"/>
  <c r="U443" i="1"/>
  <c r="U444" i="1"/>
  <c r="U445" i="1"/>
  <c r="U447" i="1"/>
  <c r="U448" i="1"/>
  <c r="U449" i="1"/>
  <c r="U450" i="1"/>
  <c r="U451" i="1"/>
  <c r="U452" i="1"/>
  <c r="U453" i="1"/>
  <c r="U454" i="1"/>
  <c r="U455" i="1"/>
  <c r="U456" i="1"/>
  <c r="U457" i="1"/>
  <c r="U458" i="1"/>
  <c r="U459" i="1"/>
  <c r="U460" i="1"/>
  <c r="U339" i="1"/>
  <c r="U462" i="1"/>
  <c r="U463" i="1"/>
  <c r="R439" i="1"/>
  <c r="R440" i="1"/>
  <c r="R442" i="1"/>
  <c r="R444" i="1"/>
  <c r="R445" i="1"/>
  <c r="R447" i="1"/>
  <c r="R448" i="1"/>
  <c r="R449" i="1"/>
  <c r="R450" i="1"/>
  <c r="R451" i="1"/>
  <c r="R452" i="1"/>
  <c r="R453" i="1"/>
  <c r="R454" i="1"/>
  <c r="R455" i="1"/>
  <c r="R457" i="1"/>
  <c r="R458" i="1"/>
  <c r="R339" i="1"/>
  <c r="R462" i="1"/>
  <c r="R463" i="1"/>
  <c r="R465" i="1"/>
  <c r="AF447" i="1" l="1"/>
  <c r="L339" i="1"/>
  <c r="L457" i="1"/>
  <c r="AF453" i="1"/>
  <c r="AF450" i="1"/>
  <c r="L443" i="1"/>
  <c r="AF439" i="1"/>
  <c r="AF462" i="1"/>
  <c r="AF458" i="1"/>
  <c r="AF454" i="1"/>
  <c r="AF440" i="1"/>
  <c r="AF463" i="1"/>
  <c r="L459" i="1"/>
  <c r="AF455" i="1"/>
  <c r="AF451" i="1"/>
  <c r="AF448" i="1"/>
  <c r="AF444" i="1"/>
  <c r="AF441" i="1"/>
  <c r="L464" i="1"/>
  <c r="L460" i="1"/>
  <c r="L456" i="1"/>
  <c r="AF452" i="1"/>
  <c r="AF449" i="1"/>
  <c r="AF445" i="1"/>
  <c r="AF442" i="1"/>
  <c r="AF465" i="1" l="1"/>
  <c r="L215" i="1"/>
  <c r="L455" i="1"/>
  <c r="L451" i="1"/>
  <c r="L453" i="1"/>
  <c r="L463" i="1"/>
  <c r="L452" i="1"/>
  <c r="L441" i="1"/>
  <c r="L449" i="1"/>
  <c r="L442" i="1"/>
  <c r="L439" i="1"/>
  <c r="L440" i="1"/>
  <c r="L444" i="1"/>
  <c r="L448" i="1"/>
  <c r="L465" i="1"/>
  <c r="L458" i="1"/>
  <c r="L447" i="1"/>
  <c r="L454" i="1"/>
  <c r="L450" i="1"/>
  <c r="L445" i="1"/>
  <c r="L462" i="1"/>
  <c r="AF459" i="1"/>
  <c r="AF456" i="1"/>
  <c r="AF460" i="1"/>
  <c r="AF215" i="1"/>
  <c r="AF339" i="1"/>
  <c r="AF443" i="1"/>
  <c r="AF457" i="1"/>
  <c r="AF464" i="1"/>
  <c r="AA341" i="1" l="1"/>
  <c r="X341" i="1"/>
  <c r="U341" i="1"/>
  <c r="R341" i="1"/>
  <c r="AF341" i="1" l="1"/>
  <c r="R429" i="1"/>
  <c r="L341" i="1" l="1"/>
  <c r="AA283" i="1"/>
  <c r="L283" i="1" s="1"/>
  <c r="AA49" i="1"/>
  <c r="R49" i="1"/>
  <c r="AF283" i="1" l="1"/>
  <c r="L49" i="1" l="1"/>
  <c r="AF49" i="1"/>
  <c r="AA72" i="1"/>
  <c r="AA73" i="1"/>
  <c r="R72" i="1"/>
  <c r="R73" i="1"/>
  <c r="L72" i="1" l="1"/>
  <c r="AF73" i="1"/>
  <c r="L73" i="1"/>
  <c r="AF72" i="1"/>
  <c r="R350" i="1" l="1"/>
  <c r="AA195" i="1" l="1"/>
  <c r="R195" i="1"/>
  <c r="L195" i="1" l="1"/>
  <c r="AF195" i="1"/>
  <c r="AA422" i="1"/>
  <c r="AA424" i="1"/>
  <c r="AA425" i="1"/>
  <c r="AA426" i="1"/>
  <c r="AA427" i="1"/>
  <c r="AA428" i="1"/>
  <c r="AA429" i="1"/>
  <c r="AA430" i="1"/>
  <c r="X422" i="1"/>
  <c r="X423" i="1"/>
  <c r="X424" i="1"/>
  <c r="X425" i="1"/>
  <c r="X426" i="1"/>
  <c r="X427" i="1"/>
  <c r="X428" i="1"/>
  <c r="X429" i="1"/>
  <c r="X430" i="1"/>
  <c r="U422" i="1"/>
  <c r="U423" i="1"/>
  <c r="U424" i="1"/>
  <c r="U425" i="1"/>
  <c r="U426" i="1"/>
  <c r="U427" i="1"/>
  <c r="U428" i="1"/>
  <c r="U429" i="1"/>
  <c r="U430" i="1"/>
  <c r="R422" i="1"/>
  <c r="R423" i="1"/>
  <c r="R424" i="1"/>
  <c r="R425" i="1"/>
  <c r="R426" i="1"/>
  <c r="R427" i="1"/>
  <c r="R428" i="1"/>
  <c r="AA418" i="1"/>
  <c r="AA419" i="1"/>
  <c r="AA420" i="1"/>
  <c r="AA421" i="1"/>
  <c r="AA432" i="1"/>
  <c r="AA433" i="1"/>
  <c r="AA434" i="1"/>
  <c r="AA375" i="1"/>
  <c r="AA436" i="1"/>
  <c r="AA437" i="1"/>
  <c r="AA438" i="1"/>
  <c r="AA466" i="1"/>
  <c r="X418" i="1"/>
  <c r="X419" i="1"/>
  <c r="X420" i="1"/>
  <c r="X421" i="1"/>
  <c r="X432" i="1"/>
  <c r="X433" i="1"/>
  <c r="X434" i="1"/>
  <c r="X375" i="1"/>
  <c r="X436" i="1"/>
  <c r="U418" i="1"/>
  <c r="U419" i="1"/>
  <c r="U420" i="1"/>
  <c r="U421" i="1"/>
  <c r="U432" i="1"/>
  <c r="U433" i="1"/>
  <c r="U434" i="1"/>
  <c r="U375" i="1"/>
  <c r="U436" i="1"/>
  <c r="U437" i="1"/>
  <c r="R418" i="1"/>
  <c r="R420" i="1"/>
  <c r="R421" i="1"/>
  <c r="R432" i="1"/>
  <c r="R433" i="1"/>
  <c r="R434" i="1"/>
  <c r="R375" i="1"/>
  <c r="R436" i="1"/>
  <c r="X437" i="1"/>
  <c r="R437" i="1"/>
  <c r="L425" i="1" l="1"/>
  <c r="L429" i="1"/>
  <c r="AF436" i="1"/>
  <c r="AF433" i="1"/>
  <c r="L419" i="1"/>
  <c r="AF432" i="1"/>
  <c r="AF434" i="1"/>
  <c r="AF420" i="1"/>
  <c r="AF427" i="1"/>
  <c r="AF423" i="1"/>
  <c r="AF428" i="1"/>
  <c r="L424" i="1"/>
  <c r="AF418" i="1"/>
  <c r="L437" i="1"/>
  <c r="AF421" i="1"/>
  <c r="AF375" i="1"/>
  <c r="AF430" i="1"/>
  <c r="AF426" i="1"/>
  <c r="AF422" i="1"/>
  <c r="L436" i="1" l="1"/>
  <c r="L426" i="1"/>
  <c r="L428" i="1"/>
  <c r="L423" i="1"/>
  <c r="L375" i="1"/>
  <c r="L433" i="1"/>
  <c r="L430" i="1"/>
  <c r="L418" i="1"/>
  <c r="L420" i="1"/>
  <c r="L427" i="1"/>
  <c r="L434" i="1"/>
  <c r="L422" i="1"/>
  <c r="L432" i="1"/>
  <c r="L421" i="1"/>
  <c r="AF419" i="1"/>
  <c r="AF429" i="1"/>
  <c r="AF424" i="1"/>
  <c r="AF425" i="1"/>
  <c r="AF437" i="1"/>
  <c r="AA8" i="1" l="1"/>
  <c r="AA9" i="1"/>
  <c r="R8" i="1"/>
  <c r="R9" i="1"/>
  <c r="R7" i="1" l="1"/>
  <c r="AF8" i="1" l="1"/>
  <c r="L8" i="1"/>
  <c r="AF9" i="1"/>
  <c r="L9" i="1"/>
  <c r="AA412" i="1"/>
  <c r="AA413" i="1"/>
  <c r="AA414" i="1"/>
  <c r="AA415" i="1"/>
  <c r="AA416" i="1"/>
  <c r="AA417" i="1"/>
  <c r="AA350" i="1"/>
  <c r="X412" i="1"/>
  <c r="X413" i="1"/>
  <c r="X414" i="1"/>
  <c r="X415" i="1"/>
  <c r="X416" i="1"/>
  <c r="X417" i="1"/>
  <c r="X350" i="1"/>
  <c r="U412" i="1"/>
  <c r="U413" i="1"/>
  <c r="U414" i="1"/>
  <c r="U415" i="1"/>
  <c r="U416" i="1"/>
  <c r="U417" i="1"/>
  <c r="U350" i="1"/>
  <c r="R412" i="1"/>
  <c r="R413" i="1"/>
  <c r="R414" i="1"/>
  <c r="R415" i="1"/>
  <c r="R416" i="1"/>
  <c r="R417" i="1"/>
  <c r="AF416" i="1" l="1"/>
  <c r="L350" i="1"/>
  <c r="AF417" i="1"/>
  <c r="AF413" i="1"/>
  <c r="AF412" i="1"/>
  <c r="AF414" i="1"/>
  <c r="R270" i="1"/>
  <c r="AF415" i="1" l="1"/>
  <c r="L414" i="1"/>
  <c r="L415" i="1"/>
  <c r="L417" i="1"/>
  <c r="L412" i="1"/>
  <c r="L413" i="1"/>
  <c r="L416" i="1"/>
  <c r="AF350" i="1"/>
  <c r="R410" i="1"/>
  <c r="R312" i="1" l="1"/>
  <c r="R406" i="1" l="1"/>
  <c r="AA270" i="1" l="1"/>
  <c r="X270" i="1"/>
  <c r="U270" i="1"/>
  <c r="L270" i="1" l="1"/>
  <c r="AF270" i="1" l="1"/>
  <c r="AA205" i="1"/>
  <c r="R205" i="1"/>
  <c r="L205" i="1" l="1"/>
  <c r="AA402" i="1"/>
  <c r="AA401" i="1"/>
  <c r="X401" i="1"/>
  <c r="AF205" i="1" l="1"/>
  <c r="AA273" i="1"/>
  <c r="X273" i="1"/>
  <c r="U273" i="1"/>
  <c r="R273" i="1"/>
  <c r="AA400" i="1"/>
  <c r="U400" i="1"/>
  <c r="R400" i="1"/>
  <c r="AA403" i="1"/>
  <c r="AA340" i="1"/>
  <c r="AA387" i="1"/>
  <c r="AA406" i="1"/>
  <c r="AA407" i="1"/>
  <c r="AA408" i="1"/>
  <c r="AA409" i="1"/>
  <c r="AA410" i="1"/>
  <c r="AA411" i="1"/>
  <c r="X402" i="1"/>
  <c r="X403" i="1"/>
  <c r="X340" i="1"/>
  <c r="X387" i="1"/>
  <c r="X406" i="1"/>
  <c r="X407" i="1"/>
  <c r="X408" i="1"/>
  <c r="X409" i="1"/>
  <c r="X410" i="1"/>
  <c r="X411" i="1"/>
  <c r="X438" i="1"/>
  <c r="X466" i="1"/>
  <c r="U401" i="1"/>
  <c r="U402" i="1"/>
  <c r="U403" i="1"/>
  <c r="U340" i="1"/>
  <c r="U387" i="1"/>
  <c r="U406" i="1"/>
  <c r="U407" i="1"/>
  <c r="U408" i="1"/>
  <c r="U409" i="1"/>
  <c r="U410" i="1"/>
  <c r="U411" i="1"/>
  <c r="U438" i="1"/>
  <c r="U466" i="1"/>
  <c r="R401" i="1"/>
  <c r="R402" i="1"/>
  <c r="R403" i="1"/>
  <c r="R340" i="1"/>
  <c r="R387" i="1"/>
  <c r="R407" i="1"/>
  <c r="R408" i="1"/>
  <c r="R409" i="1"/>
  <c r="R411" i="1"/>
  <c r="R438" i="1"/>
  <c r="R466" i="1"/>
  <c r="L406" i="1" l="1"/>
  <c r="L410" i="1"/>
  <c r="AF411" i="1"/>
  <c r="AF340" i="1"/>
  <c r="AF402" i="1"/>
  <c r="AF403" i="1"/>
  <c r="AF466" i="1"/>
  <c r="AF400" i="1"/>
  <c r="AF409" i="1"/>
  <c r="AF387" i="1"/>
  <c r="L401" i="1"/>
  <c r="X399" i="1"/>
  <c r="AA399" i="1"/>
  <c r="U399" i="1"/>
  <c r="R399" i="1"/>
  <c r="L407" i="1" l="1"/>
  <c r="AF438" i="1"/>
  <c r="L273" i="1"/>
  <c r="L403" i="1"/>
  <c r="L411" i="1"/>
  <c r="L387" i="1"/>
  <c r="L438" i="1"/>
  <c r="L340" i="1"/>
  <c r="L466" i="1"/>
  <c r="L408" i="1"/>
  <c r="L400" i="1"/>
  <c r="L409" i="1"/>
  <c r="L402" i="1"/>
  <c r="AF410" i="1"/>
  <c r="AF273" i="1"/>
  <c r="AF408" i="1"/>
  <c r="AF407" i="1"/>
  <c r="AF406" i="1"/>
  <c r="AF401" i="1"/>
  <c r="AF399" i="1"/>
  <c r="AA398" i="1"/>
  <c r="X398" i="1"/>
  <c r="U398" i="1"/>
  <c r="R398" i="1"/>
  <c r="L399" i="1" l="1"/>
  <c r="AA383" i="1"/>
  <c r="AF398" i="1" l="1"/>
  <c r="L398" i="1"/>
  <c r="AA225" i="1"/>
  <c r="AA226" i="1"/>
  <c r="AA227" i="1"/>
  <c r="R226" i="1"/>
  <c r="R227" i="1"/>
  <c r="L226" i="1" l="1"/>
  <c r="L390" i="1"/>
  <c r="AF227" i="1" l="1"/>
  <c r="L227" i="1"/>
  <c r="AF226" i="1"/>
  <c r="R376" i="1"/>
  <c r="R388" i="1"/>
  <c r="R389" i="1"/>
  <c r="R391" i="1"/>
  <c r="R392" i="1"/>
  <c r="R393" i="1"/>
  <c r="R394" i="1"/>
  <c r="R395" i="1"/>
  <c r="AA382" i="1" l="1"/>
  <c r="AA384" i="1"/>
  <c r="AA385" i="1"/>
  <c r="AA386" i="1"/>
  <c r="AA376" i="1"/>
  <c r="AA388" i="1"/>
  <c r="AA389" i="1"/>
  <c r="AA391" i="1"/>
  <c r="AA392" i="1"/>
  <c r="AA393" i="1"/>
  <c r="AA394" i="1"/>
  <c r="AA395" i="1"/>
  <c r="AA396" i="1"/>
  <c r="AA397" i="1"/>
  <c r="X384" i="1"/>
  <c r="X385" i="1"/>
  <c r="X386" i="1"/>
  <c r="X376" i="1"/>
  <c r="X388" i="1"/>
  <c r="X389" i="1"/>
  <c r="X391" i="1"/>
  <c r="X392" i="1"/>
  <c r="X393" i="1"/>
  <c r="X394" i="1"/>
  <c r="X395" i="1"/>
  <c r="X396" i="1"/>
  <c r="X397" i="1"/>
  <c r="U386" i="1"/>
  <c r="U376" i="1"/>
  <c r="U388" i="1"/>
  <c r="U389" i="1"/>
  <c r="U391" i="1"/>
  <c r="U392" i="1"/>
  <c r="U393" i="1"/>
  <c r="U394" i="1"/>
  <c r="U395" i="1"/>
  <c r="U396" i="1"/>
  <c r="U397" i="1"/>
  <c r="R396" i="1"/>
  <c r="L394" i="1" l="1"/>
  <c r="L389" i="1"/>
  <c r="L393" i="1"/>
  <c r="L395" i="1"/>
  <c r="L391" i="1"/>
  <c r="L388" i="1"/>
  <c r="L376" i="1"/>
  <c r="L386" i="1"/>
  <c r="R39" i="1"/>
  <c r="L392" i="1" l="1"/>
  <c r="AF396" i="1"/>
  <c r="L396" i="1"/>
  <c r="AF394" i="1"/>
  <c r="AF393" i="1"/>
  <c r="AF386" i="1"/>
  <c r="AF392" i="1"/>
  <c r="AF390" i="1"/>
  <c r="AF388" i="1"/>
  <c r="AF389" i="1"/>
  <c r="AF395" i="1"/>
  <c r="AF391" i="1"/>
  <c r="AF376" i="1"/>
  <c r="R381" i="1"/>
  <c r="AA381" i="1"/>
  <c r="L39" i="1" l="1"/>
  <c r="AF39" i="1"/>
  <c r="X380" i="1"/>
  <c r="X379" i="1"/>
  <c r="U380" i="1"/>
  <c r="U379" i="1"/>
  <c r="R380" i="1"/>
  <c r="R379" i="1"/>
  <c r="AA180" i="1" l="1"/>
  <c r="R180" i="1"/>
  <c r="L180" i="1" s="1"/>
  <c r="AA379" i="1" l="1"/>
  <c r="L379" i="1" s="1"/>
  <c r="AA380" i="1"/>
  <c r="L380" i="1" s="1"/>
  <c r="X381" i="1"/>
  <c r="X382" i="1"/>
  <c r="X383" i="1"/>
  <c r="U381" i="1"/>
  <c r="U382" i="1"/>
  <c r="U383" i="1"/>
  <c r="U384" i="1"/>
  <c r="U385" i="1"/>
  <c r="R382" i="1"/>
  <c r="R383" i="1"/>
  <c r="R384" i="1"/>
  <c r="R385" i="1"/>
  <c r="R397" i="1"/>
  <c r="AF397" i="1" l="1"/>
  <c r="AF380" i="1"/>
  <c r="L383" i="1"/>
  <c r="L384" i="1"/>
  <c r="L382" i="1"/>
  <c r="L381" i="1"/>
  <c r="AF379" i="1"/>
  <c r="AA377" i="1"/>
  <c r="X377" i="1"/>
  <c r="U377" i="1"/>
  <c r="R377" i="1"/>
  <c r="L385" i="1" l="1"/>
  <c r="L397" i="1"/>
  <c r="L377" i="1"/>
  <c r="AF384" i="1"/>
  <c r="AF382" i="1"/>
  <c r="AF381" i="1"/>
  <c r="AF383" i="1"/>
  <c r="AF385" i="1"/>
  <c r="R344" i="1"/>
  <c r="AF377" i="1" l="1"/>
  <c r="AA298" i="1" l="1"/>
  <c r="X298" i="1"/>
  <c r="U298" i="1"/>
  <c r="R298" i="1"/>
  <c r="L298" i="1" l="1"/>
  <c r="AF298" i="1" l="1"/>
  <c r="U332" i="1"/>
  <c r="U307" i="1" l="1"/>
  <c r="U308" i="1"/>
  <c r="U309" i="1"/>
  <c r="U311" i="1"/>
  <c r="U313" i="1"/>
  <c r="U314" i="1"/>
  <c r="U315" i="1"/>
  <c r="U294" i="1"/>
  <c r="U317" i="1"/>
  <c r="U318" i="1"/>
  <c r="U319" i="1"/>
  <c r="U320" i="1"/>
  <c r="U295" i="1"/>
  <c r="U322" i="1"/>
  <c r="U323" i="1"/>
  <c r="U324" i="1"/>
  <c r="U325" i="1"/>
  <c r="U326" i="1"/>
  <c r="U327" i="1"/>
  <c r="U328" i="1"/>
  <c r="U329" i="1"/>
  <c r="U330" i="1"/>
  <c r="U331" i="1"/>
  <c r="U333" i="1"/>
  <c r="U334" i="1"/>
  <c r="U335" i="1"/>
  <c r="U299" i="1"/>
  <c r="U337" i="1"/>
  <c r="U296" i="1"/>
  <c r="U300" i="1"/>
  <c r="U310" i="1"/>
  <c r="U316" i="1"/>
  <c r="U342" i="1"/>
  <c r="U343" i="1"/>
  <c r="U338" i="1"/>
  <c r="U345" i="1"/>
  <c r="U346" i="1"/>
  <c r="U347" i="1"/>
  <c r="U348" i="1"/>
  <c r="U321" i="1"/>
  <c r="U336" i="1"/>
  <c r="U351" i="1"/>
  <c r="U352" i="1"/>
  <c r="U353" i="1"/>
  <c r="U354" i="1"/>
  <c r="U355" i="1"/>
  <c r="U356" i="1"/>
  <c r="U357" i="1"/>
  <c r="U358" i="1"/>
  <c r="U359" i="1"/>
  <c r="U360" i="1"/>
  <c r="U361" i="1"/>
  <c r="U362" i="1"/>
  <c r="U363" i="1"/>
  <c r="U364" i="1"/>
  <c r="U365" i="1"/>
  <c r="U366" i="1"/>
  <c r="U367" i="1"/>
  <c r="U368" i="1"/>
  <c r="U369" i="1"/>
  <c r="U370" i="1"/>
  <c r="U371" i="1"/>
  <c r="U372" i="1"/>
  <c r="U373" i="1"/>
  <c r="U374" i="1"/>
  <c r="U344" i="1"/>
  <c r="U378" i="1"/>
  <c r="AA287" i="1" l="1"/>
  <c r="X281" i="1"/>
  <c r="X282" i="1"/>
  <c r="X287" i="1"/>
  <c r="X280" i="1"/>
  <c r="R281" i="1"/>
  <c r="R282" i="1"/>
  <c r="R287" i="1"/>
  <c r="R280" i="1"/>
  <c r="X276" i="1"/>
  <c r="X274" i="1"/>
  <c r="X272" i="1"/>
  <c r="X271" i="1"/>
  <c r="X266" i="1"/>
  <c r="X260" i="1"/>
  <c r="R276" i="1"/>
  <c r="R274" i="1"/>
  <c r="R272" i="1"/>
  <c r="R271" i="1"/>
  <c r="R266" i="1"/>
  <c r="R260" i="1"/>
  <c r="R225" i="1"/>
  <c r="R253" i="1"/>
  <c r="R240" i="1"/>
  <c r="R234" i="1"/>
  <c r="R220" i="1"/>
  <c r="R221" i="1"/>
  <c r="AA206" i="1"/>
  <c r="R206" i="1"/>
  <c r="R200" i="1"/>
  <c r="R196" i="1"/>
  <c r="R193" i="1"/>
  <c r="R179" i="1"/>
  <c r="R166" i="1"/>
  <c r="AA154" i="1"/>
  <c r="AA155" i="1"/>
  <c r="R154" i="1"/>
  <c r="R155" i="1"/>
  <c r="AA108" i="1"/>
  <c r="AA109" i="1"/>
  <c r="AA110" i="1"/>
  <c r="R109" i="1"/>
  <c r="R110" i="1"/>
  <c r="R142" i="1"/>
  <c r="AA132" i="1"/>
  <c r="AA135" i="1"/>
  <c r="R132" i="1"/>
  <c r="R135" i="1"/>
  <c r="AA128" i="1"/>
  <c r="R128" i="1"/>
  <c r="R126" i="1"/>
  <c r="R119" i="1"/>
  <c r="R118" i="1"/>
  <c r="R108" i="1"/>
  <c r="R107" i="1"/>
  <c r="R106" i="1"/>
  <c r="AA100" i="1"/>
  <c r="R71" i="1"/>
  <c r="R62" i="1"/>
  <c r="R63" i="1"/>
  <c r="R61" i="1"/>
  <c r="L225" i="1" l="1"/>
  <c r="L155" i="1"/>
  <c r="L128" i="1"/>
  <c r="L110" i="1"/>
  <c r="L109" i="1"/>
  <c r="L135" i="1"/>
  <c r="L132" i="1"/>
  <c r="AA61" i="1"/>
  <c r="AA62" i="1"/>
  <c r="L62" i="1" s="1"/>
  <c r="AA63" i="1"/>
  <c r="L63" i="1" s="1"/>
  <c r="AA70" i="1"/>
  <c r="AA71" i="1"/>
  <c r="AA83" i="1"/>
  <c r="AA84" i="1"/>
  <c r="AA94" i="1"/>
  <c r="AA95" i="1"/>
  <c r="AA106" i="1"/>
  <c r="AA107" i="1"/>
  <c r="AA118" i="1"/>
  <c r="AA119" i="1"/>
  <c r="AA126" i="1"/>
  <c r="AA127" i="1"/>
  <c r="AA131" i="1"/>
  <c r="AA141" i="1"/>
  <c r="AA147" i="1"/>
  <c r="AA153" i="1"/>
  <c r="AA161" i="1"/>
  <c r="AA166" i="1"/>
  <c r="AA167" i="1"/>
  <c r="L167" i="1" s="1"/>
  <c r="L168" i="1"/>
  <c r="AA179" i="1"/>
  <c r="AA181" i="1"/>
  <c r="AA192" i="1"/>
  <c r="AA193" i="1"/>
  <c r="AA196" i="1"/>
  <c r="AA199" i="1"/>
  <c r="AA200" i="1"/>
  <c r="AA204" i="1"/>
  <c r="AA219" i="1"/>
  <c r="AA220" i="1"/>
  <c r="AA221" i="1"/>
  <c r="L221" i="1" s="1"/>
  <c r="AA224" i="1"/>
  <c r="AA232" i="1"/>
  <c r="AA234" i="1"/>
  <c r="AA240" i="1"/>
  <c r="AA245" i="1"/>
  <c r="AA246" i="1"/>
  <c r="AA253" i="1"/>
  <c r="AA259" i="1"/>
  <c r="AA260" i="1"/>
  <c r="AA266" i="1"/>
  <c r="AA271" i="1"/>
  <c r="AA272" i="1"/>
  <c r="AA274" i="1"/>
  <c r="AA276" i="1"/>
  <c r="AA280" i="1"/>
  <c r="AA281" i="1"/>
  <c r="AA282" i="1"/>
  <c r="AA307" i="1"/>
  <c r="AA308" i="1"/>
  <c r="AA309" i="1"/>
  <c r="AA311" i="1"/>
  <c r="AA312" i="1"/>
  <c r="AA313" i="1"/>
  <c r="AA60" i="1"/>
  <c r="AF60" i="1"/>
  <c r="L108" i="1"/>
  <c r="L154" i="1"/>
  <c r="U232" i="1"/>
  <c r="U234" i="1"/>
  <c r="U240" i="1"/>
  <c r="U246" i="1"/>
  <c r="U253" i="1"/>
  <c r="U259" i="1"/>
  <c r="U260" i="1"/>
  <c r="U266" i="1"/>
  <c r="U271" i="1"/>
  <c r="U272" i="1"/>
  <c r="U274" i="1"/>
  <c r="U276" i="1"/>
  <c r="U280" i="1"/>
  <c r="U281" i="1"/>
  <c r="U282" i="1"/>
  <c r="U287" i="1"/>
  <c r="L287" i="1" s="1"/>
  <c r="R60" i="1"/>
  <c r="R50" i="1"/>
  <c r="R51" i="1"/>
  <c r="AA56" i="1"/>
  <c r="AA57" i="1"/>
  <c r="R56" i="1"/>
  <c r="R57" i="1"/>
  <c r="AA40" i="1"/>
  <c r="AA31" i="1"/>
  <c r="R31" i="1"/>
  <c r="AA87" i="1"/>
  <c r="AA25" i="1"/>
  <c r="AA26" i="1"/>
  <c r="L26" i="1" s="1"/>
  <c r="AA24" i="1"/>
  <c r="R87" i="1"/>
  <c r="AA20" i="1"/>
  <c r="AA21" i="1"/>
  <c r="AA19" i="1"/>
  <c r="R20" i="1"/>
  <c r="R21" i="1"/>
  <c r="R6" i="1"/>
  <c r="AA5" i="1"/>
  <c r="AA6" i="1"/>
  <c r="AA7" i="1"/>
  <c r="AA4" i="1"/>
  <c r="R308" i="1"/>
  <c r="AA314" i="1"/>
  <c r="AA315" i="1"/>
  <c r="AA294" i="1"/>
  <c r="AA317" i="1"/>
  <c r="AA318" i="1"/>
  <c r="AA319" i="1"/>
  <c r="AA320" i="1"/>
  <c r="AA295" i="1"/>
  <c r="AA322" i="1"/>
  <c r="AA323" i="1"/>
  <c r="AA324" i="1"/>
  <c r="AA325" i="1"/>
  <c r="AA326" i="1"/>
  <c r="AA327" i="1"/>
  <c r="AA328" i="1"/>
  <c r="AA329" i="1"/>
  <c r="AA330" i="1"/>
  <c r="AA331" i="1"/>
  <c r="AA332" i="1"/>
  <c r="AA333" i="1"/>
  <c r="AA334" i="1"/>
  <c r="AA335" i="1"/>
  <c r="AA299" i="1"/>
  <c r="AA337" i="1"/>
  <c r="AA296" i="1"/>
  <c r="AA300" i="1"/>
  <c r="AA310" i="1"/>
  <c r="AA316" i="1"/>
  <c r="AA342" i="1"/>
  <c r="AA343" i="1"/>
  <c r="AA338" i="1"/>
  <c r="AA345" i="1"/>
  <c r="AA346" i="1"/>
  <c r="AA347" i="1"/>
  <c r="AA348" i="1"/>
  <c r="AA321" i="1"/>
  <c r="AA336"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44" i="1"/>
  <c r="AA378" i="1"/>
  <c r="X323" i="1"/>
  <c r="X324" i="1"/>
  <c r="X325" i="1"/>
  <c r="X326" i="1"/>
  <c r="X327" i="1"/>
  <c r="X328" i="1"/>
  <c r="X329" i="1"/>
  <c r="X330" i="1"/>
  <c r="X331" i="1"/>
  <c r="X332" i="1"/>
  <c r="X333" i="1"/>
  <c r="X334" i="1"/>
  <c r="X335" i="1"/>
  <c r="X299" i="1"/>
  <c r="X337" i="1"/>
  <c r="X296" i="1"/>
  <c r="X300" i="1"/>
  <c r="X310" i="1"/>
  <c r="X316" i="1"/>
  <c r="X342" i="1"/>
  <c r="X343" i="1"/>
  <c r="X338" i="1"/>
  <c r="X345" i="1"/>
  <c r="X346" i="1"/>
  <c r="X347" i="1"/>
  <c r="X348" i="1"/>
  <c r="X321" i="1"/>
  <c r="X336" i="1"/>
  <c r="X351" i="1"/>
  <c r="X352" i="1"/>
  <c r="X353" i="1"/>
  <c r="X354" i="1"/>
  <c r="X355" i="1"/>
  <c r="X356" i="1"/>
  <c r="X357" i="1"/>
  <c r="X359" i="1"/>
  <c r="X360" i="1"/>
  <c r="X361" i="1"/>
  <c r="X362" i="1"/>
  <c r="X363" i="1"/>
  <c r="X364" i="1"/>
  <c r="X365" i="1"/>
  <c r="X366" i="1"/>
  <c r="X367" i="1"/>
  <c r="X368" i="1"/>
  <c r="X369" i="1"/>
  <c r="X370" i="1"/>
  <c r="X371" i="1"/>
  <c r="X372" i="1"/>
  <c r="X373" i="1"/>
  <c r="X374" i="1"/>
  <c r="X344" i="1"/>
  <c r="X378" i="1"/>
  <c r="X307" i="1"/>
  <c r="X308" i="1"/>
  <c r="X309" i="1"/>
  <c r="X311" i="1"/>
  <c r="X312" i="1"/>
  <c r="X313" i="1"/>
  <c r="X314" i="1"/>
  <c r="X315" i="1"/>
  <c r="X294" i="1"/>
  <c r="X317" i="1"/>
  <c r="X318" i="1"/>
  <c r="X319" i="1"/>
  <c r="X320" i="1"/>
  <c r="X295" i="1"/>
  <c r="X322" i="1"/>
  <c r="R307" i="1"/>
  <c r="R309" i="1"/>
  <c r="R311" i="1"/>
  <c r="R313" i="1"/>
  <c r="R314" i="1"/>
  <c r="R315" i="1"/>
  <c r="R294" i="1"/>
  <c r="R317" i="1"/>
  <c r="R318" i="1"/>
  <c r="R319" i="1"/>
  <c r="R320" i="1"/>
  <c r="R295" i="1"/>
  <c r="R322" i="1"/>
  <c r="R323" i="1"/>
  <c r="R325" i="1"/>
  <c r="R326" i="1"/>
  <c r="R327" i="1"/>
  <c r="R328" i="1"/>
  <c r="R329" i="1"/>
  <c r="R330" i="1"/>
  <c r="R331" i="1"/>
  <c r="R332" i="1"/>
  <c r="R333" i="1"/>
  <c r="R334" i="1"/>
  <c r="R335" i="1"/>
  <c r="R299" i="1"/>
  <c r="R337" i="1"/>
  <c r="R296" i="1"/>
  <c r="R300" i="1"/>
  <c r="R310" i="1"/>
  <c r="R316" i="1"/>
  <c r="R342" i="1"/>
  <c r="R343" i="1"/>
  <c r="R338" i="1"/>
  <c r="R345" i="1"/>
  <c r="R346" i="1"/>
  <c r="R347" i="1"/>
  <c r="R348" i="1"/>
  <c r="R321" i="1"/>
  <c r="R336" i="1"/>
  <c r="R351" i="1"/>
  <c r="R352" i="1"/>
  <c r="R353" i="1"/>
  <c r="R354" i="1"/>
  <c r="R355" i="1"/>
  <c r="R356" i="1"/>
  <c r="R357" i="1"/>
  <c r="R358" i="1"/>
  <c r="R359" i="1"/>
  <c r="R360" i="1"/>
  <c r="R361" i="1"/>
  <c r="R362" i="1"/>
  <c r="R363" i="1"/>
  <c r="R364" i="1"/>
  <c r="R365" i="1"/>
  <c r="R366" i="1"/>
  <c r="R367" i="1"/>
  <c r="R368" i="1"/>
  <c r="R369" i="1"/>
  <c r="R370" i="1"/>
  <c r="R371" i="1"/>
  <c r="R372" i="1"/>
  <c r="R374" i="1"/>
  <c r="R378" i="1"/>
  <c r="R204" i="1"/>
  <c r="R224" i="1"/>
  <c r="X259" i="1"/>
  <c r="R259" i="1"/>
  <c r="AA55" i="1"/>
  <c r="R55" i="1"/>
  <c r="R219" i="1"/>
  <c r="R199" i="1"/>
  <c r="R161" i="1"/>
  <c r="R147" i="1"/>
  <c r="R153" i="1"/>
  <c r="R131" i="1"/>
  <c r="R141" i="1"/>
  <c r="R127" i="1"/>
  <c r="R100" i="1"/>
  <c r="R70" i="1"/>
  <c r="R45" i="1"/>
  <c r="R24" i="1"/>
  <c r="R19" i="1"/>
  <c r="X5" i="1"/>
  <c r="U5" i="1"/>
  <c r="R5" i="1"/>
  <c r="X4" i="1"/>
  <c r="U4" i="1"/>
  <c r="R4" i="1"/>
  <c r="L60" i="1" l="1"/>
  <c r="L25" i="1"/>
  <c r="AF26" i="1"/>
  <c r="L84" i="1"/>
  <c r="AF110" i="1"/>
  <c r="AF109" i="1"/>
  <c r="AF221" i="1"/>
  <c r="L193" i="1"/>
  <c r="AF63" i="1"/>
  <c r="AF135" i="1"/>
  <c r="AF167" i="1"/>
  <c r="AF128" i="1"/>
  <c r="AF62" i="1"/>
  <c r="AF168" i="1"/>
  <c r="AF154" i="1"/>
  <c r="AF132" i="1"/>
  <c r="AF155" i="1"/>
  <c r="AF108" i="1"/>
  <c r="AF225" i="1"/>
  <c r="L344" i="1"/>
  <c r="L119" i="1"/>
  <c r="L272" i="1"/>
  <c r="L87" i="1"/>
  <c r="L5" i="1"/>
  <c r="L372" i="1"/>
  <c r="L368" i="1"/>
  <c r="L364" i="1"/>
  <c r="L360" i="1"/>
  <c r="L356" i="1"/>
  <c r="L351" i="1"/>
  <c r="L347" i="1"/>
  <c r="L343" i="1"/>
  <c r="L300" i="1"/>
  <c r="L335" i="1"/>
  <c r="L331" i="1"/>
  <c r="L327" i="1"/>
  <c r="L323" i="1"/>
  <c r="L319" i="1"/>
  <c r="L315" i="1"/>
  <c r="L311" i="1"/>
  <c r="L281" i="1"/>
  <c r="L200" i="1"/>
  <c r="AD4" i="1"/>
  <c r="L371" i="1"/>
  <c r="L367" i="1"/>
  <c r="L363" i="1"/>
  <c r="L359" i="1"/>
  <c r="L355" i="1"/>
  <c r="L336" i="1"/>
  <c r="L346" i="1"/>
  <c r="L342" i="1"/>
  <c r="L296" i="1"/>
  <c r="L334" i="1"/>
  <c r="L330" i="1"/>
  <c r="L326" i="1"/>
  <c r="L322" i="1"/>
  <c r="L318" i="1"/>
  <c r="L314" i="1"/>
  <c r="L320" i="1"/>
  <c r="L179" i="1"/>
  <c r="L107" i="1"/>
  <c r="L126" i="1"/>
  <c r="AF287" i="1"/>
  <c r="L276" i="1"/>
  <c r="L271" i="1"/>
  <c r="L246" i="1"/>
  <c r="L260" i="1"/>
  <c r="L234" i="1"/>
  <c r="L71" i="1"/>
  <c r="L95" i="1"/>
  <c r="L142" i="1"/>
  <c r="L312" i="1"/>
  <c r="L337" i="1"/>
  <c r="L329" i="1"/>
  <c r="L325" i="1"/>
  <c r="L373" i="1"/>
  <c r="L369" i="1"/>
  <c r="L365" i="1"/>
  <c r="L361" i="1"/>
  <c r="L357" i="1"/>
  <c r="L352" i="1"/>
  <c r="L338" i="1"/>
  <c r="L310" i="1"/>
  <c r="L299" i="1"/>
  <c r="L332" i="1"/>
  <c r="L328" i="1"/>
  <c r="L324" i="1"/>
  <c r="L308" i="1"/>
  <c r="L370" i="1"/>
  <c r="L366" i="1"/>
  <c r="L362" i="1"/>
  <c r="L358" i="1"/>
  <c r="L353" i="1"/>
  <c r="L321" i="1"/>
  <c r="L295" i="1"/>
  <c r="L317" i="1"/>
  <c r="L313" i="1"/>
  <c r="L309" i="1"/>
  <c r="L282" i="1"/>
  <c r="L220" i="1"/>
  <c r="L206" i="1"/>
  <c r="L51" i="1"/>
  <c r="L57" i="1"/>
  <c r="L316" i="1" l="1"/>
  <c r="L348" i="1"/>
  <c r="L378" i="1"/>
  <c r="L374" i="1"/>
  <c r="L307" i="1"/>
  <c r="L118" i="1"/>
  <c r="L259" i="1"/>
  <c r="AF191" i="1"/>
  <c r="L191" i="1"/>
  <c r="L253" i="1"/>
  <c r="L266" i="1"/>
  <c r="AF190" i="1"/>
  <c r="L190" i="1"/>
  <c r="L240" i="1"/>
  <c r="L280" i="1"/>
  <c r="L94" i="1"/>
  <c r="L274" i="1"/>
  <c r="L245" i="1"/>
  <c r="L290" i="1"/>
  <c r="L333" i="1"/>
  <c r="L294" i="1"/>
  <c r="L192" i="1"/>
  <c r="L345" i="1"/>
  <c r="L70" i="1"/>
  <c r="L354" i="1"/>
  <c r="L7" i="1"/>
  <c r="L147" i="1"/>
  <c r="L199" i="1"/>
  <c r="L166" i="1"/>
  <c r="L219" i="1"/>
  <c r="L232" i="1"/>
  <c r="L204" i="1"/>
  <c r="L55" i="1"/>
  <c r="L50" i="1"/>
  <c r="L106" i="1"/>
  <c r="L196" i="1"/>
  <c r="L183" i="1"/>
  <c r="L83" i="1"/>
  <c r="L141" i="1"/>
  <c r="L61" i="1"/>
  <c r="L40" i="1"/>
  <c r="L100" i="1"/>
  <c r="L131" i="1"/>
  <c r="L45" i="1"/>
  <c r="L224" i="1"/>
  <c r="L127" i="1"/>
  <c r="AF21" i="1"/>
  <c r="L21" i="1"/>
  <c r="AF24" i="1"/>
  <c r="L24" i="1"/>
  <c r="L153" i="1"/>
  <c r="AF19" i="1"/>
  <c r="L19" i="1"/>
  <c r="L161" i="1"/>
  <c r="AF31" i="1"/>
  <c r="L31" i="1"/>
  <c r="AF6" i="1"/>
  <c r="L6" i="1"/>
  <c r="AF56" i="1"/>
  <c r="L56" i="1"/>
  <c r="AF20" i="1"/>
  <c r="L20" i="1"/>
  <c r="AF25" i="1"/>
  <c r="AF40" i="1"/>
  <c r="AF7" i="1"/>
  <c r="AF51" i="1"/>
  <c r="AF266" i="1"/>
  <c r="AF224" i="1"/>
  <c r="AF183" i="1"/>
  <c r="AF271" i="1"/>
  <c r="AF57" i="1"/>
  <c r="AF290" i="1"/>
  <c r="AF95" i="1"/>
  <c r="AF196" i="1"/>
  <c r="AF274" i="1"/>
  <c r="AF142" i="1"/>
  <c r="AF276" i="1"/>
  <c r="AF272" i="1"/>
  <c r="AF193" i="1"/>
  <c r="AF206" i="1"/>
  <c r="AF94" i="1"/>
  <c r="AF234" i="1"/>
  <c r="AF260" i="1"/>
  <c r="AF126" i="1"/>
  <c r="AF84" i="1"/>
  <c r="AF200" i="1"/>
  <c r="AF119" i="1"/>
  <c r="AF246" i="1"/>
  <c r="AF220" i="1"/>
  <c r="AF309" i="1"/>
  <c r="AF353" i="1"/>
  <c r="AF366" i="1"/>
  <c r="AF308" i="1"/>
  <c r="AF299" i="1"/>
  <c r="AF352" i="1"/>
  <c r="AF365" i="1"/>
  <c r="AF329" i="1"/>
  <c r="AF280" i="1"/>
  <c r="AF320" i="1"/>
  <c r="AF322" i="1"/>
  <c r="AF354" i="1"/>
  <c r="AF367" i="1"/>
  <c r="AF281" i="1"/>
  <c r="AF311" i="1"/>
  <c r="AF327" i="1"/>
  <c r="AF343" i="1"/>
  <c r="AF356" i="1"/>
  <c r="AF372" i="1"/>
  <c r="AF313" i="1"/>
  <c r="AF370" i="1"/>
  <c r="AF324" i="1"/>
  <c r="AF369" i="1"/>
  <c r="AF337" i="1"/>
  <c r="AF70" i="1"/>
  <c r="AF326" i="1"/>
  <c r="AF342" i="1"/>
  <c r="AF355" i="1"/>
  <c r="AF371" i="1"/>
  <c r="AF315" i="1"/>
  <c r="AF331" i="1"/>
  <c r="AF347" i="1"/>
  <c r="AF360" i="1"/>
  <c r="AF5" i="1"/>
  <c r="AF87" i="1"/>
  <c r="AF344" i="1"/>
  <c r="AF282" i="1"/>
  <c r="AF317" i="1"/>
  <c r="AF345" i="1"/>
  <c r="AF328" i="1"/>
  <c r="AF357" i="1"/>
  <c r="AF373" i="1"/>
  <c r="AF307" i="1"/>
  <c r="AF316" i="1"/>
  <c r="AF179" i="1"/>
  <c r="AF314" i="1"/>
  <c r="AF330" i="1"/>
  <c r="AF346" i="1"/>
  <c r="AF359" i="1"/>
  <c r="AF319" i="1"/>
  <c r="AF335" i="1"/>
  <c r="AF351" i="1"/>
  <c r="AF364" i="1"/>
  <c r="AF295" i="1"/>
  <c r="AF362" i="1"/>
  <c r="AF378" i="1"/>
  <c r="AF332" i="1"/>
  <c r="AF348" i="1"/>
  <c r="AF361" i="1"/>
  <c r="AF325" i="1"/>
  <c r="AF312" i="1"/>
  <c r="AF107" i="1"/>
  <c r="AF294" i="1"/>
  <c r="AF318" i="1"/>
  <c r="AF334" i="1"/>
  <c r="AF336" i="1"/>
  <c r="AF363" i="1"/>
  <c r="AF323" i="1"/>
  <c r="AF300" i="1"/>
  <c r="AF368" i="1"/>
  <c r="AF71" i="1"/>
  <c r="AF374" i="1"/>
  <c r="AF131" i="1"/>
  <c r="AF127" i="1"/>
  <c r="AF61" i="1"/>
  <c r="AF296" i="1"/>
  <c r="AF192" i="1"/>
  <c r="AF199" i="1"/>
  <c r="AF240" i="1"/>
  <c r="AF166" i="1"/>
  <c r="AF153" i="1"/>
  <c r="AF161" i="1"/>
  <c r="AF204" i="1"/>
  <c r="AF253" i="1"/>
  <c r="AF245" i="1"/>
  <c r="AF147" i="1"/>
  <c r="AF259" i="1"/>
  <c r="AF219" i="1"/>
  <c r="AF232" i="1"/>
  <c r="AF118" i="1"/>
  <c r="AF106" i="1"/>
  <c r="AF141" i="1"/>
  <c r="AF100" i="1"/>
  <c r="AF83" i="1"/>
  <c r="AF50" i="1"/>
  <c r="AF338" i="1"/>
  <c r="AF310" i="1"/>
  <c r="AF358" i="1"/>
  <c r="AF321" i="1"/>
  <c r="AF333" i="1"/>
  <c r="AF45" i="1"/>
  <c r="L4" i="1"/>
  <c r="AF55" i="1"/>
  <c r="AF4" i="1"/>
  <c r="XFB4" i="1" l="1"/>
  <c r="AA149" i="1" l="1"/>
  <c r="L149" i="1" l="1"/>
  <c r="AF149" i="1"/>
  <c r="U181" i="1" l="1"/>
  <c r="AF181" i="1" l="1"/>
  <c r="L181" i="1"/>
</calcChain>
</file>

<file path=xl/sharedStrings.xml><?xml version="1.0" encoding="utf-8"?>
<sst xmlns="http://schemas.openxmlformats.org/spreadsheetml/2006/main" count="7157" uniqueCount="2218">
  <si>
    <t>Nr. crt.</t>
  </si>
  <si>
    <t>Titlu proiect</t>
  </si>
  <si>
    <t xml:space="preserve">Regiune </t>
  </si>
  <si>
    <t>Localitate</t>
  </si>
  <si>
    <t>Tip beneficiar</t>
  </si>
  <si>
    <t>Total valoare proiect</t>
  </si>
  <si>
    <t>Act aditional NR.</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</si>
  <si>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</si>
  <si>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</si>
  <si>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</si>
  <si>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</si>
  <si>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</si>
  <si>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</si>
  <si>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</si>
  <si>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</si>
  <si>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</si>
  <si>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</si>
  <si>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</si>
  <si>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</si>
  <si>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</si>
  <si>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</si>
  <si>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</si>
  <si>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</si>
  <si>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</si>
  <si>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</si>
  <si>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</si>
  <si>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</si>
  <si>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</si>
  <si>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</si>
  <si>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</si>
  <si>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</si>
  <si>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</si>
  <si>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</si>
  <si>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</si>
  <si>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</si>
  <si>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</si>
  <si>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</si>
  <si>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</si>
  <si>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</si>
  <si>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</si>
  <si>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</si>
  <si>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</si>
  <si>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</si>
  <si>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</si>
  <si>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</si>
  <si>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</si>
  <si>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</si>
  <si>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</si>
  <si>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</si>
  <si>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</si>
  <si>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</si>
  <si>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</si>
  <si>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</si>
  <si>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</si>
  <si>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</si>
  <si>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</si>
  <si>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</si>
  <si>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</si>
  <si>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</si>
  <si>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</si>
  <si>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Monitorizarea și evaluarea strategiilor condiționalități ex-ante în educație și îmbunătățirea procesului decizional prin monitorizarea performanței instituționale la nivel central și local</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</si>
  <si>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</si>
  <si>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</si>
  <si>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</si>
  <si>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</si>
  <si>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</si>
  <si>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</si>
  <si>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</si>
  <si>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</si>
  <si>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</si>
  <si>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</si>
  <si>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</si>
  <si>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</si>
  <si>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</si>
  <si>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</si>
  <si>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</si>
  <si>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</si>
  <si>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</si>
  <si>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</si>
  <si>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</si>
  <si>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</si>
  <si>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</si>
  <si>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</si>
  <si>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</si>
  <si>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</si>
  <si>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</si>
  <si>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</si>
  <si>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</si>
  <si>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</si>
  <si>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</si>
  <si>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</si>
  <si>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</si>
  <si>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</si>
  <si>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</si>
  <si>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</si>
  <si>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</si>
  <si>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</si>
  <si>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</si>
  <si>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</si>
  <si>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</si>
  <si>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</si>
  <si>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</si>
  <si>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</si>
  <si>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</si>
  <si>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</si>
  <si>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</si>
  <si>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</si>
  <si>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</si>
  <si>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</si>
  <si>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</si>
  <si>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</si>
  <si>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</si>
  <si>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</si>
  <si>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</si>
  <si>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</si>
  <si>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</si>
  <si>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</si>
  <si>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</si>
  <si>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</si>
  <si>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</si>
  <si>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</si>
  <si>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</si>
  <si>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</si>
  <si>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</si>
  <si>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</si>
  <si>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</si>
  <si>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</si>
  <si>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</si>
  <si>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</si>
  <si>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</si>
  <si>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</si>
  <si>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</si>
  <si>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</si>
  <si>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</si>
  <si>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</si>
  <si>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</si>
  <si>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</si>
  <si>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</si>
  <si>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</si>
  <si>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</si>
  <si>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AP3/  /3.1</t>
  </si>
  <si>
    <t>AP3/  /3.2</t>
  </si>
  <si>
    <t>Cod apel</t>
  </si>
  <si>
    <t>AP1/11i /1.1</t>
  </si>
  <si>
    <t>AP1/11i /1.4</t>
  </si>
  <si>
    <t xml:space="preserve">AP1/11i /1.3 </t>
  </si>
  <si>
    <t xml:space="preserve">AP1/11i /1.2 </t>
  </si>
  <si>
    <t>IP2/2015</t>
  </si>
  <si>
    <t>IP5/2016</t>
  </si>
  <si>
    <t>regiune mai dezvoltată</t>
  </si>
  <si>
    <t>regiune mai puțin dezvoltată</t>
  </si>
  <si>
    <t>n.a</t>
  </si>
  <si>
    <t>AA5/ 27.11.2017</t>
  </si>
  <si>
    <t>AA3/ 12.10.2017</t>
  </si>
  <si>
    <t>AA6/ 21.11.2017</t>
  </si>
  <si>
    <t>AA2 /14.09.2017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</si>
  <si>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</si>
  <si>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</si>
  <si>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</si>
  <si>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</si>
  <si>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</si>
  <si>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</si>
  <si>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</si>
  <si>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</si>
  <si>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</si>
  <si>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</si>
  <si>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</si>
  <si>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</si>
  <si>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</si>
  <si>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</si>
  <si>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</si>
  <si>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</si>
  <si>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</si>
  <si>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AA7/25.01.2018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</si>
  <si>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</si>
  <si>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</si>
  <si>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</si>
  <si>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</si>
  <si>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</si>
  <si>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</si>
  <si>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</si>
  <si>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</si>
  <si>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</si>
  <si>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</si>
  <si>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</si>
  <si>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</si>
  <si>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</si>
  <si>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APT_SMC – Administrație Publică eficienTă prin Sistem de Management al Calității</t>
  </si>
  <si>
    <t>Judeţul Dâmbovița</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</si>
  <si>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</si>
  <si>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</si>
  <si>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</si>
  <si>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</si>
  <si>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</si>
  <si>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</si>
  <si>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</si>
  <si>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</si>
  <si>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</si>
  <si>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</si>
  <si>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</si>
  <si>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</si>
  <si>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</si>
  <si>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</si>
  <si>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</si>
  <si>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</si>
  <si>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</si>
  <si>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Bistrița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</si>
  <si>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</si>
  <si>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</si>
  <si>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</si>
  <si>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</si>
  <si>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</si>
  <si>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</si>
  <si>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</si>
  <si>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</si>
  <si>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</si>
  <si>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</si>
  <si>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</si>
  <si>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</si>
  <si>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</si>
  <si>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</si>
  <si>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</si>
  <si>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</si>
  <si>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</si>
  <si>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</si>
  <si>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</si>
  <si>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</si>
  <si>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</si>
  <si>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</si>
  <si>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</si>
  <si>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</si>
  <si>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</si>
  <si>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</si>
  <si>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</si>
  <si>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</si>
  <si>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</si>
  <si>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</si>
  <si>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</si>
  <si>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</si>
  <si>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</si>
  <si>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</si>
  <si>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</si>
  <si>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</si>
  <si>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</si>
  <si>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</si>
  <si>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</si>
  <si>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</si>
  <si>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</si>
  <si>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</si>
  <si>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</si>
  <si>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JUDEȚUL GORJ</t>
  </si>
  <si>
    <t>CALITATE = EFICIENTA = PERFORMANTA</t>
  </si>
  <si>
    <t>Asigurarea managementului performantei si calitatii in Municipiul Ploiesti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</si>
  <si>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</si>
  <si>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</si>
  <si>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</si>
  <si>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</si>
  <si>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</si>
  <si>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</si>
  <si>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</si>
  <si>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</si>
  <si>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</si>
  <si>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</si>
  <si>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</si>
  <si>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</si>
  <si>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</si>
  <si>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</si>
  <si>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</si>
  <si>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</si>
  <si>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</si>
  <si>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</si>
  <si>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</si>
  <si>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</si>
  <si>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</si>
  <si>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</si>
  <si>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</si>
  <si>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</si>
  <si>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CP4 more /2017</t>
  </si>
  <si>
    <t>CP4 less /2017</t>
  </si>
  <si>
    <t>Management performant la nivelul Primăriei Mangalia</t>
  </si>
  <si>
    <t>Municipiul Mangalia</t>
  </si>
  <si>
    <t>Constanța</t>
  </si>
  <si>
    <t>Mangalia</t>
  </si>
  <si>
    <t>CETATE.Caransebeş, Eficient şi Tânăr prin Administrare Transparentă şi Economică</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</si>
  <si>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</si>
  <si>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</si>
  <si>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</si>
  <si>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</si>
  <si>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</si>
  <si>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 Sprijinirea mdunicipiului Bacău pentru asigurarea managementului performantei și calității”</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</si>
  <si>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</si>
  <si>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</si>
  <si>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</si>
  <si>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</si>
  <si>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</si>
  <si>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</si>
  <si>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</si>
  <si>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</si>
  <si>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</si>
  <si>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</si>
  <si>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</si>
  <si>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</si>
  <si>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</si>
  <si>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Alba Iulia</t>
  </si>
  <si>
    <t>ALBA</t>
  </si>
  <si>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t>
  </si>
  <si>
    <t>Creșterea capacității Federației naționale a sindicatelor muncii și protecției sociale și a membrilor acesteia în formularea de politici publice alternative în domeniul protecției muncii</t>
  </si>
  <si>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</si>
  <si>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</si>
  <si>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</si>
  <si>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</si>
  <si>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</si>
  <si>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</si>
  <si>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</si>
  <si>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</si>
  <si>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</si>
  <si>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</si>
  <si>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</si>
  <si>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</si>
  <si>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</si>
  <si>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</si>
  <si>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</si>
  <si>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</si>
  <si>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</si>
  <si>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</si>
  <si>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</si>
  <si>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</si>
  <si>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</si>
  <si>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</si>
  <si>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</si>
  <si>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</si>
  <si>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</si>
  <si>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</si>
  <si>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</si>
  <si>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</si>
  <si>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</si>
  <si>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</si>
  <si>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</si>
  <si>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</si>
  <si>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</si>
  <si>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</si>
  <si>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</si>
  <si>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</si>
  <si>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</si>
  <si>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</si>
  <si>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</si>
  <si>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</si>
  <si>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</si>
  <si>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Asociația "C4C Communication for Community"</t>
  </si>
  <si>
    <t>„Acces la educație incluzivă de calitate pentru copiii CES cu deficiențe auditive și vizuale (EDU-CES)”,</t>
  </si>
  <si>
    <t>IAȘI</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</si>
  <si>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</si>
  <si>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</si>
  <si>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</si>
  <si>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</si>
  <si>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</si>
  <si>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</si>
  <si>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</si>
  <si>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</si>
  <si>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</si>
  <si>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</si>
  <si>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</si>
  <si>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</si>
  <si>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</si>
  <si>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</si>
  <si>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</si>
  <si>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</si>
  <si>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BRĂILA</t>
  </si>
  <si>
    <t>CĂLĂRAȘI</t>
  </si>
  <si>
    <t>PRAHOVA</t>
  </si>
  <si>
    <t>SĂLAJ</t>
  </si>
  <si>
    <t>SATU MARE</t>
  </si>
  <si>
    <t>TULCEA</t>
  </si>
  <si>
    <t>VÂLCEA</t>
  </si>
  <si>
    <t>VRANCEA</t>
  </si>
  <si>
    <t>Cod MySMIS</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</si>
  <si>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</si>
  <si>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</si>
  <si>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</si>
  <si>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</si>
  <si>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"Centru de inovație și excelență în domeniul politicilor publice de tineret”</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</si>
  <si>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</si>
  <si>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</si>
  <si>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</si>
  <si>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</si>
  <si>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</si>
  <si>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</si>
  <si>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</si>
  <si>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</si>
  <si>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</si>
  <si>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Implementarea unui sistem de management performant pentru imbunatatirea proceselor interne și cresterea calitatii serviciilor Primariei Sectorului 6 Bucureşti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</si>
  <si>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</si>
  <si>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</si>
  <si>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</si>
  <si>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</si>
  <si>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</si>
  <si>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Sistem integrat de management pentru o societate informațională performantă (SIMSIP)</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</si>
  <si>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</si>
  <si>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</si>
  <si>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</si>
  <si>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</si>
  <si>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</si>
  <si>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</si>
  <si>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Urziceni</t>
  </si>
  <si>
    <t>Buna guvernare in domeniul serviciilor sociale</t>
  </si>
  <si>
    <t>ASOCIATIA ASISTENTILOR SOCIALI PROFESIONISTI "PROSOCIAL"</t>
  </si>
  <si>
    <t>Cluj-Napoca</t>
  </si>
  <si>
    <t>”Zero birocrație - mecanism integrat de identificare si simplificare a sarcinilor administrative pentru mediul de afaceri si pentru cetațeni”</t>
  </si>
  <si>
    <t>Institutul Roman Pentru Educație și Incluziune Sociala</t>
  </si>
  <si>
    <t>Implicare civică pentru formularea propunerilor alternative de politici publice în educație”</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</si>
  <si>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</si>
  <si>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</si>
  <si>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</si>
  <si>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</si>
  <si>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</si>
  <si>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</si>
  <si>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</si>
  <si>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</si>
  <si>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</si>
  <si>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</si>
  <si>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</si>
  <si>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</si>
  <si>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Patra 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</si>
  <si>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</si>
  <si>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</si>
  <si>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</si>
  <si>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</si>
  <si>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</si>
  <si>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</si>
  <si>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</si>
  <si>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</si>
  <si>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</si>
  <si>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</si>
  <si>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</si>
  <si>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</si>
  <si>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</si>
  <si>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</si>
  <si>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</si>
  <si>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</si>
  <si>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</si>
  <si>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</si>
  <si>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</si>
  <si>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„Politici Publice in Economie Sociala - P.P.E.S"</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</si>
  <si>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</si>
  <si>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</si>
  <si>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</si>
  <si>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"RePas - Responsabilitate ;I parteneriat pentru sănătate"</t>
  </si>
  <si>
    <t>Asociația Română pentr Promovarea Sănătății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</si>
  <si>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</si>
  <si>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</si>
  <si>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</si>
  <si>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</si>
  <si>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</si>
  <si>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</si>
  <si>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</si>
  <si>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</si>
  <si>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</si>
  <si>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</si>
  <si>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</si>
  <si>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</si>
  <si>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</si>
  <si>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</si>
  <si>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</si>
  <si>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</si>
  <si>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</si>
  <si>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</si>
  <si>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</si>
  <si>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</si>
  <si>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</si>
  <si>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</si>
  <si>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</si>
  <si>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</si>
  <si>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</si>
  <si>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</si>
  <si>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CP6 less /2017</t>
  </si>
  <si>
    <t>"Administrație eficientă, servicii de calitate la nivel local"</t>
  </si>
  <si>
    <t>Județul Prahova</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</si>
  <si>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capacitaþii manageriale caracteristice unei administraþii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competenþe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</si>
  <si>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119 -  Investiții în capacitatea instituțională și în eficiența administrațiilor și a serviciilor publice la nivel național, regional și local, în perspectiva realizării de reforme, a unei mai bune legiferări și a bunei guvernanțe</t>
  </si>
  <si>
    <t>Obiectivul general urmarit prin proiect este acela de îmbunataþire a cunostinþelor profesionale si abilitaților membrilor sistemului judiciar vizavi de acest proiect (judecatori, procurori, magistrați-asistenți si personal din cadrul instituțiilor sistemului judiciar asimilat judecatorilor si procurorilor), necesare desfasurarii activitaþii în cadrul instanþelor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instituþiilor sistemului judiciar privind unificarea practicii judiciare.</t>
  </si>
  <si>
    <t>Consolidarea capacității instituționale a Oficiului Național al Registrului Comerțului, a sistemului registrului comerțului și a sistemului de publicitate legală</t>
  </si>
  <si>
    <t xml:space="preserve">Obiectivul principal al proiectului este realizarea si implementarea unui sistem eficient si performant pentru „Consolidarea capacitații instituþionale a Oficiului Național al Registrului Comerțului, a sistemului registrului comerțului si a sistemului de publicitate legala”.
</t>
  </si>
  <si>
    <t xml:space="preserve"> </t>
  </si>
  <si>
    <t>Fundația Corona</t>
  </si>
  <si>
    <t>1. MDRAP</t>
  </si>
  <si>
    <t>Bugetarea pe bază de gen în politicile public</t>
  </si>
  <si>
    <t>FUNDAÞIA "CENTRUL DE MEDIERE SI SECURITATE COMUNITARA" 
AGENTIA NATIONALA PENTRU
EGALITATEA DE SANSE INTRE FEMEI
SI BARBATI</t>
  </si>
  <si>
    <t>Obiectivul general:
Cresterea capacitatii ONG-urilor de a se implica în formularea si promovarea de propuneri alternative la politicile publice iniþiate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responsabilitaþii civice, de implicare a comunitaþilor locale în viaþa publica si de participare la procesele
decizionale, de promovare a egalitaþii de sanse, nediscriminarii si dezvoltarii durabile prin organizarea a 4 audieri publice
nationale pe marginea variantei consultative a celor 4 politici publice nationale in domeniul bugetarii pe baza de gen acceptate de
autoritatile responsabile.</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</si>
  <si>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</si>
  <si>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</si>
  <si>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</si>
  <si>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</si>
  <si>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</si>
  <si>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</si>
  <si>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Cresterea capacitaþii ONG-urilor de formulare de politici publice alternative în domeniile sanatate publica sau protecþie sociala
Obiectivele specifice ale proiectului
1. Obiectiv specific 1. Elaborarea unui ghid de proceduri si instrumente pentru monitorizarea si evaluarea politicilor publice din
domeniul social sau medical
2. Obiectiv specific 2. Dezvoltarea cunostinþelor si abilitaþilor pentru 100 de persoane din cadrul ONG-urilor din domeniul domeniile
social sau medical în formularea de politici publice alternative si în monitorizarea independenta a politicilor guvernamentale
3. Obiectiv specific 3. Crearea unei reþele informale de ONG-uri în domeniul politicilor publice sociale sau medicale
4. Obiectiv specific 4. Formularea de 5 propuneri de politici publice alternative în domeniul politicilor publice sociale sau medicale</t>
  </si>
  <si>
    <t>Medierea-politică publică eficientă în dialogul civic</t>
  </si>
  <si>
    <t>Asociația "Centrul de Mediere si Arbitraj Propact"</t>
  </si>
  <si>
    <t>Universitatea ”Andrei Șaguna”</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</si>
  <si>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cetaþeni si mediul ONG/parteneri sociali
</t>
  </si>
  <si>
    <t>Cresterea capacitatii societatii civile de a formula politici publice alternative pentru sprijinirea
protectiei mediului prin reglementarea aplicabilitatii legilor privind perdelele forestiere – RPR</t>
  </si>
  <si>
    <t>ASOCIATIA "ROMANIA PRINDE RADACINI"</t>
  </si>
  <si>
    <t>Politici publice pentru dezvoltare durabilă</t>
  </si>
  <si>
    <t>Asociația ,,Centrul pentru Politici Publice Durabile Ecopolis”</t>
  </si>
  <si>
    <t>Performanță și calitate în administrația publică locală din municipiul Motru</t>
  </si>
  <si>
    <t>Municipiul Motru</t>
  </si>
  <si>
    <t>Obiectivul general al proiectului - Optimizarea si eficientizarea proceselor orientate catre cetaþeni, în concordanþa cu Strategia pentru Consolidarea Administraþiei Publice, prin introducerea sistemelor comune de calitate si performanþa, în cadrul UAT Municipiul Motru.                                                                                                                                                                                                                                                                      Obiectiv specific 1: Implementarea unui sistem unitar de management al calitaþii si performanþei (în conformitate cu Planul de
acþiune pentru prioritizarea si etapizarea implementarii managementului calitaþii) la nivelul UAT Municipiul Motru si realizarea unui schimb de experienþa între personalul din instituþia publica beneficiara a proiectului si autoritaþi, organisme, organizaþii publice naþionale.
2. Obiectiv specific 2: Dezvoltarea abilitaþilor unui numar de 40 participanþi din cadrul UAT Municipiul Motru în domeniile
implementarii sistemelor de management al calitaþii (CAF, ISO), control managerial intern, politici publice locale.</t>
  </si>
  <si>
    <t>Motru</t>
  </si>
  <si>
    <t>"Societatea civilă dezvoltă politici publice"</t>
  </si>
  <si>
    <t>Asociația pentru Implicare Socială, Educație și Cultură</t>
  </si>
  <si>
    <t>Obiectivul general al proiectului/Scopul proiectului
Obiective proiect
Obiectivul general al proiectului este dezvoltarea capacitaþii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naþional, pentru un numar de 50 de persoane.
3. OS 3 - Îmbunatațirea colaborarii si a dialogului dintre organizaþiile non-guvernamentale si autoritațile publice, pentru dezvoltarea
capacitații acestora de a iniția parteneriate si de a colabora în procesul de elaborare a politicilor publice.</t>
  </si>
  <si>
    <t>„Implicare, colaborare şi sprijin reciproc pentru un viitor mai bun al tinerilor!”</t>
  </si>
  <si>
    <t>Asociația “Ai încredere”</t>
  </si>
  <si>
    <t xml:space="preserve">P1: Asociația de Dezvoltare Durabilă a Județului Tulcea 
</t>
  </si>
  <si>
    <t xml:space="preserve">Obiectivul general al proiectului:
Cresterea capacitaþii ONG-urilor si a partenerilor sociali de a se implica în formularea si promovarea de propuneri alternative la politicile publice iniþiate de Guvern, în domeniul ocuparii tinerilor prin comunicare, colaborare si sprijin reciproc.
Obiectivele specifice ale proiectului:
1. Instruirea unui numar de 100 de persoane prin cursurile de Delegat Sindical- Cod COR 111411. Scopul instruirii este de a
consolidarea organizaþiilor sindicale astfel încât acestea sa îsi îmbunataþeasca capacitatea de a formula si promova propuneri de politici publice alternative la politicile publice iniþiate de Guvern în domeniu. Rolul cursului este de a creste interesul pentru recrutarea tinerilor în sindicate si pentru a le înþelege mai bine nevoile.
2. Elaborarea unei Politici publice alternative la politicile publice iniþiate de Guvern în domeniul ocuparii tinerilor si al tranziþiei acestora de la scoala la viaþa active. Politica publica alternativa va încerca sa rezolve o serie de probleme identificate prin dezbateri si analiza asupra legislaþiei în vigoare.
3. Realizarea unui mecanism de Monitorizare, dezvolatre de politici alternative la cele iniþiate de Guvern, colaborare, susþinere reciproca, Hub-ul Online al ONG-urilor si ai partenrilor sociali. Un rol important al acestei platforme este dezvoltarea responsabilitaþii civice, de implicare a comunitaþilor locale în viaþa publica si de participare la procesele decizionale, de promovare a egalitaþi de sanse si nediscriminarii, precum si a dezvoltarii durabile. Dezvolta capacitatea partenerilor sociali si a ONG prin activitaþi întreprinse în comun, participarea si dezvoltarea de reþele tematice locale/naþionale.
</t>
  </si>
  <si>
    <t>Tulcea</t>
  </si>
  <si>
    <t xml:space="preserve"> în implementare</t>
  </si>
  <si>
    <t>Dezvoltarea unui sistem unitar de management al calității la nivelul Consiliului Județean Vâlcea și al instituțiilor subordonate</t>
  </si>
  <si>
    <t>Județul Vâlcea</t>
  </si>
  <si>
    <t>Râmnicu Vâlcea</t>
  </si>
  <si>
    <t>Dezvoltarea unui sistem unitar si sustenabil de management al calitaþii la nivelul Consiliului Judeþean Vâlcea si al altor 12 instituþii publice din subordinea sa, în scopul optimizarii proceselor orientate catre beneficiari, în concordanþa cu SCAP.
Obiectivele specifice ale proiectului
1. Implementarea Sistemului de Management al Calitaþii, conform SR EN ISO 9001:2015, la nivelul a 12 instituþii publice din
subordinea Consiliului Judeþean Vâlcea.
2. Certificarea Sistemului de Management al Calitaþii, conform SR EN ISO 9001:2015, la nivelul Consiliului Judeþean Vâlcea si al
altor 12 instituþii subordonate.
3. Consolidarea sistemului de management al calitaþii la nivelul Consiliului Judeþean Vâlcea, prin implementarea instrumentului de autoevaluare CAF.
4. Îmbunataþirea cunostinþelor si abilitaþilor personalului, din cadrul Consiliul Judeþean Vâlcea si instituþiile publice subordonate, prin participarea la programe si evenimente de formare profesionala în domeniul managementului calitaþii.
5. Asigurarea sustenabilitaþii sistemelor de management implementate si/sau certificate în cadrul proiectului, prin formarea si certificarea unui numar de 15 de specialisti în domeniul calitaþii si a 15 auditori în domeniul calitaþii, din rândul personalului angajat în aceste instituþii, cu atribuþii în domeniul managementului calitaþii.</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</si>
  <si>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</si>
  <si>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</si>
  <si>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</si>
  <si>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</si>
  <si>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</si>
  <si>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</si>
  <si>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</si>
  <si>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</si>
  <si>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</si>
  <si>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</si>
  <si>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 xml:space="preserve">Obiectiv general: Dezvoltarea sectorului forestier în scopul cresterii contribuþiei acestuia la ridicarea nivelului calitaþii vieþii,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</si>
  <si>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</si>
  <si>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</si>
  <si>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</si>
  <si>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</si>
  <si>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Cresterea calitaþii serviciilor publice furnizate de catre Primaria Municipiului Tîrgu Mures cetaþenilor prin îmbunataþirea sistemului de management al calitaþii si performanþei în concordanþa cu Planul de acþiuni pentru implementarea etapizata a managementului calitaþii în autoritaþi si instituþii publice 2016-2020.
Obiectivele specifice ale proiectului
1. Cresterea transparenþei instituþionale si a proceselor decizionale din cadrul municipiului Tîrgu Mures cu 20%, prin introducerea unui sistem unitar de mangement: ISO 9001:2015-Managementul calitaþii
2. Cresterea calitaþii serviciilor publice cu 20%, prin instruirea unui numar de 102 angajaþi cu funcþii de conducere din cadrul municipiului Tîrgu Mures în domeniul managementului calitaþii.
3. Consolidarea sistemului de management al calitaþii la nivelul municipiului Tîrgu Mures cu cel puþin 20% - organizare 1 Conferinþa privind managementul calitaþii în administraþia publica.</t>
  </si>
  <si>
    <t>Municipiul Aiud</t>
  </si>
  <si>
    <t>Performanța si eficiența în administrație prin implementarea unui management competitiv</t>
  </si>
  <si>
    <t>Implementarea unui sistem de management al calitaþii si performanþei integrat si eficient, prin autoevaluarea CAF, standardizarea proceselor de lucru, recertificarea ISO:9001 si dezvoltarea abilitaþilor personalului din cadrul UAT Primariei Municipiului Aiud, în vederea optimizarii proceselor orientate catre beneficiari, în concordanþa cu SCAP                                                                                                                                                                                                                         Obiectiv Specific 1: Dezvoltarea unui sistem unitar de management al calitaþii si performanþei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acþiuni de identificare a bunelor practici si networking între instituþii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cunostinþelor si abilitaþilor a 30 de persoane, însemnând personal din cadrul Primariei Municipiului Aiud, prin participarea la cursuri de formare profesionala pe teme specific de interes precum managementul calitaþii si managementul performanței, în vederea sprijinirii masurilor si acțiunilor de OS2.1 si implicit de proiect pentru optimizarea proceselor orientate catre beneficiari.</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</si>
  <si>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</si>
  <si>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</si>
  <si>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</si>
  <si>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</si>
  <si>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</si>
  <si>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</si>
  <si>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cetaþean si bazate pe dovezi, precum si alte tematici de interes aferente acþiunilor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</si>
  <si>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Platforma Acţiunilor Comune Transparente - PACT A.Co.R</t>
  </si>
  <si>
    <t>Asociația Comunelor din România</t>
  </si>
  <si>
    <t>Obiectivul general al proiectului este crearea si dezvoltarea, la nivelul Asociaþiei Comunelor din România, a unui mecanism alternativ functional, cu o abordare de jos în sus (bottom-up), de elaborare si monitorizare a politicilor publice ce vizeaza mediul rural din România, respectiv de consultare a membrilor privind politicile publice initiate de autoritaþile si institutiile publice centrale - Platforma actiunilor comune transparente PACT - A.Co.R.</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</si>
  <si>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</si>
  <si>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</si>
  <si>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</si>
  <si>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</si>
  <si>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</si>
  <si>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</si>
  <si>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</si>
  <si>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calitaþii si performanþei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</si>
  <si>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Asociația Centrul pentru Legislație Nonprofit</t>
  </si>
  <si>
    <t>Îmbunatațirea cadrului juridic privind finanțarea publica a organizațiilor neguvernamentale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</si>
  <si>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capacitaþii a 15 organizaþii neguvernamentale si parteneri sociali de a se implica activ în formularea si promovarea unui set de propuneri de modificare a Legii 350/2005 privind regimul finanþarilor nerambursabile din fonduri publice alocate pentru activitați nonprofit de interes general
2. OS.2 - Realizarea în mod participativ a unei propuneri de politica publica alternativa privind finanþarea publica a activitaților nonprofit de intres general prin implicarea unui numar de 50 de reprezentanþi ai organizaþiilor neguvernamentale si partenerilor sociali împreuna cu 10 reprezentanþi din autoritațile si instituțiile publice.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</si>
  <si>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</si>
  <si>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</si>
  <si>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</si>
  <si>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</si>
  <si>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</si>
  <si>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</si>
  <si>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</si>
  <si>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</si>
  <si>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</si>
  <si>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„STAND UP - Creșterea participării și rolului societății civile în influențarea și îmbunătățirea politicilor publice”</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</si>
  <si>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</si>
  <si>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</si>
  <si>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</si>
  <si>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</si>
  <si>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Dezvoltarea unui management performant în cadrul primăriei municipiului Lugoj prin optimizarea proceselor orientate către beneficiari și pregătirea resurselor umane</t>
  </si>
  <si>
    <t>Obiectivul General.
Dezvoltarea unui management performant la nivelul Municipiului Lugoj, în vederea cresterii calitații, eficienței, transparenței si integritații
serviciilor publice oferite cetațenilor, instituþiilor administrației publice centrale si locale, operatorilor economici privați si organismelor
neguvernamentale cu care relaționeaza în spiritul dezvoltarii durabile, egalitații de sanse, securitații si sanataþii ocupaționale, prin
implementarea standardului ISO 9001/2015, precum si integrarea coroborata cu restul procedurilor din cadrul institutiei.
Obiectivele specifice ale proiectului
1. OS.1. Îmbunataþirea furnizarii serviciilor publice la nivelul Primariei Municipiului Lugoj prin implementarea Sistemului de Management al Calitatii;
2. OS.2. Dezvoltarea cunostinþelor si abilitaþilor profesionale grupului þinta prin participarea la cursuri;
3. OS.3. Cresterea transparenþei actului public prin organizarea unor acþiuni de diseminare a rezultatelor proiectului, cuprinzând si module de dezvoltare durabila si egalitate de sanse.</t>
  </si>
  <si>
    <t>Timiș</t>
  </si>
  <si>
    <t>Lugoj</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</si>
  <si>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</si>
  <si>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Constanta</t>
  </si>
  <si>
    <t>Transparență, etica și integritate</t>
  </si>
  <si>
    <t>1. Dezvoltarea unui sistem de proceduri operationale privind masurile preventive anticoruptie si indicatorii aferenþi în cadrul UAT Judeþul Gorj si a structurilor subordonate.
2. Implementarea masurilor referitoare la prevenirea corupþiei si a indicatorilor de evaluare inclusiv prin cresterea gradului de constientizare publica si campanii de educatie anticoruptie privind masurile referitoare la prevenirea coruptiei si a indicatorilor de evaluare.
3. Îmbunataþirea cunostinþelor si competentelor în domeniul prevenirii coruptiei, transparentei, eticii si integritatii pentru: - 25 persoane - personal de conducere si de execuþie din cadrul aparatului de specialitate al Unitaþii Administrativ Teritoriale Judeþul Gorj;
- 25 persoane - personal de conducere si de execuþie din cadrul structurilor subordonate Unitatii Administrativ Teritoriale Judeþul Gorj;
- 20 alesi locali ( consilieri judeteni, presedinte, vicepresedinti) ai Consiliului Judetean Gorj</t>
  </si>
  <si>
    <t>Targu Jiu</t>
  </si>
  <si>
    <t>Obiectiv Specific 1: Dezvoltarea unui mecanism eficient de prevenire a corupþiei în cadrul unitatii administrativ-teritoriale Primaria Municipiului Aiud, prin elaborarea si/sau actualizarea a minimum 7 proceduri de sistem/operationale privind indicatorii anticorupþie, în concordanþa cu Strategia Naþionala Anticoruptie 2016 – 2020.
Obiectiv Specific 2: Implementarea mecanismului de prevenire a corupþiei la nivelul UAT Municipiul Aiud, prin dispozitie de primar, cu ajutorul unui manual de implementare elaborat în cadrul proiectului.
3. Obiectiv Specific 3: Instruirea si certificarea a 30 de persoane, însemnând personal de conducere si de execuþie din cadrul Primariei Municipiului Aiud, prin intermediul unui curs de formare pe tematici privind importanta eticii si integritatii în institutia publica.</t>
  </si>
  <si>
    <t>Legislație actualizată pentru un comerț calitativ cu produse agroalimentare</t>
  </si>
  <si>
    <t>Asociația ACDBR</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</si>
  <si>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capacitaþii instituþionale a autoritaþilor publice si a
parþilor interesate si eficienþa administraþiei publice (OT 11) dar si a Obiectivelor specifice ale Axei prioritare 1,OS 1.1: Dezvoltarea si
introducerea de sisteme si standarde comune în administraþia publica ce optimizeaza procesele decizionale orientate catre cetaþeni si
mediul de afaceri în concordanþa cu SCAP precum si la realizarea obiectivelor si masurilor stabilite în cadrul Strategiei pentru
Consolidarea Administraþiei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</si>
  <si>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</si>
  <si>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</si>
  <si>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</si>
  <si>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</si>
  <si>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</si>
  <si>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</si>
  <si>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</si>
  <si>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 xml:space="preserve">
Obiective proiect
Proiectul este depus în cadrul Programului Operaþional Capacitatea Administrativa, Componenta 1 CP2/2017 - Cresterea capacita?ii
ONG-urilor si a partenerilor sociali de a formula politici publice alternative, Axa prioritara 1 Administratie publica si sistem judiciar eficiente,
Operaþiunea Dezvoltarea si introducerea de sisteme si standarde comune în administra?ia publica ce optimizeaza procesele decizionale
orientate catre ceta?eni si mediul de afaceri în concordanta cu SCAP.
OG: Dezvoltarea capacitaþii ONG-urilor de a formula si propune politici publice sensibile la egalitatea de gen si egalitatea de sanse prin
formarea a 160 de persoane din ONG-uri din domeniul egalitaþii de sanse si de gen, drepturile omului si tineret, prin facilitarea accesului
acestora la cunostere privind inegalitaþile de gen si privind mecanismele de dialog civic si sprijin pentru advocacy si prin desfasurarea unei
campanii de dialog civic si advocacy pentru politici privind egalitatea de gen la nivel naþional, la nivel naþional pe parcursul a 16 luni.
OG raspunde astfel problemelor identificate de parteneri în secþiunea „Justificare” si „Grup þinta”: 1/ deteriorarea continua a dialogului civic
si adoptarea politicilor publice fara consultare cu societatea civila si 2/ promovarea egalitaþii de sanse între femei si barbaþi printr-o
abordare integratoare de gen în toate politicile publice initiate de Guvern.
Obiectivele specifice ale proiectului
1. OS1 Devoltarea capacitaþii a 80 de ONG-uri de a formula si propune politici publice sensibile la egalitatea de gen si egalitatea de
sanse prin formarea a 160 de persoane din ONG si prin facilitarea accesului la mecanisme de dialog civic si sprijin pentru
advocacy, la nivel naþional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capacitaþii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societaþii civile în
consultarile publice si crestere calitaþii intervenþiilor lor. Acþiunile de mai sus vor integra principiile orizontale urmarite de POCA
crescând astfel capacitatea ONG-urilor participante de a si le însusi si promova. De asemenea, publicitatea finanþarii FSE prin
POCA si a oportunitaþilor de finanþare ONG va creste capacitatea lor de accesare a finanþarilor nerambursabile prin informare
clara si pragmatica.
OS1 va fi atins prin implementarea SA1.1, SA1.2, SA2.1, SA2.2, SA2.3, SA5.1, SA7.1 si obþinerea rezultatelor de proiect R1, R3
si R4.
OS1 participa la atingerea IR 5S44-80, IR 5S45-160, ISR1.1-5, ISR2.1-1.
2. OS2 Consolidarea capacitaþii a 11 ONG-uri din dom egalitaþii de gen si de sanse pentru formularea si propunerea unei politici
publice alternative pentru egalitate de gen, prin cresterea accesului la cunostere privind inegalitaþile de gen si desfasurarea unei
campanii de dialog civic si advocacy pentru politici privind egalitatea de gen la nivel naþional, pe parcursul a 16 luni.
Proiectul prevede realiz unei cercetari cantitative la nivel national (Barometrul de gen) privind percepþia românilor / româncelor cu
privire la egalitatea de gen. Concluziile cercetarii vor fi coroborate cu un studiu comparat România – þari ale UE asupra politicilor
publice aprobate sensibile la egalitatea de gen. Pe aceste informaþii se va baza elaborarea propunerii alternative la politicile
publice sensibile la egalitatea de gen iniþiate de Guvern. La elaborarea / formularea, promovarea ei vor participa 11 ONG-uri care
activeaza în domeniul egalitaþii de sanse si gen (cei 2 parteneri din proiect + alte 9 ONG-uri similar) ce vor delega 20 pers din
aparatul propriu pentru proiect (ref. cele 9 ONG-uri). La promovarea PPP vor participa si 30 pers delegate de autoritaþi publice
centrale relevante pentru egalitatea de gen. Campania de advocacy se va finaliza cu acceptarea PPP de catre o autoritate
relevanta. În etapele de elaborare, promovare, acceptare, se vor integra, respecta si promova principiile orizontale POCA si se
promova sursa de finanþare si oportunitaþile sale.
OS2 va fi atins prin SA3.1, SA3.2, SA4.1, SA4.2, SA4.3, SA5.1, SA7.1 si obþinerea rezultatelor de proiect R2, R3 si R4.
OS2 part la IR 5S6-11, ISR2.2-50, ISR2.3-1.</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</si>
  <si>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</si>
  <si>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</si>
  <si>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</si>
  <si>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</si>
  <si>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</si>
  <si>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</si>
  <si>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</si>
  <si>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</si>
  <si>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</si>
  <si>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</si>
  <si>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</si>
  <si>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</si>
  <si>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</si>
  <si>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</si>
  <si>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</si>
  <si>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</si>
  <si>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</si>
  <si>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</si>
  <si>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</si>
  <si>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</si>
  <si>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</si>
  <si>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</si>
  <si>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t>„VALUEMED - Elaborarea de politici publice în domeniul sănătății prin utilizarea studiilor de evaluare a tehnologiilor medicale”</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</si>
  <si>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</si>
  <si>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</si>
  <si>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</si>
  <si>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</si>
  <si>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</si>
  <si>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</si>
  <si>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</si>
  <si>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MaraQuality</t>
  </si>
  <si>
    <t>Județul Maramureș</t>
  </si>
  <si>
    <t>Maramureș</t>
  </si>
  <si>
    <t>Baia Mare</t>
  </si>
  <si>
    <t>„ALTERNATIVe”,</t>
  </si>
  <si>
    <t>ASOCIAȚIA PENTRU DEZVOLTARE DURABILĂ SLATINA</t>
  </si>
  <si>
    <t>Obiectivul general al proiectului este: Cresterea eficienþei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capacitaþii ONG-urilor si partenerilor sociali de a identifica în mod adecvat si pertinent nevoile de dezvoltare
regionala, obstacolele existente si soluþiile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capacitaþii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co-interesaþi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</si>
  <si>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Obiectivul general al proiectului/Scopul proiectului
Obiective proiect
Proiectul propus contribuie la dezvoltarea si introducerea de sisteme si standarde comune în administraþia publica ce optimizeaza
procesele decizionale orientate catre cetaþeni si mediul de afaceri în concordanþa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agenþii economici din domeniul schimbarilor
climatice</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</si>
  <si>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</si>
  <si>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</si>
  <si>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</si>
  <si>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</si>
  <si>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</si>
  <si>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Maramures</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</si>
  <si>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</si>
  <si>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</si>
  <si>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</si>
  <si>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</si>
  <si>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</si>
  <si>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</si>
  <si>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</si>
  <si>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þinta, în vederea dezvoltarii si introducerii de sisteme si
standarde comune pentru asigurarea unei educatii de calitate în învatamântul preuniversitar particular din România, în concordanta cu
SCAP</t>
  </si>
  <si>
    <t>Certificarea activităților Consiliului Județean Argeș și dezvoltarea abilităților personalului, în concordanță cu prevederile SCAP</t>
  </si>
  <si>
    <t>Județul Argeș</t>
  </si>
  <si>
    <t xml:space="preserve">1. Etapizarea introducerii unui Plan de acțiuni în cadrul Consiliul Judeþean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</si>
  <si>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</si>
  <si>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</si>
  <si>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</si>
  <si>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</si>
  <si>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Reteaua Nationala a Organisméøór Rome RNOR</t>
  </si>
  <si>
    <t>Asociatia Centrul de Resurse APOLLO</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</si>
  <si>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autoritaþi a 32 de reprezentanþi ai ONG-urilor rome de la nivel naþional în termen de 16 luni
2. OS2. Dezvoltarea si promovarea de politica publica alternativa în domeniul Strategia de îmbunataþire a situaþiei romilor de
reprezentanti ai 16 ONG-uri rome in termen de 16 luni</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</si>
  <si>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</si>
  <si>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</si>
  <si>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</si>
  <si>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</si>
  <si>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</si>
  <si>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iniþiate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</si>
  <si>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</si>
  <si>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</si>
  <si>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</si>
  <si>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</si>
  <si>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 xml:space="preserve">Obiectivul general al proiectului este: sprijinirea masurilor de prevenire a corupþiei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corupþiei si a indicatorilor de evaluare în
autoritaþile si instituþiile publice
3. OS3: Îmbunataþirea cunostinþelor si a competenþelor personalului din Primaria Municipiului Caracal în ceea ce
priveste prevenirea corupþiei.
</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</si>
  <si>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</si>
  <si>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</si>
  <si>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</si>
  <si>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</si>
  <si>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</si>
  <si>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</si>
  <si>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Cresterea transparenþei, eticii si integritaþii la nivelul Sectorului 4 al Municipiului Bucuresti, prin implementarea unor mecanisme care sa faciliteze punerea in aplicare a cadrului legal in domeniul eticii si integritatii, imbunataþirea cunostinþelor si a competenþelor personalului propriu, precum si implementarea unor mecanisme de cooperare cu societatea civila. OS. 1. Sustinerea dezvoltarii si implementarii unor unor mecanisme care sa faciliteze punerea în aplicare a cadrului legal în domeniul eticii si integritaþii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</si>
  <si>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Implementarea, certificarea sistemului de management al calității conform standardului ISO 9001 la Consiliul Județean Arad</t>
  </si>
  <si>
    <t>Județul Arad</t>
  </si>
  <si>
    <t xml:space="preserve">n.a </t>
  </si>
  <si>
    <t>Optimizarea activitaþii la nivelul Consiliului Judeþean Arad prin introducerea sistemului de management al calitaþii ISO 9001. OS1 Implementarea sistemului de management al calitaþii si obþinerea certificarii ISO 9001 ; OS2 Îmbunataþirea cunostinþelor si abilitaþilor angajaþilor Consiliului Judeþean Arad, prin instruirea si diseminarea rezultatelor în urma implementarii standardelor ISO 9001, care sa asigure o mai buna administrare a patrimoniului judeþului si organizarea mai eficienta</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</si>
  <si>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</si>
  <si>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</si>
  <si>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</si>
  <si>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„Creșterea capacității ONG-urilor de a formula și promova propuneri alternative la politicile publice inițiate de Guvern în domeniul egalității de șanse între femei și bărbați”</t>
  </si>
  <si>
    <t xml:space="preserve">Asociația Regională Pentru Dezvoltare Socială </t>
  </si>
  <si>
    <t>ASOCIAȚIA REGIONALĂ PENTRU PROMOVAREA CAPITALULUI UMAN</t>
  </si>
  <si>
    <t>Obiectivul general al proiectului este imbunataþirea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administraþia publica ce optimizeaza procesele decizionale orientate catre cetaþeni si mediul de afaceri în
concordanþa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direcþii propuse de proiect se desprind din documentul Strategia Europa 2020, ce reprezinta esenþa politicii de
dezvoltare europena, agreata la nivel UE, si pe care România si-a asumat-o.</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</si>
  <si>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</si>
  <si>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</si>
  <si>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</si>
  <si>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</si>
  <si>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</si>
  <si>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</si>
  <si>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</si>
  <si>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Obiectiv general: Dezvoltarea unui Sistem de Management al Calitaþii si Performanþei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calitaþii si performanþei cu sistemul de control intern managerial, precum si recertificarea SR EN ISO 9001, în scopul optimizarii proceselor orientate catre beneficiari în concordanþa cu SCAP si al consolidarii capacitaþii instituþionale a UAT Municipiul Botosani
Obiectiv Specific 2.Implementarea unui sistem informatic inovativ de management al proceselor si documentelor la nivelul UAT Municipiul Botosani, în vederea dezvoltarii si consolidarii Sistemului de Management al Calitaþii si Performanþei, necesar cresterii calitaþii si a accesibilitaþii serviciilor publice.Obiectiv Specific 3.Îmbunataþirea cunostinþelor si abilitaþilor a 150 de persoane, personalul din cadrul UAT Municipiul Botosani privind implementarea, respectarea si actualizarea continua a standardelor de management al calitaþii, prin sesiunile de formare profesionala clasica si e-learning, acþiuni de networking si schimb de bune practici, în vederea sprijinirii masurilor si acþiunilor de OS2.1 si implicit de proiect pentru optimizarea proceselor orientate catre beneficiari</t>
  </si>
  <si>
    <t>Botoșani</t>
  </si>
  <si>
    <t>Monumente istorice - planificare strategica si politici publice optimizate</t>
  </si>
  <si>
    <t>INSTITUTUL NATIONAL AL PATRIMONIULUI/Direcþia Patrimoniu Imobil</t>
  </si>
  <si>
    <t xml:space="preserve">
Obiectivul general al proiectului:
Optimizarea si eficientizarea actului administrativ, legislativ si decizional în administraþia centrala si serviciile sale deconcentrate în domeniul patrimoniului cultural naþional
Obiectivele specifice ale proiectului:
1. Sistematizarea si simplificarea fondului legislativ activ din domeniul patrimoniului cultural naþional
2. Crearea cadrului strategic si operaþional pentru realizarea de politici bazate pe dovezi în domeniul patrimoniului imobil</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</si>
  <si>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</si>
  <si>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</si>
  <si>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</si>
  <si>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</si>
  <si>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Obiectivul general al proiectului se refera la adoptarea unei abordari moderne si inovatoare, axata pe facilitarea dezvoltarii socio-economice a þarii, prin intermediul unor servicii publice, investiþii si reglementari de calitate.
Obiectivele specifice ale proiectului
1. OS.1. Simplificarea si sistematizarea fondului activ al legislaþiei din domeniul resurselor minerale si societaþilor cu capital de stat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2. OS.2. Elaborarea politicilor publice bazate pe dovezi prin:
- Implicarea stakeholderilor înca din etapele iniþiale ale procesului de formulare a politicilor publice si a reglementarilor;
- Promovarea strategiilor si politicilor adoptate prin intermediul unor campanii de comunicare;
- Crearea unui grup de experþi la nivelul Ministerului Economiei.</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</si>
  <si>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</si>
  <si>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</si>
  <si>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</si>
  <si>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</si>
  <si>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</si>
  <si>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</si>
  <si>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</si>
  <si>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</si>
  <si>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</si>
  <si>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</si>
  <si>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</si>
  <si>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</si>
  <si>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</si>
  <si>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</si>
  <si>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</si>
  <si>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Îmbunătățirea capacității administrației publice locale de a furniza servicii în baza principiilor de etică, transparență și integritate</t>
  </si>
  <si>
    <t>Județul Călărași</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</si>
  <si>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imbunataþirea cunostinþelor si a competenþelor personalului propriu.
Os.1) Cresterea gradului de dezvoltare a capacitatii analitice a UAT-ului, de a efectua activitaþi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</si>
  <si>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Sa spunem NU coruptiei</t>
  </si>
  <si>
    <t>Județul Sibiu</t>
  </si>
  <si>
    <t>Asociația Română Pentru Transparență</t>
  </si>
  <si>
    <t>OBIECTIV GENERAL: Îmbunataþirea capacitaþii administrative a Consiliului Judeþean Sibiu de a creste integritatea si preveni corupþia, prin dezvoltarea si implementarea unui standard de integritate, prin dezvoltarea si implementarea unui mecanism de cooperare cu societatea civila si prin cresterea nivelului de educaþie anticorupþie a personalului din cadrul instituþiei.
Obiectivele specifice ale proiectului
1. OBIECTIV SPECIFIC 1: Dezvoltarea unui standard de integritate, ca mecanism aplicabil la nivelul CJ Sibiu, în corespondenþa cu SNA 2016-2020 si raportat la SCAP, prin Elaborarea a minimum 5 politici si proceduri operaþionale/de sistem, cu indicatorii aferenþi si prin dezvoltarea unui sistem de avertizare a iregularitaþilor si a posibilelor fapte de corupþie la nivelul instituþiei publice.
2. OBIECTIV SPECIFIC 2: Implementarea unui standard de integritate, mecanism aplicabil în cadrul CJ Sibiu în vederea cresterii integritaþii si reducerii vulnerabilitaþii la corupþie, implementat prin Hotarâre de CJ, cu ajutorul unui manual de implementare elaborat în cadrul proiectului.
3. OBIECTIV SPECIFIC 3: Dezvoltarea si implementarea unui mecanism de cooperare cu societatea civila pentru monitorizarea si evaluarea implementarii masurilor anticorupþie la nivelul CJ Sibiu, în scopul monitorizarii si evaluarii implementarii masurilor anticorupþie aplicabile la nivel de instituþiei, în corelare cu Strategia Naþionala Anticorupþie 2016-2020.
4. OBIECTIV SPECIFIC 4: Cresterea nivelului de educaþie anticorupþie în rândul personalului de conducere si execuþie din cadrul instituþiei CJ Sibiu, prin organizarea de cursuri de formare/ perfecþionare în domeniul prevenirii corupþiei, eticii si integritaþii.</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</si>
  <si>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</si>
  <si>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</si>
  <si>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</si>
  <si>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</si>
  <si>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</si>
  <si>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</si>
  <si>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</si>
  <si>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t>Iasi</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</si>
  <si>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</si>
  <si>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</si>
  <si>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</si>
  <si>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</si>
  <si>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Zalau</t>
  </si>
  <si>
    <t>Salaj</t>
  </si>
  <si>
    <t>Implementarea Sistemului de Management al Calitatii si Performantei conform SR EN ISO 9001:2015 în cadrul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</si>
  <si>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Calitaþii si Performanþei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</si>
  <si>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Spre o administrație publică performantă</t>
  </si>
  <si>
    <t>Obiectiv general:Dezvoltarea si implementarea unui Sistem de Management al Calitaþii si Performanþei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capacitaþii instituþionale.                 OBIECTIV SPECIFIC 1: Standardizarea proceselor de lucru la nivelul Consiliului Judeþean Sibiu, asigurarea eficientizarii acestora
si corelarii între sistemul de management al performanþei si calitaþii cu sistemul de control intern managerial existent la nivelul
institutiei, în scopul optimizarii proceselor orientate catre beneficiari în concordanþa cu SCAP si consolidarii capacitaþii
instituþionale a CJ Sibiu.
2. OBIECTIV SPECIFIC 2: Actualizarea si extinderea sistemului informatic de management al proceselor si documentelor la nivelul
Consiliului Judeþean Sibiu, prin includerea de facilitaþi inovative, în vederea dezvoltarii si consolidarii unui Sistemul de
Management al Calitaþii si Performanþei unitar si eficient care va contribui la optimizarea proceselor orientate catre beneficiari în
concordanþa cu SCAP.
3. OBIECTIV SPECIFIC 3: Îmbunataþirea cunostinþelor si abilitaþilor a 80 de persoane, reprezentând personalul din cadrul Consiliului
Judeþean Sibiu privind implementarea, respectarea si actualizarea continua a standardelor de management al calitaþii, prin
sesiunile de formare profesionala clasica si e-learning, acþiuni de networking si schimb de bune practici, în vederea sprijinirii
masurilor si acþiunilor prevazute de OS2.1 si implicit de proiect pentru optimizarea proceselor orientate catre beneficiari.</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</si>
  <si>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</si>
  <si>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</si>
  <si>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</si>
  <si>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</si>
  <si>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</si>
  <si>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 xml:space="preserve">Obiectivul general al proiectului il reprezinta introducerea sistemelor si standardelor comune la nivelul Consiliului Judeþean Bihor pentru optimizarea proceselor orientate catre beneficiari în concordanþa cu SCAP si dezvoltarea abilitatilor in domeniul managementului calitatii a angajatilor din administratia publica si alesilor locali din judetul Bihor
Obiectivele specifice ale proiectului 
1. Obiectivul Specific 1 Implementarea sistemului de management al calitaþii si obþinerea certificarii ISO 9001:2015
2. Obiectivul Specific 2 Îmbunataþirea cunostinþelor si abilitaþilor a 50 de persoane angajate in administratia publica a judetului Bihor si/sau alesi locali, prin organizarea de cursuri în domenii care sa asigure o mai buna administrare a patrimoniului judeþului si
organizarea mai eficienta, orientata spre calitate </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</si>
  <si>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</si>
  <si>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</si>
  <si>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</si>
  <si>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legislaþiei din domeniul apelor si realizarea unor proceduri simplificate pentru reducerea poverii
administrative pentru mediul de afaceri în domeniul silviculturii.
Obiectivele specifice ale proiectului
1. Implementarea unor sisteme unitare de management al calitaþii si performanþei la nivelul MAP.
Autoritaþi si instituþii publice centrale care au implementat sistemele unitare de management al calitaþii si performanþei: 1 –
Ministerul Apelor si Padurilor (inclusiv structurile aflate în subordinea, sub autoritatea si în coordonarea ministerului)
Se vor elabora, revizui si implementa proceduri unitare pentru managementul calitaþii în conformitate cu SR EN ISO 9001:2015 la
nivelul departamentelor din cadrul MAP si din cadrul structurilor aflate în subordinea, sub autoritatea si în coordonarea sa.
Se va implementa CAF, ca instrument al managementului calitaþii complementar cu SR EN ISO 9001:2015.
De asemenea, sunt vizate activitaþi de promovare a sistemelor/instrumentelor de management al calitaþii, cu accent pe valoarea
adaugata pe care acestea o pot genera, în vederea acordarii de sprijin pentru MAP (si autoritaþilor aflate în subordinea, sub
autoritatea si în coordonarea ministerului).
2. Aplicarea sistemului de politici bazate pe dovezi în MAP prin realizarea unor politici publice în domeniul managementului apei si
domeniul silviculturii.
Autoritaþi si instituþii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Autoritaþi si instituþii publice centrale care au implementat masuri unitare de reducere a poverii administrative pentru mediul de
afaceri si pentru cetaþeni: 1 – Ministerul Apelor si Padurilor.
5. Competenþe crescute pentru personalul din MAP si din structurile aflate în subordinea, sub autoritatea sau în coordonarea sa, în
domeniul managementului calitaþii, pentru susþinerea masurilor/acþiunilor de sistematizare si simplificare a legislaþiei în domeniul
managementului apei si pentru susþinerea masurilor/acþiunilor de simplificare a procedurilor pentru mediul de afaceri în domeniul
silviculturii.
Personalul din autoritaþile si instituþiile publice centrale care a fost certificat la încetarea calitaþii de participant la formare legata de
OS1.1.: 280 persoane.</t>
  </si>
  <si>
    <t>1. Academia de Studii Economice
2. INSTITUTUL NAȚIONAL DE CERCETARE-DEZVOLTARE ÎN SILVICULTURA "MARIN
DRACEA"</t>
  </si>
  <si>
    <t>CP6 more /2017</t>
  </si>
  <si>
    <t xml:space="preserve">1. Ministerul Afacerilor Interne
</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</si>
  <si>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</si>
  <si>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</si>
  <si>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</si>
  <si>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„Romanian Urban Index – Sistem independent de monitorizare al serviciilor publice”</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</si>
  <si>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</si>
  <si>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</si>
  <si>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</si>
  <si>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</si>
  <si>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Cresterea capacitaþii UAT - Judeþul Ilfov de a asigura pe termen lung servicii de calitate sporita comunitaþii din Judeþul Ilfov prin implementarea unui sistem de management al calitaþii de tip ISO la nivelul aparatului propriu.
Astfel proiectul va contribui direct la atingerea Obiectivului specific POCA 2.1 – Introducerea de sisteme si standarde comune în administraþia publica locala ce optimizeaza procesele orientate catre beneficiari în concordanþa cu SCAP.
Obiectivele specifice ale proiectului
1. OS1. Implementarea unui sistem de management al calitaþii în cadrul aparatului propriu al UAT - Judeþul Ilfov în vederea îmbunataþirii calitaþii serviciilor oferite comunitaþii judeþului Ilfov. Acest obiectiv va fi atins în principal prin realizarea documentaþie SMC pentru implementarea cerinþelor SR EN ISO 9001:2015 la nivelul aparatului propriu al UAT - Judeþul Ilfov si certificarea UAT -Judeþul Ilfov în urma unei proceduri de audit extern de certificare conform SR EN ISO 9001:2015.
2. OS2. Dezvoltarea si implementarea unui sistem de management al investiþiilor publice, în concordanþa cu procedurile si standardele specifice SR EN ISO 9001:2015. Acest obiectiv va fi atins prin dezvoltarea unui sistem IT care va concentra procedurile, standardele si activitaþile specifice aparatului administrativ al UAT - Judeþul Ilfov, în care sunt implicaþi cel puþin 150 salariaþi si membri ai structurilor deliberative.
3. OS3. Îmbunataþirea competenþelor alesilor locali, ale personalului de conducere si execuþie din UAT - Judeþul Ilfov pentru cresterea performanþei autoritaþilor locale. Acest obiectiv va fi atins prin activitaþi de formare – se vor organiza 2 tipuri de cursuri pentru cel puþin 120 persoane.</t>
  </si>
  <si>
    <t>Ilfov</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</si>
  <si>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</si>
  <si>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</si>
  <si>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</si>
  <si>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</si>
  <si>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</si>
  <si>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</si>
  <si>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relevanþi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</si>
  <si>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Politici publice alternative de mediu în România</t>
  </si>
  <si>
    <t>Asociația Simț Civic</t>
  </si>
  <si>
    <t>ASOCIATIA ROMANA PENTRU MANAGEMENTUL DESEURILOR - A.R.M.D.</t>
  </si>
  <si>
    <t>Obiectivul general al proiectului este corelat cu ,,OS 1.1 POCA : Dezvoltarea si introducerea de sisteme si standarde comune în
administraþia publica ce optimizeaza procesele decizionale orientate catre cetaþeni si mediul de afaceri în concordanþa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</si>
  <si>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</si>
  <si>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</si>
  <si>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„LINC - creșterea capacității administrației publice centrale în prevenirea și identificarea cazurilor de conflicte de interese, incompatibilității și averi nejustificate”</t>
  </si>
  <si>
    <t>Agenția Națională de Integritate</t>
  </si>
  <si>
    <t>ASOCIATIA ROMANA PENTRU TRANSPARENTA</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</si>
  <si>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</si>
  <si>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</si>
  <si>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</si>
  <si>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</si>
  <si>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Promovarea si aplicarea masurilor pentru
prevenirea corupþiei si consolidarea
principiilor de etica si integritate în
activitatea administraþiei publice locale la
nivelul municipiului Timisoara</t>
  </si>
  <si>
    <t>Activitaþile desfasurate, rezultatele si obiectivele proiectului conduc la îndeplinirea obiectivului general al acestuia, respectiv cresterea
nivelului de transparenþa, etica si integritate în cadrul administraþiei publice locale a Municipiului Timisoara, în conformitate cu obiectivul
specific 2.2 al POCA si obiectivul tematic 11, prioritatea de investiþii 11i a Fondului Social European. 
Obiectivele specifice ale proiectului
1. Cresterea nivelului de cunoastere si asumare a legislaþiei naþionale si prevederilor europene în ceea ce priveste prevenirea si combaterea corupþiei si fenomenelor asociate.
2. Cresterea gradului de implicare a personalului administraþiei publice locale si a cetaþenilor în ceea ce priveste masurile adoptate la nivel naþional pentru combaterea corupþiei.
3. Aplicarea coerenta si sistematica a masurilor adoptate la nivel local, naþional si european în domeniul eticii si integritaþii în sistemele publice.</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</si>
  <si>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</si>
  <si>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</si>
  <si>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</si>
  <si>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Obiectivul general al proiectului este de a sprijini ONG-urile participante pentru a formula si promova propuneri alternative la politicile
publice iniþiate de Guvern, în concordanþa cu masurile stabilite în Strategia pentru Consolidarea Administraþiei Publice 2014-2020 (SCAP),
prin obiectivul general II: Implementarea unui management performant în administraþia publica, obiectivul specific II.1: Cresterea
coerenþei, eficienþei, predictibilitaþii si transparenþei procesului decizional în administraþia publica, obiectivul specific subsecvent II.1.6.
Dezvoltarea capacitaþii societaþii civile, mediului academic si altor parteneri sociali relevanþi (sindicate, patronate etc.) de a susþine si
promova reforma administraþiei publice.</t>
  </si>
  <si>
    <t>Mures</t>
  </si>
  <si>
    <t>Targu Mures</t>
  </si>
  <si>
    <t>Elaborarea unei politici publice alternative în domeniul promovarii exporturilor romanesti</t>
  </si>
  <si>
    <t>ASOCIATIA PENTRU PROMOVAREA ALIMENTULUI ROMANESC-A.P.A.R.</t>
  </si>
  <si>
    <t>nu este cazul</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</si>
  <si>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</si>
  <si>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</si>
  <si>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</si>
  <si>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</si>
  <si>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</si>
  <si>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</si>
  <si>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</si>
  <si>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</si>
  <si>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</si>
  <si>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</si>
  <si>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</si>
  <si>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„PRO-CERTIF – dezvoltarea și utilizarea sustenabilă a managementului calității în administraţia publică băcăuană”</t>
  </si>
  <si>
    <t>Județul Bacău</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</si>
  <si>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abilitaþilor personalului UAT Judetul Bacau pe tema aplicarii sistemelor unitare de management al calitatii si
performantei prin organizarea a 2 programe de formare (auditor de calitate, expert CAF) la care vor participa 75 persoane.
</t>
  </si>
  <si>
    <t>Fundația de Sprijin Comunitar</t>
  </si>
  <si>
    <t>„Servicii sociale pentru fiecare vârstnic – pachet de achiziții de servicii în fiecare comunitate”</t>
  </si>
  <si>
    <t>ASOCIATIA FOUR CHANGE; UNIVERSITATEA "DANUBIUS" DIN GALATI</t>
  </si>
  <si>
    <t>Obiectivul general al proiectului este cresterea capacitaþii organizaþiilor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</si>
  <si>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Sprijinirea masurilor referitoare la prevenirea coruptiei la nivelul Municipiului Sebes</t>
  </si>
  <si>
    <t>Obiectiv general:
Cresterea capacitaþii administrative de a preveni si reduce coruptia în ansamblul institutiilor publice locale din UAT Sebes prin aplicarea
unitara a mecanismelor, procedurilor si normelor de etica si integritate si îmbuntaþirea cunostinþelor si competenþelor în ceea ce priveste
prevenirea coruptiei.                                                                                                                                                                                                                                                                                             OS1: Dezvoltarea de proceduri operaþionale privind masurile preventive anticorupþie si indicatorii de evaluare aferenþi;                                                     OS2: Cresterea gradului de implementare a masurilor referitoare la prevenirea corupþiei si a indicatorilor de evaluare în autoritaþile
si instituþiile publice;
 OS3: Aplicarea unitara a normelor, mecanismelor si procedurilor în materie de etica si integritate în autoritaþile si instituþiile
publice;
OS4: Cresterea nivelului de educaþie anticorupþie pentru personalul din autoritaþile si instituþiile publice;</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</si>
  <si>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</si>
  <si>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</si>
  <si>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</si>
  <si>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</si>
  <si>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</si>
  <si>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Naþionala de Sanatate 2014 – 2020”.</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</si>
  <si>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</si>
  <si>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</si>
  <si>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</si>
  <si>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</si>
  <si>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</si>
  <si>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</si>
  <si>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</si>
  <si>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</si>
  <si>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dispoziþiilor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</si>
  <si>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</si>
  <si>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</si>
  <si>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</si>
  <si>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</si>
  <si>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</si>
  <si>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</si>
  <si>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</si>
  <si>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</si>
  <si>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</si>
  <si>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</si>
  <si>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</si>
  <si>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</si>
  <si>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</si>
  <si>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</si>
  <si>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</si>
  <si>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</si>
  <si>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</si>
  <si>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</si>
  <si>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</si>
  <si>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</si>
  <si>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OBIECTIV GENERAL: Introducerea si extinderea de sisteme si standarde comune în administraþia publica locala ce optimizeaza procesele orientate catre beneficiari în concordanþa cu SCAP.
OS 1. Introducerea utilizarii de instrumente de management ale calitaþii si performanþei (ISO9001:2015) în cadrul Serviciului public Poliþia Locala Satu Mare, Centrul Cultural ”G.M.Zamfirescu”, Teatrul de Nord Satu Mare si Filarmonica "Dinu Lipatti" Satu Mare.
OS 2. Sprijin privind tranziþia de la instrumentul de management ale calitaþii si performanþei ISO9001:2008 la ISO9001:2015 în cadrul Primariei Municipiului Satu Mare si Direcþia de Evidenþa a Persoanelor a municipiului Satu Mare.
OS 3. Dezvoltarea abilitaþilor unui numar de 50 de angajaþi privind sistemul de management al calitații, din cadrul instituþiilor publice locale implicate în derularea proiectului.</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</si>
  <si>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</si>
  <si>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</si>
  <si>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</si>
  <si>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</si>
  <si>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</si>
  <si>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</si>
  <si>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</si>
  <si>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</si>
  <si>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</si>
  <si>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Obiectivul general al proiectului consta în dezvoltarea capacitaþii organizaþiilor neguvernamentale de a formula si promova propuneri alternative la politicile publice iniþiate de Guvern si promovarea unor mecanisme care sa consolideze consultarea, trasparenþa si standardizarea în administraþia publica centrala.</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</si>
  <si>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</si>
  <si>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</si>
  <si>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</si>
  <si>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</si>
  <si>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</si>
  <si>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Obiectivul general al proiectului/Scopul proiectului
Prevenirea si reducerea faptelor de corupþie la nivelul celor 140 de angajati ai Primariei Municipiului Botosani.
Obiectivele specifice ale proiectului
1. Elaborarea diagnozei instituþionale din punct de vedere al fenomenului de risc care favorizeaza vulnerabilitaþi la fapte de corupþie
2. Cresterea gradului de informare cu privire la fenomenul corupþiei si soluþiile de prevenire si eradicare
3. Cresterea capacitaþii interne pentru prevenirea si semnalarea cazurilor asociate fenomenului corupþiei
4. Educarea membrilor comunitaþii cu privire la importanþa si impactul masurilor anti-corupþie respectiv cu privire la rolul comunitaþii
în prevenirea si sancþionarea ei timpurie
5. Identificarea soluþiilor de consolidare a integritaþii instituþiei prin tratarea cauzelor si prevenirea posibilelor fapte de corupþie</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</si>
  <si>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</si>
  <si>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</si>
  <si>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puþin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anticorupþie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anticorupþie. Realizarea obiectivelor
specifice ale proiectului, va crea o administraþie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corupþia, care sunt cauzele si efectele ei, cum se sancþioneaza.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</si>
  <si>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</si>
  <si>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</si>
  <si>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</si>
  <si>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Obiectivul general:Cresterea capacitatii de dezvoltare strategica si de implicare a organizaþiilor neguvernamentale, care activeaza în domeniul domeniu securitaþii naþionale, atât în regiunea mai dezvoltata (B-Il), cât si în cele 7 regiunile mai puþin dezvoltate ale României, în a formula si promova propuneri alternative cu impact national, la politicile publice în aria cheie securitate, realizarea sarcinilor privind apararea naþionala în condiþiile unui razboi simetric, asimetric ori hibrid prin implicarea sporita a rezervistilor voluntari, protecþia infrastructurii criticestrategice teritoriale si realizarea cooperarii cu autoritaþi/instituþii publice pentru optimizarea proceselor decizionale orientate catre cetaþeni,în concordanþa cu politicile si strategiile majore privind dezvoltarea României în viitorii ani si cu SCAP.                                                                                                                                    O1 - Dezvoltarea abilitaþilor si competenþelor practice a cel puþin 100 reprezentanþi ai ONG-urilor cu focus pe educaþie si
securitate, în sprijinul interesului naþional, implicarea profesionala în dialogul social si în procesul decizional, pe diferite niveluri ierarhice, în domeniul asigurarii apararii naþionale, protecþiei infrastructurilor critice teritoriale si rezilienþei acestora, cresteriicapacitatii de analiza si prognoza în plan socio-economic. Raspunde indicatorilor de realizare 5S44 si 5S45. 
 O2 - Facilitarea generarii si promovarea de catre ONG-uri cu focus pe educaþie si securitate a unor propuneri alternative la
politicile publice, în aria cheie a realizarii apararii securitatii nationale si securitatii cibernetice, alaturi de alte forþe ale sistemului naþional de aparare, în parteneriat cu autoritaþi/instituþii publice, prin oferirea unui suport integrat.
3. OS3 - Gasirea de soluþii alternative si complementare pentru generarea resursei umane specializate pentru situaþii de dezastre naturale si antropice, pentru situatii care tin de securitatea nationala si de securitatea cibernetica.</t>
  </si>
  <si>
    <t>Asociația Institutul pentru Politici Publice                            Universitatea George Bacovia</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</si>
  <si>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</si>
  <si>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</si>
  <si>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</si>
  <si>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</si>
  <si>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</si>
  <si>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</si>
  <si>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</si>
  <si>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</si>
  <si>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</si>
  <si>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</si>
  <si>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</si>
  <si>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</si>
  <si>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</si>
  <si>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</si>
  <si>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Neamt</t>
  </si>
  <si>
    <t>Roman</t>
  </si>
  <si>
    <t>Politica publica pentru mestesugul traditional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</si>
  <si>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</si>
  <si>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</si>
  <si>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</si>
  <si>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</si>
  <si>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</si>
  <si>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</si>
  <si>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Obiectivul general al proiectului
Formulare si promovarea unui set de politici publice alternative în scopul cresterii competitivitaþii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</si>
  <si>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TIMIS</t>
  </si>
  <si>
    <t>Timisoara</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</si>
  <si>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</si>
  <si>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</si>
  <si>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</si>
  <si>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</si>
  <si>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</si>
  <si>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</si>
  <si>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cetaþenilor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cetaþenilor si dezvoltarea culturii juridice.</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</si>
  <si>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</si>
  <si>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</si>
  <si>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</si>
  <si>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</si>
  <si>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</si>
  <si>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</si>
  <si>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</si>
  <si>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Obiectiv general: Consolidarea capacitatii structurilor neguvernamentale de/pentru tineret si a autoritaþilor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autoritaþii publice centrale cu atributii în domeniul tineretului, prin formarea si exersarea competentelor acestora  pentru mai buna participare a acestor actori, la elaborarea si implementarea politicilor publice în domeniul tineretului, inclusiv a celor alternative</t>
  </si>
  <si>
    <t>Implicarea salvează vieți!</t>
  </si>
  <si>
    <t>Societatea Națională de Cruce Roșie din România</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</si>
  <si>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populaþiei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</si>
  <si>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</si>
  <si>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</si>
  <si>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</si>
  <si>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</si>
  <si>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</si>
  <si>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</si>
  <si>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</si>
  <si>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</si>
  <si>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</si>
  <si>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capacitaþii Asociatiei CEDO in vederea formularii si promovarii unei propuneri alternative la politicile publice iniþiate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administraþiei publice si de interacþiune cu autoritaþile si instituþiile administraþiei publice si dezvoltarea unui dialog social eficient, pe parcursul celor 16 luni de proiect;
OS5 - Sensibilizarea autoritatilor publice si responsabilizarea partenerilor sociali si ONG-urilor in vederea implicarii, pe toata
durata proiectului, in sustinerea si promovarea iniþiativelor de reforma a administraþiei publice si acceptarea politicii publice
alternative formulate in proiect, prin derularea unei campanii de comunicare integrata la nivel national.</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</si>
  <si>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</si>
  <si>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</si>
  <si>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transparenþei informaþiilor referitoare la proiect si la rezultatele acestuia precum si stabilirea unui sistem eficient de comunicare interna între toate parþile interesate implicate în gestionarea proiectului.
</t>
  </si>
  <si>
    <t>Municipiul Toplița</t>
  </si>
  <si>
    <t>Consolidarea integritatii în institutiiile_x000D_
publice si în mediul de afaceri</t>
  </si>
  <si>
    <t>Obiectivul general al proiectului consta în îmbunataþirea activitaþii de identificare, sancþionare si de prevenire a cazurilor de
incompatibilitaþi, conflicte de interese si averi nejustificate la nivelul autoritaþilor administraþiei publice centrale si a Parlamentului.
Obiectivul general, ce este urmarit prin implementarea de activitaþi subsumate la 4 obiective specifice, are în vedere implementarea unui numar semnificativ dintre direcþiile de acþiune aflate în sarcina ANI conform Strategiei Naþionale Anticorupþie 2016-2020 (SNA), acþiuni de punere în practica a obiectivului specific 5.2 al SNA: „Îmbunataþirea activitaþii de identificare, sancþionare si de prevenire a cazurilor de bincompatibilitaþi, conflicte de interese si averi nejustificate” si care contribuie de asemenea si la atingerea benchmark-ului nr. 2 al Mecanismului de Cooperare si verificare.</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</si>
  <si>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</si>
  <si>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</si>
  <si>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</si>
  <si>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 xml:space="preserve">Ob. General al proiectului este „Dezvoltarea capacitaþii Asociþiei Teatrul Vienez pentru Copii si a altor ONG-uri cu activitate în domeniul educaþiei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</si>
  <si>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</si>
  <si>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</si>
  <si>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</si>
  <si>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</si>
  <si>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</si>
  <si>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</si>
  <si>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Obiectivul general al proiectului consta în consolidarea capacitaþii Societaþii Naþionale de Cruce Rosie Filiala Dâmboviþa de a formula si promova o alternativa cu impact naþional, la politica publica iniþiata de Guvern în domeniul prevenirii parasirii timpurii a scolii si în concordanþa cu Strategia de Consolidare a Administraþiei publice.
Obiective specifice:
Os.1. Cresterea capacitaþii de elaborare participativa a instrumentelor de evaluare a politicilor publice prin consolidarea dialogului social si civic;
Os.2. Dezvoltarea capacitaþii de promovare a iniþiativelor alternative la politica publica a Guvernului;
Os.4. Dezvoltarea responsabilitaþii civice prin implicarea comunitaþilor locale si promovarea principiilor de egalitate de sanse, nediscriminare precum si dezvoltare durabila
Os.5. Cresterea gradului de informare, constientizare si responsabilizare a comunitaþilor prin promovarea alternativei la politica publica
Os.6. Sprijinirea societaþii civile si responsabilizarea actorilor importanþi în vederea încurajarii participarii copiilor la învaþamântul obligatoriu.</t>
  </si>
  <si>
    <t>Târgoviște</t>
  </si>
  <si>
    <t>Help again!</t>
  </si>
  <si>
    <t>SOCIETATEA NATIONALĂ DE CRUCE ROȘIE FILIALA SATU MARE</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</si>
  <si>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populaþiei printr-un numar de intervenþii strategic alese, pentru prevenirea si reducerea consecintelor unei situatii de risc; cresterea accesului la informaþia de calitate, inclusiv în mediul online
</t>
  </si>
  <si>
    <t>ANALIZA, EFICIENTIZAREA SI
ACTUALIZAREA CADRULUI LEGAL ÎN
DOMENIUL TURISMULUI</t>
  </si>
  <si>
    <t>SECRETARIATUL GENERAL AL
Parteneri GUVERNULUI</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</si>
  <si>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</si>
  <si>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</si>
  <si>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QUALIMED - Reþea pentru formularea politicilor publice privind calitatea serviciilor si siguranþa
pacientilor în sectorul sanitar</t>
  </si>
  <si>
    <t>AUTORITATEA NAŢIONALĂ DE MANAGEMENT AL CALITĂŢII ÎN SĂNĂTATE</t>
  </si>
  <si>
    <t>Obiectivul general al proiectului este cresterea capacitaþii a 20 de ONG-uri cu activitate relevanta în domeniul sanataþii la nivel naþional si a partenerilor sociali (organizaþii sindicale), atât din regiunea mai dezvoltata (Bucuresti-Ilfov), cât si din regiunile mai puþin dezvoltate pentru a formula si promova propuneri alternative la politicile publice de sanatate iniþiate de Guvern.</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</si>
  <si>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</si>
  <si>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</si>
  <si>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</si>
  <si>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</si>
  <si>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</si>
  <si>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</si>
  <si>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Scopul proiectului este acela de a crea mecanisme si instrumente funcþionale care sa conduca la cresterea calitaþii procesului decizional la nivelul administraþiei publice locale, pentru a raspunde în mod fundamentat si coerent nevoilor comunitaþilor locale, concomitent cu dezvoltarea capacitaþii societaþii societaþii civile si a partenerilor sociali de la nivel local de a se implica activ în elaborarea de politici publice viabile la nivel naþional si local.
Obiective specifice:
1.Cresterea calitaþii procesului de fundamentare a deciziei la nivelul autoritaþilor administraþiei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capacitaþii organizaþiilor neguvernamentale locale si a partenerilor sociali/grupurilor de iniþiativa de la nivelul municipiilor României/a sectoarelor municipiului Bucuresti de a se implica în promovarea si formularea de propuneri alternative la politicile publice iniþiate de autoritaþile publice de la toate nivelurile.
3. Cresterea nivelului de cunoastere si informare la nivelul administraþiei publice locale municipale privind iniþierea de politici publice ce folosesc mecanisme de optimizare a proceselor decizionale, orientate catre cetaþeni si mediul de afaceri local, în concordanța cu Strategia pentru Consolidarea Administrației Publice.</t>
  </si>
  <si>
    <t>Finalizat</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</si>
  <si>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</si>
  <si>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</si>
  <si>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</si>
  <si>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Obiectivul general al proiectului il reprezinta cresterea capacitaþii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iniþiate de Guvern în domeniul proiectarii cladirilor de locuit de tip nZeb, prin instruirea unui numar de 75 de persoane în domeniul specific proiectului dar si în domeniul comunicarii specifice ONG-urilor.
OS5: Elaborarea unei Politici publice alternative la politicile publice iniþiate de Guvern în domeniul locuirii durabile si combatere a saraciei energetice, prin promovarea gratuita, de catre primarii, de soluþii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</si>
  <si>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</si>
  <si>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</si>
  <si>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t>ASOCIATIA ARES'EL</t>
  </si>
  <si>
    <t>Acces egal la educaþie pentru minoritațile
etnice din România</t>
  </si>
  <si>
    <t>UNIVERSITATEA DE ARTE DIN TARGU MURES</t>
  </si>
  <si>
    <t>Obiectivul General:
Optimizarea procesului de reforma educaþionala în vederea asigurarii accesului egal la educaþie pentru minoritaþile etnice din România prin implicarea activa si cresterea capacitaþii a 40 de ONG-uri si parteneri sociali de a formula si propune politici publice în educaþie cu integrarea egalitaþii de sanse si nediscriminarii etnice pe toate paliere, prin instruirea a 120 de persoane din ONG-uri si parteneri sociali ce activeaza în domeniul egalitaþii de sanse si nediscriminarii, educaþie, tineret, voluntariat si facilitarea accesului acestora
la un mecanism de dialog civic pentru alerta a discriminarii etnice în educaþie, prin desfasurarea unei campanii de dialog civic si advocacy pentru formularea, promovarea si acceptarea unei propuneri alternative de politici publice privind combaterea discriminarii etnice în educaþie, la nivel national pe parcursul a 16 luni.
Obiective specifice:
OS1. Cresterea capacitaþii a 40 de ONG-uri si parteneri sociali care activeaza în domeniul egalitaþii de sanse si nediscriminare, educaþiei, tineret si voluntariat de a se implica în formularea si promovarea de propuneri alternative la politicile publice iniþiate de Guvern în educaþie prin dezvoltarea si livrarea catre 120 pers din cele 40 org vizate a doua traininguri si facilitarea accesului la mecansimul de dialog civic pentru alerta de discriminare etnica în învaþamânt, timp de 16 luni.
OS2. Formularea, promovarea si acceptarea de catre autoritaþile publice centrale relevante din domeniul educaþiei a unei propuneri alternative de politica publica privind accesul egal la educaþie pentru minoritaþile etnice din România de catre 7 ONG-uri si parteneri sociali alaturi de o instituþie de învaþamânt superior multi-etnica, timp de 16 luni.
OS3. Cresterea dimensiunii participative a ONG-urilor, partenerilor sociali si mediului academic în integrarea principiului egalitatii de sanse în educaþie prin dezvoltarea unui mecanism de alerta a discriminarii etnice în învaþamânt, timp de 16 luni.</t>
  </si>
  <si>
    <t>Ploiești</t>
  </si>
  <si>
    <t>DialLogos</t>
  </si>
  <si>
    <t>SINDICATUL NATIONAL AL LUCRATORILOR DE PENITENCIARE</t>
  </si>
  <si>
    <t>INSTITUTUL NATIONAL DE
CERCETARE STIINTIFICA IN
DOMENIUL MUNCII SI PROTECTIEI
SOCIALE - I N C S M P S</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</si>
  <si>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informaþiilor în scopul monitorizarii politicilor si practicilor de resurse umane si a identificarii independente a unor modalitati alternative de raspuns
3. Facilitarea procesului de formulare de politici alternative la nivelul reprezentanþilor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</si>
  <si>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</si>
  <si>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</si>
  <si>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</si>
  <si>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Implementarea managementului calitatii serviciilor furnizate de Municipiul Buzau</t>
  </si>
  <si>
    <t>UNITATEA ADMINISTRATIV TERITORIALA MUNICIPIUL BUZAU</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</si>
  <si>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cunostinþelor si abilitaþilor personalului din Municipiul Buzau pentru utilizarea sistemului informatic pentru asigurarea eficienta a managementului serviciilor.</t>
  </si>
  <si>
    <t>Municipiul Buzau</t>
  </si>
  <si>
    <t>METROPOLITAN – Politica publica alternativa la politicile publice iniþiate de Guvern în domeniul
transportului public local si metropolitan de calatori din România</t>
  </si>
  <si>
    <t>Asociația pentru Mobilitate Metropolitană</t>
  </si>
  <si>
    <t>Obiectivul general al proiectului este cresterea capacitaþii Federaþiei Zonelor Metropolitane si Aglomerarilor Urbane din România (FZMAUR), a ADI-urilor membre ale acesteia (13 ONG-uri) precum si a Asociaþiei pentru Mobilitate Metropolitana (AMM) de a formula si promova propuneri alternative la politicile publice iniþiate de Guvern în domeniul transportului public local si metropolitan de calatori din România.
Obiectivele specifice:
A) Analiza situaþiei existente a transportului public local si metropolitan de calatori la nivelul a 20 de poli de crestere/poli de dezvoltare urbana/municipii resedinþa de judeþ. Studiul va fi realizat de catre partenerul Asociaþia pentru Mobilitate Metropolitana, având în vedere experienþa acestuia în domeniu si va prezenta starea actuala a serviciului de transport public local si metropolitan de calatori si a problemelor existente în cadrul a 20 de localitaþi relevante, constituind un punct de pornire pentru elaborarea politicii publice alternative în domeniu.
B) Instruirea grupului þinta în domeniul management în transporturi. Scopul instruirii grupului þinta format dintr-un numar de 40 de persoane, care au atribuþii, direct sau indirect, în domeniul transportului public local si/sau metropolitan de calatori, este de a le creste competenþele în planificarea/gestionarea/monitorizarea serviciului public de transport local si metropolitan de calatori si de a-si îmbunataþi capacitatea de a formula si promova propuneri de politici publice alternative la politicile publice iniþiate de Guvernul României în domeniu.
C) Elaborarea unei Politici publice alternative la politicile publice iniþiate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</si>
  <si>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AA5 /24.11.2017
AA6/18.10.2018</t>
  </si>
  <si>
    <t>NEAMȚ</t>
  </si>
  <si>
    <t>Implementarea managementului calității - administrație durabilă (IMCAD)</t>
  </si>
  <si>
    <t>Județul Neamț</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</si>
  <si>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</si>
  <si>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</si>
  <si>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</si>
  <si>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Municipiul Calarasi</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</si>
  <si>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</si>
  <si>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</si>
  <si>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</si>
  <si>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</si>
  <si>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</si>
  <si>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</si>
  <si>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</si>
  <si>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</si>
  <si>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Sălajul spune NU corupției!</t>
  </si>
  <si>
    <t>Județul Sălaj</t>
  </si>
  <si>
    <t>AA1 /08.11.2018</t>
  </si>
  <si>
    <t>Obiectivul general: Cresterea gradului de constientizare a pericolului pe care-l reprezinta actul de corupție la nivelul administraþiei publice locale.
Obiectivele specifice ale proiectului:
1. Cresterea gradului de constientizare si a nivelului de educaþie anticorupție pentru personalul din cadrul Consiliului Județean Salaj si pentru alesi locali din județ.
2. Prevenirea si combaterea corupþiei în cadrul Consiliului Județean Salaj prin constituirea si consolidarea cadrului procedural
existent.
3. Cresterea gradului de constientizare publica prin organizare campanii de educaþie anticorupþie la nivelul instituþiilor si serviciilor publice aflate în subordinea Consiliului Județean Salaj si la nivelul unitaților administrativ-teritoriale din Județul Salaj.</t>
  </si>
  <si>
    <t>Implică-te în politici publice pentru afaceri</t>
  </si>
  <si>
    <t>ASOCIAȚIA PENTRU DEZVOLTAREA ANTREPRENORIATULUI FEMININ</t>
  </si>
  <si>
    <t>Federația Zonelor Metropolitane și Agromerărilor Urbane din România</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</si>
  <si>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</si>
  <si>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</si>
  <si>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</si>
  <si>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</si>
  <si>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</si>
  <si>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Consolidarea capacitaþii instituþionale a Primariei Municipiului Focsani prin introducerea de instrumente de planificare strategica, sisteme si standarde de management al calitaþii si performanþei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activitaþilor interne ale funcþionarilor, prin implementarea unei platforme integrate de management al activitaþilor si al înregistrarilor, inclusiv prin digitalizarea si gestiunea electronica a arhivei primariei Focsani, precum si implementarea unei platforme de tip portal pentru servicii care sa fie furnizate online catre cetațeni
5. Îmbunatațirea abilitaților si cunostinþelor personalului municipiului Focsani în domeniul managementului strategic, al
managementului calitații/performanței, pentru utilizarea sistemelor informatice dezvoltate prin proiect si pentru gestionarea
documentelor electronice</t>
  </si>
  <si>
    <t>Sisteme informatice inovative pentru simplificare administrativă și optimizare a furnizării serviciilor pentru cetățeni</t>
  </si>
  <si>
    <t>Obiectivul general al proiectului
Simplificare administrativa si optimizarea serviciilor online furnizate catre cetaþeni, inclusiv prin digitizarea arhivei la nivelul Primariei Municipiului Buzau, contribuind astfel la îndeplinirea obiectivului specific 2.1 al POCA "Introducerea de sisteme si standarde comune în administraþia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Îmbunataþirea abilitaþilor si cunostințelor personalului municipiului Buzau  pentru utilizarea sistemelor informatice dezvoltate prin proiect si pentru gestionarea documentelor electronice</t>
  </si>
  <si>
    <t>Eficienta instituțională prin investiții la nivel
local</t>
  </si>
  <si>
    <t>Obiectivul general consta în îmbunatațirea capacitaþii administrative, a calitatii si eficientei serviciilor publice furnizate la nivelul UAT Municipiul Tecuci, județul Galați, din regiunea mai puþin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instituþional, proceduri cadru de adoptare a hotarârilor de consiliu local) pentru a creste eficienþa acþiunilor adimintrative la nivelul Municipiului Tecuci. 
2. OS 2. Masuri de simplificare a procedurilor administrative si reducerea birocraþiei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</si>
  <si>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CP10 more/2018</t>
  </si>
  <si>
    <t>e-CETATEAN (Cunoastere, Egalitate, Transparenta, Administratie, Tinta, Evolutie,Actualitate, Normalitate)</t>
  </si>
  <si>
    <t>Sector 4 București</t>
  </si>
  <si>
    <t>Obiectivul general:Dezvoltarea unui management performant la nivelul Primariei Sectorului 4 Bucuresti, prin cresterea calitaþii procesului decizional,
reducerea birocratiei, cresterea eficientei, transparenþei si integritaþii serviciilor publice oferite cetaþenilor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cunostinþelor si abilitaþilor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</si>
  <si>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Municipiul Roman</t>
  </si>
  <si>
    <t>ADMINISTRAȚIE ELECTRONICĂ LA NIVELUL MUNICIPIULUI ROMAN PENTRU REDUCEREA
BIROCRAȚIEI</t>
  </si>
  <si>
    <t>Municipiul Târgu Jiu</t>
  </si>
  <si>
    <t>Obiectiv specific: Introducerea de sisteme si standarde comune în administraþia publica locala ce optimizeaza procesele orientate catre beneficiari în concordanþa cu SCAP.                                                                                                                                                                           OS1. Simplificarea procedurilor administrative si reducerea birocraþiei pentru cetaþeni în Primaria Municipiului Târgu Jiu.
OS2. Îmbunataþirea cunostințelor si abilitaþilor personalului din Primaria Municipiului Târgu Jiu în vederea optimizarii masurilor simplificate pentru cetățeni.</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</si>
  <si>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</si>
  <si>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</si>
  <si>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</si>
  <si>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</si>
  <si>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</si>
  <si>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</si>
  <si>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Obiectivul general al proiectului/Scopul proiectului
Consolidarea capacitaþii Primariei municipiului Craiova de a asigura calitatea si accesul la serviciile publice oferite exclusiv de Primarie
prin simplificarea procedurilor administraþiei locale si reducerea birocraþiei pentru cetaþeni                                                       Obiectivele specifice ale proiectului
1. Reducerea cu minim 10% a timpului aferent livrarii serviciilor catre cetaþeni
2. Implementarea fluxului electronic pentru cel puþin 10 servicii oferite online (acte livrate semnate electronic) exclusiv de primarie.
3. Punerea la dispoziþia cetaþenilor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dizabilitaþi
6. Elaborarea unui instrument extranet pentru confirmare a veridicitaþii actelor emise de instituþie</t>
  </si>
  <si>
    <t>Planificare Strategică pentru dezvoltarea durabilă a județului Vaslui</t>
  </si>
  <si>
    <t>Municipiul Vaslui</t>
  </si>
  <si>
    <t>OG Dezvoltarea capacitaþii de formulare a politicilor publice de catre Consiliul Judeþean Vaslui pentru dezvoltarea economica si sociala a judeþului, prin implementarea unui proces participativ de planificare strategica.OS 1. Cresterea capacitaþii de fundamentare a deciziilor referitoare la dezvoltarea economico-sociala a judeþului Vaslui prin
elaborarea participativa si adoptarea unei strategii de dezvoltare durabila pentru perioada 2021-2027.
2. OS2. Cresterea competenþelor a minim 50 de persoane cheie, de la nivelul aparatului de specialitate al instituþiei Consiliului Judeþean Vaslui, pentru elaborarea si implementarea politicilor publice locale pâna la finalizarea proiectului.</t>
  </si>
  <si>
    <t>Smart CT</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</si>
  <si>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calitaþii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</si>
  <si>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eFuncționar+. Servicii electronice și simplificare administrativă</t>
  </si>
  <si>
    <t>Obiective specifice: Cresterea eficienþei administrative a Primariei Municipiului Brasov prin implementarea unor sisteme informatice inovative - ca masuri de simplificare a furnizarii serviciilor catre cetaþeni si mediul de afaceri. Obiectivele specifice ale proiectului
1. Optimizarea activitaþilor interne ale funcþionarilor, prin implementarea unei platforme integrate de management al activitaþilor si al înregistrarilor
2. Modernizarea platformei de tip portal prin implementarea de noi solutii tehnice si servicii care sa fie furnizate online catre cetățeni
3. Imbunataþirea abilitaþilor si cunostinþelor personalului municipiului Brasov pentru utilizarea sistemelor informatice dezvoltate prinproiect si pentru gestionarea documentelor electronice</t>
  </si>
  <si>
    <t>Municipiul Brașov</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</si>
  <si>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</si>
  <si>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</si>
  <si>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</si>
  <si>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</si>
  <si>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t>ePS2 - Servicii online pentru cetaþeni</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</si>
  <si>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</si>
  <si>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</si>
  <si>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</si>
  <si>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</si>
  <si>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Fundamentarea deciziilor, planificare strategica si masuri de simplificare pentru cetaþeni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</si>
  <si>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Consolidarea Capacității Administrative a UAT Municipiul Motru</t>
  </si>
  <si>
    <t>Introducerea de sisteme si standarde comune în administraþia publica locala ce optimizeaza procesele orientate catre beneficiari în
concordanța cu SCAP</t>
  </si>
  <si>
    <t>Municipiul Hunedoara</t>
  </si>
  <si>
    <t>Îmbunătățirea capacității administrative a ME de a coordona procesul de conformare a legislației naționale cu legislația europeană în domeniul energetic</t>
  </si>
  <si>
    <t>Obiectivul general al proiectului este îmbunataþirea capacitaþii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acþiunilor si masurilor implementate in domeniul energetic.</t>
  </si>
  <si>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</si>
  <si>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</si>
  <si>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Îmbunătățirea capacității instituționale și de planificare strategică a administrației publice din județul Teleorman</t>
  </si>
  <si>
    <t>Județul Teleorman</t>
  </si>
  <si>
    <t>Obiectiv general: 
Obiectivul general al proiectului este îmbunataþirea capacitaþii instituþionale si de planificare strategica a administraþiei publice din județul Teleorman, în vederea cresterii calitaþii deciziilor si a dezvoltarii mecanismelor de fundamentare a iniþiativelor de politici publice la nivel județean.
Obiective specifice:
1- Elaborarea Strategiei de dezvoltare durabila a judeþului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capacitaþii de implementare eficienta a celor doua documente strategice</t>
  </si>
  <si>
    <t>AA 1/05.12.2018</t>
  </si>
  <si>
    <t>Mecanisme si proceduri administrative moderne in Primaria Giurgiu (MEPAM)</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</si>
  <si>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susþinerea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susþinerea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</si>
  <si>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</si>
  <si>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</si>
  <si>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</si>
  <si>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</si>
  <si>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Solutii informatice integrate pentru simplificarea procedurilor administrative si reducerea birocratiei</t>
  </si>
  <si>
    <t>Obiectivul general al proiectului consta în consolidarea capacitaþii instituþionale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Hunedoara, în vederea sprijinirii masurilor vizate de proiect.</t>
  </si>
  <si>
    <t>Obiectivul general al proiectului îl reprezinta consolidarea capacitații Agenþiei Naþionale de Administrare Fiscala de a susþine iniþiativele de modernizare, prin introducerea de servicii publice electronice ce optimizeaza procesele decizionale orientate catre mediul de afaceri, inclusiv prin implementarea unui fisier standard internaþional de audit pentru toþi operatorii economici.
Obiectivele specifice ale proiectului
1. Analiza activitaþilor ANAF, precum si însusirea bunelor practici în materie de administrare fiscala
2. Implementarea Fisierului Standard de Audit (SAF-T) reprezentând o structura standardizata a informaþiilor relevante pentru
controalele fiscale în vederea reducerii costului conformarii pentru societați
3. Formularea de propuneri de amendare a legislaþiei primare si secundare privind obligaþia contribuabilului de a depune Fisierul Standard de Audit
4. Îmbunataþirea cunostinþelor si abilitaþilor personalului din cadrul A.N.A.F. privind utilizarea aplicaþiei informatice si a metodologiei specifice.</t>
  </si>
  <si>
    <t>Platforma online pentru eficientizarea
serviciilor publice oferite cetaþenilor de
Unitatea Administrativ-Teritoriala Judeþul
Ilfov</t>
  </si>
  <si>
    <t>Obiectivul general al proiectului este reprezentat de eficientizarea serviciilor publice oferite cetaþenilor din judeþul Ilfov, în vederea reducerii birocraþiei, prin facilitarea accesului la o platforma online dezvoltata prin implementarea unui sistem informatic la nivelul aparatului de specialitate al Consiliului Judeþean Ilfov.OS1 - Implementarea unei soluþii informatice la nivelul aparatului de specialitate al Consiliului Judeþean Ilfov în vederea îmbunatatirii modului de acordare a serviciilor publice;OS2- Asigurarea capacitatii tehnice a Consiliului Judeþean Ilfov în vederea oferirii serviciilor publice online prin achizitionarea, instalarea si operaþionalizarea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</si>
  <si>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eCetatean@Sighisoara2021</t>
  </si>
  <si>
    <t>Consolidarea capacitaþii Primariei Municipiului Sighisoara de a asigura calitatea si accesul la serviciile publice oferite exclusiv de primarie prin simplificarea procedurilor administraþiei locale si reducerea birocraþiei pentru cetaþeni</t>
  </si>
  <si>
    <t>Municipiul Sighișoara</t>
  </si>
  <si>
    <t>AA6/02.11.2018</t>
  </si>
  <si>
    <t>Municipiul Turda</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</si>
  <si>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cunostinþe si abilitaþi ale personalului din cadrul Primariei Municipiului Turda in domeniul
planificarii strategice si politicilor publice, precum si in utilizarea si administrarea sistemelor informatice</t>
  </si>
  <si>
    <t>ADEPT – Administrație digitala eficienta pentru cetaþenii din Turda</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</si>
  <si>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</si>
  <si>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</si>
  <si>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ALBA IULIA- ADMINISTRATIE PUBLICA DIGITALA</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</si>
  <si>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</si>
  <si>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Sistem de management al calitatii pentru Ministerul Educatiei Nationale si structuri subordonate</t>
  </si>
  <si>
    <t>ASOCIATIA PENTRU IMPLEMENTAREA DEMOCRATIEI</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</si>
  <si>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</si>
  <si>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</si>
  <si>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Obiectiv general: Optimizarea si cresterea calitatii serviciilor oferite de administratia publica din domeniul educatiei prin crearea unui cadru normativ predictibil si stabil si prin dezvoltarea unei politici publice bazata pe orientarile strategice în invaþamântul preuniversitar si universitar la orizontul 2030.                                                                                                                                                         1. Realizarea analizei de sistem a actelor normative din învaþamântul preuniversitar si universitar pentru cresterea calitatii
reglementarilor si optimizarea proceselor decizionale prin fundamentarea acestora.
2. Realizarea unei politici publice la orizontul 2030 în domeniul educaþiei pentru implementarea unui cadru strategic unitar.3. 3. Sistematizarea, simplificarea si eficientizarea a 5 acte normative din domeniul educatiei, învaþamânt preuniversitar si universitar pentru dezvoltarea unui cadru normativ predictibil si stabil în administratia publica din domeniul educatiei
4. Elaborarea studiului de impact ex –ante privind implementarea cadrului strategic propus pentru evaluarea impactului asupra societaþii si a bugetului si cresterea calitaþii reglementarilor.
5. Dezvoltarea competenþelor a 77 de angajaþi ai ministerului educaþiei pentru îmbunatatirea proceselor din administratia publica.</t>
  </si>
  <si>
    <t>Fundația PAEM ALBA</t>
  </si>
  <si>
    <t>AA1/18.12.2018</t>
  </si>
  <si>
    <t>Consolidarea capacitatii institutionale a Ministerului Cercetarii si Inovarii prin optimizarea proceselor
decizionale in domeniul de cercetare-dezvoltare si inovare</t>
  </si>
  <si>
    <t xml:space="preserve">1. Universitatea Dunarea de Jos
2. ASE
3. Institutul National de Cercetare-Dezvoltare
Pentru Mecatronica si
Tehnica Masurarii - I.N.C.D.M.T.M.
</t>
  </si>
  <si>
    <t xml:space="preserve">Obiectivul general al proiectului este consolidarea capacitaþii instituþionale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corelaþie cu necesitaþile mediului economic (A1, Rezultat de proiect 1: politica publica în domeniul de CDI  elaborata si aprobata;
2. implementarea unui cadru de lucru care sa susþina sistematizarea si simplificarea legislaþiei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activitaþi de CDI, în scopul reducerii poverii administrative pentru mediul de afaceri si realizarea în cadrul MCI a unei proceduri simplificate privind recunoasterea activitatii de CDI din cadrul companiilor românesti,
4. dezvoltarea competentelor si abilitaþilor profesionale ale personalului de conducere si execuþie din MCI  în cadrul unor module de instruire în urmatoarele domeniul: politici publice de CDI bazate pe dovezi, legislatia în domeniul cercetarii si reglementarile care vizeaza activitatile de CDI din mediul de afaceri românesc
</t>
  </si>
  <si>
    <t>Cresterea capacității administrative a autorității publice locale a Municipiului Codlea, in fundamentarea deciziilor, planificarea strategică si măsurile de simplificare pentru cetățeni</t>
  </si>
  <si>
    <t>Municipiul Codlea</t>
  </si>
  <si>
    <t>Obiectivul general al proiectului consta consolidarea capacitaþii instituþionale si eficientizarea activitaþii la nivelul Municipiului Codlea, prin simplificarea procedurilor administrative si reducerea birocraþiei pentru cetaþeni, implementând masuri din perspectiva back-office (adaptarea procedurilor interne de lucru, digitalizarea arhivelor) si din perspectiva front-office, pentru serviciile publice furnizate.                                                                                                                                                                                                         Obs. 1) Implementarea unor masuri de simplificare pentru cetaþeni, în corespondenþa cu Planul integrat pentru simplificarea
procedurilor administrative aplicabile cetaþenilor, atât din perspectiva back-office (adaptarea procedurilor interne de lucru,
digitalizarea arhivelor), cât si din perspectiva front-office.
cetaþeni. Rezultatul 1 contribuie la atingerea acestuia.
2. Obs. 2) Cultivarea si dezvoltatea cunostintelor, competentelor si abilitaþilor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</si>
  <si>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</si>
  <si>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</si>
  <si>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Eficientizarea Planificarii Strategice la nivel Organizaional (EPSO)</t>
  </si>
  <si>
    <t>Obiectiv specific 1: Realizarea în mod participativ a Strategiei de dezvoltare a judetului Gorj pentru perioada 2021-2027 in scopul îmbunataþirii procesului decizional, a planificarii strategice si execuþiei bugetare la nivelul UAT Judeþul Gorj.
Obiectiv specific 2: Implementarea la nivelul UAT Judeþul Gorj a masurilor de simplificare pentru cetaþeni în corespondenþa cu Planul integrat pentru simplificarea procedurilor administrative aplicabile cetaþenilor.</t>
  </si>
  <si>
    <t>Consolidarea mecanismului de coordonare a implementarii Conventiei ONU privind drepturile persoanelor cu dizabilitati</t>
  </si>
  <si>
    <t>1. Elaborarea Strategiei naþionale privind drepturile persoanelor cu dizabilitaþi, 2021-2027, care sa asigure implementarea CDPD (numita în continuare Strategia 2021-2027), cu obiective/þinte specifice cu indicatori masurabili.
2. Dezvoltarea unui mecanism funcþional de monitorizare a implementarii Strategiei 2021-2027 prin obþinerea de dovezi privind modul în care drepturile persoanelor cu dizabilitaþi sunt respectate.</t>
  </si>
  <si>
    <t>Capacitate administrativă ridicată prin investiții integrate și complementare - CARIC</t>
  </si>
  <si>
    <t>Județul Galați</t>
  </si>
  <si>
    <t>Obiectivul general consta în îmbunataþirea capacitaþii administrative, a calitatii si eficientei serviciilor publice furnizate la nivelul Consiliul Judetean Galati si a 5 institutii subordonate, din regiunea mai puþin dezvoltata, prin investiþii integrate si complementare conform reglementarilor europene si naþionale (implementare CAF, planificare strategica instituþionala, sistem informatic pentru arhiva electronica).
Obiectivele specifice ale proiectului
1. OS 1: Implementarea unor mecanisme si proceduri standard (Strategie de dezvoltare a judeþului, Plan strategic instituþional si proceduri operaþionate de aplicare a acestuia) pentru a creste eficienþa acþiunilor adimintrative la nivelul Consiliului Judetean Galaþi. OS 1 se va îndeplini prin Activitatea 3 si va conduce la atingerea rezultatului de program POCA R1.
2. OS 2. Implementarea si utilizarea instrumentului de management al calitatii CAF (Cadrul comun de autoevaluare a modului de funcþionare a instituþiilor publice) la nivelul Consiliului Judetean Galati si a 5 institutii subordonate pentru sprijinirea schimbarii spre performanþa, îmbunataþirea modului de realizare a activitaþilor si de prestare a serviciilor publice. OS 2 se va îndeplini prin Activitatea 4 si va conduce la atingerea rezultatului de program POCA R2. Pentru realizarea acestui obiectiv se va implementa instrumentul CAF (Cadru Comun de autoevaluare a modului de functionare a institutiilor publice) pentru autoevaluarea institutiilor publice, instrument prin care angajatii identifica punctele forte si slabe ale functionarii institutiei proprii si propun solutii de imbunatatire a activitatii. Acest instrument este inovativ pentru Consiliul Judetean Galati si institutiile subordinate si îsi propune sa îmbunatateasca performanta institutionala si calitatea serviciilor publice prestate.
3. OS 3. Masuri de simplificare a procedurilor administrative si reducerea birocraþiei pentru cetaþeni prin crearea si integrarea unui sistem informatic pentru arhiva (digitalizarea documentelor din arhiva) la nivelul Consiliului Judeþean Galaþi. OS 3 se va îndeplini prin Activitatea 6 si va conduce la atingerea rezultatului de program POCA R3.
4. OS 4. Imbunatatirea competentelor profesionale a unui numar de 150 persoane din toate nivelurile ierarhice din cadrul Consiliului Judetean Galati si a institutiilor subordonate pe teme specifice, în urma unei analize de nevoi. OS 4 se va îndeplini prin Activitatea 7 si va conduce la atingerea rezultatului R5.</t>
  </si>
  <si>
    <t>AA8 /30.01.2019</t>
  </si>
  <si>
    <t>AA5/ 09.01.2019</t>
  </si>
  <si>
    <t xml:space="preserve">Dialogul Social și Civic Rural -  Perspectiva dezvoltării mediului rural (DiaSRul) </t>
  </si>
  <si>
    <t>Asociația "Afaceri, Comunități, Oameni din România"</t>
  </si>
  <si>
    <t xml:space="preserve">Obiectivul general al proiectului: 
Cresterea capacitatii partenerilor sociali de a dezvolta standarde comune pentru optimizarea procesului decizional, pentru dezvoltarea si promovarea de propuneri alternative la politicile publice existente precum si pentru monitorizarea politicilor publice ce vizeaza mediul rural in vederea orientarii procesului decizional catre cetateni, in conformitate cu prevederile SCAP.
Obiectivele specifice ale proiectului
1. Cresterea capacitatii partenerilor sociali si a ONG-urilor in vederea implicarii in optimizarea proceselor decizionale si orientarea proceselor decizionale catre cetateni prin realizarea a 2 sesiuni de instruire si realizarea unui instrument de monitorizare a
politicilor publice ce vizeaza dezvoltarea mediului rural.
2. Optimizarea procesului decizional prin dezvoltarea, fundamentarea, promovarea si sustinerea unei alternative, de tip initiativa legislativa, la politicile publice existente ce vizeaza consolidarea dialogului civic si social in mediul rural in vederea apropierii
procesului decizional aferent administratiei publice din mediul rural.
</t>
  </si>
  <si>
    <t>AA1/11.02.2019</t>
  </si>
  <si>
    <t>MUNICIPIUL BLAJ - ADMINISTRATIE PUBLICA EFICIENTA - ETAPA A II-A</t>
  </si>
  <si>
    <t>Obiectivul general al proiectului: Simplificarea procedurilor administrative, reducerea birocratiei si cresterea calitatii serviciilor oferite pentru cetateni de catre administratia publica locala a Municipiului Blaj.                                                                                 OS. 1. Operationalizarea, in 26 de luni, la nivelul Municipiului Blaj, a unor fluxuri de lucru online si care sa furnizeze digital, front si back office o buna parte din serviciile pe care o primarie moderna le asigura in relatia cu cetatenii, respectiv o platforma integrata pentru servicii electronice, o solutie de plata electronica pentru taxele colectate la bugetul local, notificari termene de plata, mecanisme urmarire grad de colectare (pentru stimularea colectarii impozitelor si taxelor locale), semnatura electronica a documentelor relevante in acord cu cadrul legal in vigoare si managementul activitatilor si fluxurilor de lucru aferente serviciilorelectronice.
 OS. 2. Digitalizarea proceselor de administrare si arhivare a documentelor din Primaria Municipiului Blaj, intr-o maniera securizata si interoperabila cu alte sisteme de creare/gestionare documente, in 26 de luni.
 OS. 3 Implementarea unui sistem integrat, complex si acoperitor de interactiune intre cetatenii municipiului Blaj si administratia locala prin intermediul unei platfome conectate la 300 de senzori (beaconi) instalati in spatiile publice principale ale orasului, a unei retele de hotspoturi WI-FI ce asigura internet securizat gratuit, a unei solutii de vizualizare si optimizare a fluxurilor de mobilitate a publicului in relatia cu orasul si mai ales cu serviciile publice oferite de catre acesta, in 26 de luni.
OS.4. Cresterea abilitatilor si capacitatii profesionale de a presta activitati publice de calitate pentru 75 de persoane din cadrul Primariei municipiului Blaj - functionari publici si contractuali din aparatului executiv al primariei, respectiv din serviciile publice subordonate consiliului local, din care 20 alesi locali-, in domeniul intelegerii si comunicarii noilor servicii digitale implemantate in administratia locala, in 26 de luni.</t>
  </si>
  <si>
    <t>Judetul Cluj - Smart Territory</t>
  </si>
  <si>
    <t>Obiectivul specific 1: Îmbunatatirea procesului decizional si al planificarii strategice la nivelul UAT Judetul Cluj prin introducerea unui sistem de planificare teritoriala integrata; Obiectivul specific 2: Facilitarea accesului la servicii online pentru cetatenii judetului Cluj prin introducerea unor sisteme de simplificare a procedurilor administrative din perspectiva back-office</t>
  </si>
  <si>
    <t xml:space="preserve">1. Scoala Nationala de Grefieri;                                         2. Inspectia Judiciara                        3. Parchetul de pe langa Inalta Curte de Casatie si Justitie/adjunct procuror general                                                                                  4. Institutul National al Magistraturii                                                         5. Ministerul Justitiei                                                                                                                  </t>
  </si>
  <si>
    <t>Act aditional nr. 1/28.01.2019</t>
  </si>
  <si>
    <t>IP12/2018
(MySMIS: 
POCA/ 399/1/1)</t>
  </si>
  <si>
    <t>Stabilirea cadrului de referință în domeniul dezvoltarii rețelei de banda larga în România</t>
  </si>
  <si>
    <t>Obiectivul general al proiectului este de a elabora o politica publica în domeniul comunicațiilor în banda larga care sa asigure o abordare strategica generala a domeniului, bazata pe o analiza teritoriala, pe diferite instrumente de intervenție si finanțare a dezvoltarii reþelelor si identificarea de masuri de sprijin în vederea încurajarii adoptarii serviciilor în banda larga, condiție esențiala pentru adoptarea e-guvernarii.
OS1. Îmbunatațirea capacitații MCSI de a interveni pe piaþa de broadband, în condiții de disfuncționalitate, prin elaborarea unui
document de analiza completa a opțiunilor de intervenție publica.
OS2. Cresterea cererii si utilizarii rețelelor de foarte mare capacitate prin elaborarea Planului de acțiuni menite sa sprijine instalarea acestora.</t>
  </si>
  <si>
    <t>ASOCIATIA "SOCIETATEA NATIONALA SPIRU HARET PENTRU EDUCATIE, STIINTA SI CULTURA"</t>
  </si>
  <si>
    <t>iNFOLex</t>
  </si>
  <si>
    <t>CP8 less /2018</t>
  </si>
  <si>
    <t>Obiectivul general al Proiectului îl reprezinta facilitarea accesului ceta'enilor din regiunile Sud Muntenia, Sud Est, Sud Vest si Centru, la un sistem judiciar transparent, integru si de calitate, prin intermediul unei campanii de informare, educa'ie juridica si constientizare a cetatenilor în privinþa drepturilor prevazute în cadrul noilor coduri, într-o perioada de 24 luni. Acesta se realizeaza prin intemediul obiectivelor specifice prezentate mai jos. Atât obiectivul general, cât si obiectivele specifice sunt în conformitate cu prevederile si respectiv Obiectivul Specific al Ghidului Solicitantului 2.3: Asigurarea unei transparenþe si integritaþi sporite la nivelul sistemului judiciar în vederea îmbunataþirii accesului si a calitaþii serviciilor furnizate la nivelul acestuia, vizând atingerea obiectivelor POCA în materie.
Obiectivele specifice ale proiectului
1. 1.Obiectivul specific 1 (OS1) al Proiectului îl constituie realizarea unei campanii de informare, educație juridica si constientizare a cetaþenilor, privind drepturile legislative ale acestora utilizând reþelele de socializare si internetul.
2. 2.Obiectivul specific 2 (OS2) al Proiectului îl constituie realizarea unei campanii de informare, educație juridica si constientizare a cetaþenilor, privind drepturile legislative ale acestora utilizând mijloacele media clasice (televiziune, radio, presa scrisa etc).
3. 3.Obiectivul specific 3 (OS3) al Proiectului îl constituie realizarea în regiunile SM, SV, SE, Centru a unei campanii de informare,
educație juridica si constientizare a cetaþenilor, privind drepturile legislative ale acestora prin prezenþa în teritoriu a unei echipe de Experþi juridici ce vor facilita cetatenilor si, in special, elevilor si studentilor accesul la legislaþie si justiție.</t>
  </si>
  <si>
    <t>Omdrap 1120/19.02.2019</t>
  </si>
  <si>
    <t>FUNDAȚIA ''TUNA''</t>
  </si>
  <si>
    <t>ProLexKampanya</t>
  </si>
  <si>
    <t xml:space="preserve">Obiectivul general al Proiectului îl reprezintă facilitarea accesului cetățenilor si în special femeilor ca si grup vulnerabil si/sau altor grupuri vulnerabile din regiunile Sud Muntenia si Sud Est la un sistem judiciar transparent, integru si de calitate, prin intermediul unei campanii de informare si conștientizare a cetățenilor în privința drepturilor prevăzute în cadrul noilor coduri, într-o perioada de 24 luni. Acesta se realizează prin intermediul obiectivelor specifice prezentate mai jos. Atât obiectivul general, cât si obiectivele specifice sunt în conformitate cu prevederile si respectiv Obiectivul Specific al Ghidului Solicitantului 2.3: Asigurarea unei transparențe si integrități sporite la nivelul sistemului judiciar în vederea îmbunătățirii accesului si a calității serviciilor furnizate la nivelul acestuia, vizând atingerea obiectivelor POCA în materie.
Obiectivele specifice ale proiectului:
1. 1. Obiectivul specific 1 (OS1) al Proiectului îl constituie realizarea în regiunile SM si SE a unei campanii teritoriale de informare si conștientizare a minimum 22.080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2. 2.Obiectivul specific 2 (OS2) al Proiectului îl constituie realizarea unei campanii online de informare si conștientizare a cetățenilor, privind drepturile legislative ale acestora.
</t>
  </si>
  <si>
    <t>2, 3</t>
  </si>
  <si>
    <t xml:space="preserve">Tulcea
Constanța
Buzau
Prahova
Giurgiu
Dâmbovița
Calarasi
</t>
  </si>
  <si>
    <t>Constanța
Prahova
Giurgiu
Arges
Dolj
Gorj
Mehedinți
Vâlcea
Brașov
Sibiu</t>
  </si>
  <si>
    <t>2, 3, 4, 7</t>
  </si>
  <si>
    <t>Simplificarea procedurilor administrative și reducerea birocrației pentru cetățeni la nivelul Primăriei Municipiului Sfântu Gheorghe</t>
  </si>
  <si>
    <t>Municipiul Sfântu Gheorghe</t>
  </si>
  <si>
    <t>Covasna</t>
  </si>
  <si>
    <t>Sfântu Gheorghe</t>
  </si>
  <si>
    <t>AA1/27.02.2019</t>
  </si>
  <si>
    <t>Actul aditional nr.1/26.02.2019</t>
  </si>
  <si>
    <t>Obiectivul general al proiectului: Optimizarea proceselor de managementul performanței la nivel strategic prin introducerea instrumentului de Balanced Scorecard în cadrul Primariei Municipiului Arad
Obiectivele specifice ale proiectului:
1. Obiectiv specific 1: Elaborarea unui studiu privind situaþia actuala a managementului performanþei la nivel strategic în cadrul
Primariei Municipiului Arad
2. Obiectiv specific 2: Introducerea unui instrument de management strategic de tip Balanced Scorecard la nivelul instituției
3. Obiectiv specific 3: Dezvoltarea cunostințelor si abilitaților pentru 129 de persoane în cadrul Primariei Municipiului Arad în
domeniul managementului performanței.</t>
  </si>
  <si>
    <t>Cresterea capacitații administrative a Ministerului Economiei în vederea monitorizarii, evaluarii și
coordonării politicilor publice din domeniul competitivitații economice</t>
  </si>
  <si>
    <t>Consolidarea capacitaþii Ministerului Economiei de implementare si evaluare a strategiilor/politicilor publice pe care le coordoneaza.
Obiectivele specifice ale proiectului
1. Punerea la dispoziția Ministerului Economiei a instrumentelor necesare în vederea elaborarii, implementarii si monitorizarii
Strategiei Naționale de Competitivitate
2. Extinderea sferei de aplicație a Atlasului Economic al României catre zona utilizatorilor din afara Ministerului Economiei
3. Dezvoltarea competenþelor angajaþilor Ministerului Economiei în domeniul politicilor publice</t>
  </si>
  <si>
    <t>„CIVIC - CONSULTARE, INOVARE, VOLUNTARIAT, INFORMATIZARE ȘI COMUNICARE ÎN MUNICIPIUL BĂILEȘTI”</t>
  </si>
  <si>
    <t>Obiectivul general al proiectului - Fundamentarea deciziilor, planificarea strategica si masuri de simplificare pentru cetateni la nivelul UAT Bailesti.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birocraþiei pentru cetaþeni la nivel local corelate cu
Planul integrat de simplificare a procedurilor administrative pentru cetaþeni implementate;
3. OS 2.4: Cresterea nivelului de Cunostinþe si abilitaþi ale personalului UAT Bailesti în vederea sprijinirii masurilor/acþiunilor vizate
de acest obiectiv specific.</t>
  </si>
  <si>
    <t>ASOCIATIA CENTRUL PENTRU DEZVOLTARE DURABILA COLUMNA</t>
  </si>
  <si>
    <t>Accesul la sistemul juridic prin perspectiva grupurilor vulnerabile - Justiţie pentru toţi</t>
  </si>
  <si>
    <t>ASOCIAŢIA PENTRU IMPLICARE SOCIALĂ, EDUCAŢIE ŞI CULTURĂ</t>
  </si>
  <si>
    <t xml:space="preserve">Obiectivul general al proiectului este facilitarea accesului la justiție al cetățenilor, în special al grupurilor vulnerabile, prin activități de informare si promovare a drepturilor si serviciilor de care pot beneficia dar si prin îmbunătățirea calității serviciilor juridice.
Obiectivele specifice ale proiectului
1. O.S. 1 – Derularea unei campanii de informare în rândul cetățenilor pentru creșterea accesului la serviciile juridice,
conștientizarea drepturilor si serviciilor de care pot beneficia, pe parcursul a 15 luni, cu o audientă de peste 250.000 persoane,
cu accent pe grupurile vulnerabile.
2. O.S. 2 – Îmbunătățirea calității serviciilor juridice oferite cetățenilor prin acțiuni de formare a cel puțin 600 de practicieni ai
dreptului, pe parcursul a 16 luni, în domeniul protecției juridice a drepturilor omului, cu accent pe grupurile vulnerabile si
organizarea a 18 workshop-uri, cu peste 432 de participanți, pentru consolidarea capacitații avocaților privind acordarea asistentei
juridice în cazurile de discriminare.
3. O.S. 3 – Organizarea a 25 de sesiuni de informare la care vor participa cel puțin 875 de persoane cu scopul de a îmbunătăți
accesul cetățenilor la justiție, cu accent pe grupurile vulnerabile.
</t>
  </si>
  <si>
    <t>3, 4</t>
  </si>
  <si>
    <t xml:space="preserve">Arges
Calarasi
Dâmbovița
Giurgiu
Ialomița
Prahova
Teleorman
Dolj
Gorj
Mehedinți
Olt
Vâlcea
</t>
  </si>
  <si>
    <t>Informare Educare Justitie</t>
  </si>
  <si>
    <t>ASOCIATIA CENTRUL DE RESURSE APOLLO</t>
  </si>
  <si>
    <t xml:space="preserve">Îmbunătățirea accesului la justiție a cetățenilor de etnie roma din regiunile de dezvoltare Sud Muntenia si Sud Est, respectiv județele Prahova si Buzău
Obiectivele specifice ale proiectului
1. Creșterea nivelului de informare, educație juridica și conștientizare privind accesul la justiție a 1000 de cetățeni de etnie roma din județele Prahova și Buzău
2. Promovarea metodelor alternative de soluționare a litigiilor in justiție in rândul a 1000 de cetățeni de etnie roma si 40 persoane care desfășoară sau sunt autorizate sa desfășoare activități juridice personal din instituții judiciare si persoane cu atribuții juridice din instituții si autorități publice din județele Prahova si Buzău.
3. Evaluarea nevoilor si obstacolelor, cu care se confrunta cetățenii de etnie roma, din județele Prahova si Buzău , privind accesul la justiție.
</t>
  </si>
  <si>
    <t>Prahova
Buzău</t>
  </si>
  <si>
    <t>Introducerea de sisteme SMART pentru reducerea birocrației din Municipiul Drobeta Turnu Severin</t>
  </si>
  <si>
    <t>Obiectivul general al proiectului/Scopul proiectului
Fundamentarea deciziilor, planificarea strategica si masuri de simplificare pentru cetateni la nivelul UAT Drobeta-Turnu Severin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birocrației pentru cetațeni la nivel local corelate cu
Planul integrat de simplificare a procedurilor administrative pentru cetațeni implementate
3. OS 2.4: Cresterea nivelului de Cunostințe si abilități ale personalului UAT Drobeta-Turnu Severin, în vederea sprijinirii
masurilor/acțiunilor vizate de acest obiectiv specific.</t>
  </si>
  <si>
    <t>ForLegallnfo</t>
  </si>
  <si>
    <t>FUNDATIA "LUMINA INSTITUTII DE INVATAMANT"</t>
  </si>
  <si>
    <t xml:space="preserve">Iași
Neamț
Vaslui
Bihor
Cluj
Calarasi
Dâmbovița
Giurgiu
Prahova
Buzau
Constanța
Tulcea
</t>
  </si>
  <si>
    <t>1, 6, 3, 2</t>
  </si>
  <si>
    <t xml:space="preserve">Obiectivul general al Proiectului îl reprezintă facilitarea accesului cetățenilor si în special femeilor ca si grup vulnerabil si/sau altor grupuri vulnerabile din regiunile Sud Muntenia, Sud Est, Nord Vest si Nord Est, la un sistem judiciar transparent, integru si de calitate, prin intermediul unei campanii de informare, educație juridica si conștientizare a cetățenilor în privință drepturilor revăzute în cadrul noilor coduri, într-o perioada totala a proiectului de 24 luni. 
Obiectivele specifice ale proiectului
1. 1. Obiectivul specific 1 (OS1) al Proiectului îl constituie realizarea unui Ghid legislativ, conținând prevederile noilor coduri, o sinteza a drepturilor cetățenilor prevăzute de către acestea în vederea facilitării accesului la un proces de justiție mai transparent si mai aproape de nevoile cetățenilor, Ghid legislativ ce va fi publicat pe site-ul proiectului si diseminat către minimum 10.000 adrese de e-mail ale cetățenilor din grupul țintă / altor cetățeni si/sau altor instituții.
2. 2. Obiectivul specific 2 (OS2) al Proiectului îl constituie realizarea în regiunile SM, SE, NV si NE a unei campanii teritoriale de informare, educație juridica si conștientizare a minimum 16.000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3. 3.Obiectivul specific 3 (OS3) al Proiectului îl constituie realizarea unei campanii online de informare, educație juridica si conștientizare a cetățenilor, privind drepturile legislative ale acestora.
</t>
  </si>
  <si>
    <t>Municipiul Rm. Sarat</t>
  </si>
  <si>
    <t>ALT- Sibiu: Administrație de Calitate, Accesibilă Locuitorilor prin Tehnologie„SALT- Sibiu: Administrație de Calitate, Accesibilă Locuitorilor prin Tehnologie</t>
  </si>
  <si>
    <t>Municipiul Sibiu</t>
  </si>
  <si>
    <t>Obiectivul general al proiectului este cresterea calitaþii actului administrativ la nivelul Municipiului Sibiu, prin abordarea sistematica a doua
elemente cheie care asigura aceasta crestere de calitate.Obiectivele specifice ale proiectului
1. OBIECTIVUL SPECIFIC 1: Dezvoltarea sistemului de management al calitaþii la Primaria Municipiului Sibiu pe baza autoevaluarii,
planificarii remediilor pentru cresterea calitaþii si standardizarii proceselor si activitaþilor, prin utilizarea de instumente standard
recomandate la nivel internaþional (ISO9001:2015), european (CAF) si naþional („Planul de acþiuni pentru implementarea etapizata
a managementului calitaþii în autoritaþi si instituþii publice 2016-2020”).
2. OBIECTIVUL SPECIFIC 2: Cresterea accesului online la serviciile publice gestionate de Primaria Municipiului Sibiu si instituþiile
din subordinea sa, în vederea reducerii birocraþiei pentru cetaþeni la (a) solicitarea si primirea în mod automatizat a unor
documente, certificate, autorizaþii si avize, (b) efectuarea de plaþi pentru servicii publice, taxe si impozite locale si (c) cresterea
accesibilitaþii registraturii prin dezvoltarea unui sistem non-stop de auto-înregistrare a documentelor depuse de cetaþeni.
3. OBIECTIVUL SPECIFIC 3: Îmbunataþirea proceselor de management al documentelor curente si arhivate prin extinderea solutiei
digitale de administrare a documentelor nou create si dezvoltarea arhivei electronice, în vederea eliminarii erorilor si scurtarii
timpului de asteptare pentru cetaþeni pentru orice eliberare a oricarui document sau raspuns
4. OBIECTIVUL SPECIFIC 4: Cresterea nivelului de competenþa a personalului Primariei Municipiului Sibiu si a instituþiilor
subordonate CL pentru cresterea calitaþii serviciilor locale prin implementarea corecta a sistemelor de management al calitaþii si
gestionarea eficienta a soluþiilor informatice care permit reducerea birocraþiei.a unor interfeþe prietenoase de interacþiune cu cetatenii si scaderea poverii administrative la nivelul acestora, cât si prin scaderea
poverii administrative si a timpului de prelucrare a documentelor la nivelul autoritaþii publice locale, ceea ce va scadea corelativ timpul de
asteptare al cetaþenilor pentru furnizarea unui serviciu public si va elimina erori generate de gestionarea unui numar mare de documente
înregistrate exclusiv pe hârtie (pentru care mecanismele de verificare se bazeaza exclusiv pe atentia umana).</t>
  </si>
  <si>
    <t>Sustenabilitate. Inovare. Bunăstare. Incluziune Socială. Unitate. SIBIU - Strategia 2030</t>
  </si>
  <si>
    <t>Obiectivul general: Optimizarea proceselor orientate catre beneficiari în concordanþa cu SCAP în cadrul administraþiei Judetului Sibiu, prin
abordarea strategica a dezvoltarii judetului pe termen lung, utilizând instrumente de prioritizare si planificare a investitiilor, bugetelor si
interventiilor în comunitate si prin dezvoltarea solutii de simplificare a relatiei dintre CJ si cetateni.
Obiectivele specifice ale proiectului
1. OBIECTIVUL SPECIFIC 1: Dezvoltarea capacitatii de planificare strategica si fundamentare a deciziilor la nivelul Consiliului
Judeþean Sibiu, prin dezvoltarea de mecansisme de participare publica, prioritizare a investiþiilor si prin desfasurarea unui
exerciþiu amplu de planificare strategica si a politicilor publice permiþând atât fundamentarea solida a tuturor investitiilor si
deciziilor în perioada 2020-2030, cât si cresterea nivelului de competenta la nivelul insituþiei printr-o învaþare experientiala.
2. OBIECTIVUL SPECIFIC 2: Cresterea accesului online la serviciile publice gestionate de Consiliul Judeþean Sibiu si instituþiile din
subordinea sa în vederea reducerii birocraþiei pentru cetateni când acceseaza servicii de sanatate.
3. OBIECTIVUL SPECIFIC 3: Simplificarea procedurilor administrative si reducerea birocratiei, cu impact asupra modului de
interactiune al Consiliului Judetean Sibiu cu cetatenii, prin dezvoltarea arhivei electronice, în vederea eliminarii erorilor si scurtarii
timpului de asteptare pentru cetateni pentru eliberarea oricarui document sau emiterea oricarui raspuns.
4. OBIECTIVUL SPECIFIC 4: Cresterea nivelului de competenþa a personalului Consiliului Judetean Sibiu si a institutiilor
subordonate în vederea si pentru gestionarea eficienta a solutiilor informatice care permit simplificare si reducerea birocratiei
pentru cetateni.</t>
  </si>
  <si>
    <t>AA1</t>
  </si>
  <si>
    <t>Administrație modernă. Creșterea calității proceselor</t>
  </si>
  <si>
    <t>Obiectivul general consta în îmbunataþirea capacitaþii administrative, a calitatii si eficientei serviciilor publice furnizate la nivelul UAT
Municipiul Sebes, judeþul Alba, din Regiunea Centru, prin investiþii integrate si complementare conform reglementarilor europene si
naþionale (elaborare criterii de planificare a investitiilor, servicii de digitizare si implementarea unui sistem informatic pentru eficientizarea
serviciilor de baza din cadru institutiei).
OS 1: Implementarea unor mecanisme si proceduri standard (elaborare criterii de planificare a investitiilor) pentru a creste
eficienþa acþiunilor adimintrative la nivelul Municipiului Sebes. OS 1 se va îndeplini prin Activitatea 7 si va conduce la atingerea
rezultatului de program POCA R1.
2. OS 2. Masuri de simplificare a procedurilor administrative si reducerea birocraþiei prin crearea si integrarea unui sistem informatic
pentru arhiva (digitalizarea arhivelor) si implementarea unui sistem informatic pentru eficientizarea serviciilor de baza de la nivelul
Municipiului Sebes. OS 2 se va îndeplini prin Activitatea 5 si Activitatea 6 si va conduce la atingerea rezultatului de program
POCA R3.
3. OS 3. Imbunatatirea competentelor profesionale a unui numar de circa 30 persoane din toate nivelurile ierarhice din cadrul UAT
Municipiul Sebes pe teme specifice, în urma unei analize de nevoi. OS 3 se va îndeplini prin Activitatea 8 si va conduce la
atingerea rezultatului R5.</t>
  </si>
  <si>
    <t>Asisteță pentru formularea propunerii de
politica publica a Municipiului Dragasani si
a principalelor instrumente aplicabile în
fiecare etapa pentru perioada 2020-2024</t>
  </si>
  <si>
    <t xml:space="preserve">Obiectivul general al proiectului este formularea unei propuneri de politica publica prin realizarea Strategiei de Dezvoltare Locala SDL
pentru perioada 2020-2024 si a Planului Strategic Instituțional PSI 2020-2023, corelata cu modernizarea sistemului informatic existent
pentru cresterea performanþei personalului angajat si deservirea online a cetaþenilor si mediului de afaceri.
Obiectivele specifice ale proiectului
OS1: Definirea politicii locale a municipiului Dragasani cu concursul tuturor factorilor cu aport în dezvoltarea locala, concretizata
prin adoptarea a 2 documente strategice: Strategia de Dezvoltare Locala (SDL) a municipiului Dragasani pentru perioada 2020-
2024 si Planul Strategic Instituțional 2020-2023, corelat cu SDL.
2. OS2: Reducerea birocraþiei pentru cetaþeni la nivel local corelate cu planul integrat de simplificare a procedurilor administrative
pentru cetaþeni - prin implementarea sistemului informatic modernizat pentru cresterea performanþei personalului angajat si
deservirea online a cetaþenilor si mediului de afaceri.
3. OS3: Dezvoltarea abilitaþilor personalului din cadrul Primariei Municipiului Dragasani si al instituþiilor subordonate Primariei
Dragasani prin asigurarea formarii profesionale a 60 persoane din grupul þinta în domeniile managementului strategic, al
instrumentelor si procedurilor pentru fundamentarea decizie si al competenþelor de comunicare.
</t>
  </si>
  <si>
    <t>Asociația Profesională Neguvernamentală de Asistența Socială ASSOC</t>
  </si>
  <si>
    <t>Acces la justiție și la metodele alternative de soluționare a litigiilor</t>
  </si>
  <si>
    <t>3, 4, 5, 6, 7</t>
  </si>
  <si>
    <t xml:space="preserve">Arges
Vâlcea
Bistrița-Nasaud
Maramureș
Satu Mare
Sălaj
Alba
Sibiu
Hunedoara
</t>
  </si>
  <si>
    <t xml:space="preserve">Obiectivul general al proiectului îl reprezinta îmbunatațirea accesului la justiție pentru cetateni, in special pentru grupuri vulnerabile,
precum si imbunatatirea calitatii serviciilor de suport, inclusiv asistenta juridica.
Proiectul vizeaza acțiuni de degrevare a instanțelor si parchetelor prin promovarea medierii/arbitrajului ca metoda alternativa de soluþionare a litigiilor (pentru dezvoltarea si diversificarea paletei de servicii de consiliere si asistenþa juridica adecvate nevoilor cetaþenilor), garantarea accesului la justiție, promovarea birourilor/serviciilor de consiliere juridica si informare a cetaþenilor, accesibile înainte de a apela la  instanța, promovarea activitaþii acestora, acþiuni precum organizarea de campanii de informare, educatie juridica si
constientizare a populaþiei, în special a grupurilor vulnerabile, cu privire la dreptul la asistenþa judiciara si modalitaþile concrete de
accesare a acestor servicii.
Obiectivele specifice ale proiectului:
1 Cresterea accesului la justiþie al cetațenilor prin derularea de campanii de informare, educaþie juridica si constientizare cu privire la promovarea si consolidarea metodelor alternative de soluþionare a litigiilor (medierea, arbitrajul etc.) si la prevederile noilor coduri, drepturile cetaþenilor, promovarea informaþiilor privind instituþiile din sistemul judiciar si serviciile oferite de acestea.
• Cresterea gradului de informare, educaþie juridica si constientizare cu privire la prevederile noilor coduri, drepturile cetațenilor, promovarea informaþiilor privind instituþiile din sistemul judiciar si serviciile oferite de acestea
 2 Cresterea accesului la justiþie prin asistenþa juridica pusa pentru 240 de persoane.
3 Cresterea gradului de consolidare a metodelor alternative de soluþionare a litigiilor prin acþiuni de formare a 75 de practicieni ai dreptului.
</t>
  </si>
  <si>
    <t>Administrație publică locală eficientă pentru cetățeni</t>
  </si>
  <si>
    <t>Obiectivul general: îmbunataþirea procesului decizional, a planificarii strategice si reducerea birocraþiei pentru cetaþeni, prin dezvoltarea si
implementarea de masuri precum: un mecanism pentru fundamentarea deciziilor, doua politici publice, un plan strategic instituþional, doua
strategii sectoriale, soluþii informatice integrate, ca si prin îmbunataþirea cunostinþelor personalului pentru implementarea masurilor
dezvoltate în proiect.
Obiectiv specific 1: Îmbunataþirea procesului de fundamentare a deciziilor la nivelul UAT Primaria Municipiului Aiud prin
elaborarea a doua politici publice în domenii prioritare la nivelul UAT.
Obiectiv specific 2: Îmbunataþirea procesului de planificare strategica la nivelul UAT Primaria Municipiului Aiud prin elaborarea si
aprobarea unui plan strategic instituþional (PSI) aferent anilor 2020 – 2021, precum si a doua strategii sectoriale aferente anilor
2021 – 2025 în domeniile sanatate si asistenþa sociala.
Obiectiv specific 3: Simplificarea procedurilor administrative si reducerea birocraþiei pentru cetaþeni la nivel local, prin dezvoltarea
si implementarea unui pachet de soluþii informatice integrate de tip front-office si back-office, în vederea accesului online la
serviciile gestionate exclusiv de UAT si digitalizarea documentelor din arhiva instituþiei.
Obiectiv specific 4:Dezvoltarea abilitaþilor personalului din UAT Primaria Municipiului Aiud si instituþiile din subordinea consiliului
local, pe teme specifice de interes care au legatura cu OS2.1 si cu obiectivul general al proiectului, incluzând politici publice
locale, planificare strategica, utilizarea sistemelor informatice dezvoltate în proiect.</t>
  </si>
  <si>
    <t>1. AASOCIAȚIA PROFESIONALĂ NEGUVERNAMENTALĂ DE ASISTENȚA SOCIALA ASSOC - FILIALA VÂLCEA
2. COMUNA MĂCIUCA</t>
  </si>
  <si>
    <t>Imbunatatirea capacitatii adm-ve a CJ Constanța</t>
  </si>
  <si>
    <t>Obiectivul general al proiectului vizeaza introducerea de sisteme si standarde comune în administraþia publica locala ce
optimizeaza procesele orientate catre beneficiari în concordanþa cu Strategia pentru Consolidarea Administratiei Publice 2014-2020
(SICAP).                                                                                                                                                                                                                                                                                                                Obiectivele specifice ale proiectului: 1) Realizarea Strategiei de Dezvoltare a Judeþului Constantþa pentru perioada 2021-2027 si 2) Modernizarea arhivei Consiliului Judetean Constanta.</t>
  </si>
  <si>
    <t>Justitie si mediere pentru toata lumea/ Law and mediation for everyone</t>
  </si>
  <si>
    <t>Asociația Liga Apărării Drepturilor Colective</t>
  </si>
  <si>
    <t>Obiectivul general al proiectului este atat de a sprijini populatia din mediul rural in procesul de identificare si de intelegere a drepturilor
cetatenilor conform legislatiei in vigoare precum si de a imbunatatii si facilita accesul romanilor la serviciile de mediere si asistenta juridica.
Obiectivele specifice ale proiectului
1. 1 Mediatizarea si diseminarea in trei comune din judetul Cluj a informaþiilor cu privire la prevederile introduse de noile coduri
privind drepturile cetatenilor, si in special ale grupurilor dezavantajate. Acest obiectiv urmeaza a fi implementat prin Activitatea A2.
2. 4. Cresterea accesului comunitatii la justitie Acest obiectiv urmeaza a fi implementat prin Activitatea A2, Activitatea A3 si
Activitatea A4.
3. 3.Promovarea medierii ca metoda alternativa de soluþionare a litigiilor. Acest obiectiv urmeaza a fi implementat prin Activitatea A4.
4. 2. Transpunerea intr-un limbaj uzual a informatiilor juridice de maxim interes pentruy cetatenii din mediul rural. Acest obiectiv
urmeaza a fi implementat prin Activitatea A3</t>
  </si>
  <si>
    <t>Consolidarea capacității administrative a Municipiului Lugoj prin dezvoltarea capacității de planificare strategică și prin simplificarea procedurilor administrative pentru reducerea birocrației destinate</t>
  </si>
  <si>
    <t>Obiectivul general al proiectului consta in consolidarea capacitatii administrative a Municipiului Lugoj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OS 1 Dezvoltarea capacitatii de planificare strategica la nivelul administratiei publice locale din Municipiul Lugoj prin realizarea
Strategiei Smart City si Strategiei de dezvoltare durabila 2021 – 2027
OS 2 Eficientizarea si simplificarea serviciilor furnizate cetatenilor de catre Primaria Muncipiului Lugoj prin implementarea unei
solutii de portal cu servicii digitale pentru cetateni, managementul documentelor, ERP si digitalizarea arhivei
OS 3 Promovarea modernizarii in administratia publica locala din Municipiul Lugoj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</si>
  <si>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Simplificarea Procedurilor Administrative și Creșterea Eficienței în județul Sălaj</t>
  </si>
  <si>
    <t>Obiectivul general al proiectului: 
Consolidarea capacitaþii Consiliului Judetean Salaj de a asigura calitatea si accesul la serviciile publice oferite exclusiv de instituþie catre cetaþeni prin simplificarea procedurilor administraþiei locale si reducerea birocrației
Obiectivele specifice ale proiectului
1. Reducerea cu minim 30% a timpului aferent livrarii serviciilor catre cetațeni, primarii locale, ONG-uri, asociații si mediul de afaceri prin oferirea unor servicii cu acces on-line, crearea unei arhive digitale si eliminarea astfel a birocraþiei existente
2. Reducerea la maxim a fluxului clasic pe hârtie pentru urmatoarele servicii oferite exclusiv de Consiliul Judeþean Salaj pentru: 
       a) Obþinere informaþii despre concesionare/închieirere/vânzare bunuri proprietate publica sau privata
       b) Obþinere Acord prealabil lucrari în zona drumurilor judeþene
       c) Obþinere Acord privind efectuarea de lucrari în cladirile de patrimoniu judeþean
       d) Solicitare sprijin financiar cazuri sociale
       e) Comunicarea privind începerea lucrarilor de construire/desfiinþare
       f) Comunicarea privind încheierea execuþiei lucrarilor de construire/desfiinþare
       g) Licenþa de transport
3. Furnizarea unui canal îmbunataþit de comunicaþie informaþionala pentru cetaþeni
4. Simplificarea fluxurilor interne prin eliminarea unor acte doveditoare eliberate deja de catre instituþie
5. Elaborarea unui instrument de management si evaluare a performanþei instituþionale privind serviciile livrate prin înfiinþarea
canalului de comunicaþie nou reprezentat de portalul de servicii electronice
6. Îmbunataþirea accesului la informaþii prin up-gradarea site-ului web al instituþiei pentru a fi receptiv, intuitiv si accesibil persoanelor
cu dizabilitaþi
7. Elaborarea unui instrument extranet pentru confirmarea veridicitaþii actelor emise de instituþie
8. Cresterea eficienþei serviciilor oferite prin instruirea a cel puþin 70 de angajaþi din aparatul propriu al Consiliului Judeþean Salaj</t>
  </si>
  <si>
    <t>Optimizarea proceselor în concordanță cu Strategia pentru Consolidarea Administrației Publice la nivelul Municipiului Deva</t>
  </si>
  <si>
    <t>Asociația Centrul Pentru Dezvoltare Durabilă Columna</t>
  </si>
  <si>
    <t>Obiectivul general al proiectului consta consolidarea capacitaþii instituþionale si eficientizarea activitaþii la nivelul Municipiului Deva, prin
fundamentare strategica, simplificarea procedurilor administrative si reducerea birocraþiei pentru cetaþeni, implementând masuri din
perspectiva back-office (adaptarea procedurilor interne de lucru), si front-office pentru serviciile publice furnizate.
OS1. Implementarea unor procedure simplificate pentru reducerea birocraþiei pentru cetaþeni, în corespondenta cu
Planul integrat pentru simplificarea procedurilor administrative aplicabile cetaþenilor, atât din perspectiva back-office,cât si frontoffice.
OS2. Dezvoltarea cunostinþelor si abilitaþilor personalului din cadrul Municipiului Deva, în vederea sprijinirii masurilor
vizate de proiect.
OS 3. Introducerea unor mecanisme si proceduri standard implementate la nivel local pentru fundamentarea deciziilor si
planificarea strategic pe termen lung.</t>
  </si>
  <si>
    <t>Administratie moderna in sprijunul cetatenilor</t>
  </si>
  <si>
    <t>Judetul Botosani</t>
  </si>
  <si>
    <t>OS1: Consolidarea capacitatii administrative si accesul online la serviciile publice prin implementarea unei Platforme Integrate de
Simplificare a interactiunii cu Cetatenii pentru reducerea birocratiei si administrarea electronica a documentelor (PISC DMS) si a
Arhivei electronice a judetului.
2. OS2: Simplificarea procedurilor administrative si actualizarea procedurilor interne de lucru ca urmare a implementarii sistemului
PISC DMS
3. OS.3. Dezvoltarea cunostinþelor si abilitaþilor profesionale pentru 35 de persoane din grupul tinta prin participarea la cursuri de
formare pentru utilizarea sistemului informatic si a procedurilor simplificate,cuprinzând si module de dezvoltare durabila, egalitate
de sanse, nediscriminare si egalitate de gen.</t>
  </si>
  <si>
    <t>Soluții informatice integrate pentru simplificarea procedurilor on-line si reducerea birocrației la nivelul municipiului Râmnicu Vâlcea</t>
  </si>
  <si>
    <t>Municipiul Râmnicu Vâlcea</t>
  </si>
  <si>
    <t xml:space="preserve">Obiectivul general al proiectului consta consolidarea capacitaþii instituþionale si eficientizarea activitaþii la nivelul Municipiului Râmnicu Vâlcea, prin simplificarea procedurilor administrative si reducerea birocraþiei pentru cetaþeni, implementând masuri din perspectiva backoffice (adaptarea procedurilor interne de lucru, digitalizarea arhivelor), si front-office pentru serviciile publice furnizate.
Obiectivele specifice ale proiectului
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În acest sens sunt avute în vedere achiziþia si implementarea unei platforme integrate pentru managementul fluxurilor de lucru si arhivarea electronica, respectiv a unei platforme integrate (portal web, aplicaþie pentru dispozitive mobila) pentru servicii electronice complete (inclusiv plata electronica si semnatura electronica), a unui terminal interactiv de tip self-service pentru servicii electronice, si a unei soluþii de raportare a indicatorilor aferenþi serviciilor electronice.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t>
  </si>
  <si>
    <t>Elaborarea strategiei de dezvoltare durabilă a județului Prahova pentru perioada 2021-2027</t>
  </si>
  <si>
    <t>Obiectivul general al proiectului îl reprezinta eficientizarea activitaþii administraþiei publice locale din cadrul Judetului Prahova prin implementarea de mecanisme si proceduri standard pentru fundamentarea deciziilor si planificare strategica pe termen lung ( pentru perioada 2021-2027), in concordanta cu Strategia pentru Consolidarea Administratiei Publice2014-2020, intr-o perioada de 20 luni.
Obiectivele specifice ale proiectului
1. 1. Cresterea capacitaþii de a realiza o planificare strategica a Judetului Prahova bazata pe prioritizarea acþiunilor si cheltuielilor bugetare si stabilirea unui dialog cu partenerii locali, prin elaborarea Strategiei de dezvoltare locala durabila a judetului Prahova pentru perioada 2021-2027.
2. Dezvoltarea capacitatii manageriale prin imbunatatirea competentelor la toate nivelurile ierarhiei profesionale din cadrul
Consiliului Judetean Prahova prin pregatirea a 45 de persoane din cadrul aparatului de specialitate, personal de executie si de
conducere si alesi locali, in domeniul planificarii strategice pentru dezvoltare locala durabila.</t>
  </si>
  <si>
    <t>Sistem informatic integrat de e-administrație pentru îmbunătățirea accesului populației la servicii electronice și simplificare administrativă</t>
  </si>
  <si>
    <t xml:space="preserve">Obiectivul general al proiectului: Consolidarea capacitaþii instituþionale a Primariei Municipiului Vaslui prin implementarea de masuri de simplificare administrativa si optimizare a furnizarii serviciilor catre cetaþeni.
Obiectivele specifice ale proiectului
1. Optimizarea activitaþilor interne ale funcþionarilor, prin implementarea unei platforme integrate de management al activitaþilor si al înregistrarilor, inclusiv prin digitalizarea si gestiunea electronica a arhivei primariei Vaslui
2. Implementarea unei platforme de tip portal pentru servicii care sa fie furnizate online catre cetaþeni
3. Îmbunataþirea abilitaþilor si cunostinþelor personalului municipiului Vaslui pentru utilizarea sistemelor informatice dezvoltate prin proiect si pentru gestionarea documentelor electronice
</t>
  </si>
  <si>
    <t>Planificare strategică și simplificare administrativă pentru o dezvoltare sustenabilă a județului Călărași</t>
  </si>
  <si>
    <t>Obiectivul general al proiectului consta in consolidarea capacitatii administrative a Consiliului Judetean Calarasi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Dezvoltarea capacitatii de planificare strategica la nivelul Consiliului Judetean Calarasi prin realizarea Strategiei de Dezvoltare Durabila
2. Eficientizarea si simplificarea serviciilor furnizate cetatenilor de catre Consiliul Judetean Calarasi prin implementarea unei solutii de portal cu servicii digitale pentru cetateni, managementul documentelor, ERP si digitalizarea arhivei
3. Promovarea modernizarii Consiliului Judetean Calarasi prin specializarea angajatilor institutiei pe teme specifice proiectului
(planificare strategica si utilizarea noului sistem informatic) ceea ce va determina motivarea si mobilizarea acestora in directia inovatiei si in oferirea de servicii publice de calitate catre cetateni</t>
  </si>
  <si>
    <t>Planificare strategică eficientă și implementare de soluții electronice pentru reducerea birocrație</t>
  </si>
  <si>
    <t>Obiectivul general al proiectului
Îmbunatațirea procesului de luare a deciziei la nivelul Municipiului Arad prin introducerea unor metode si sisteme coerente de
fundamentare a deciziilor, corelarea acestora cu resursele disponibile si pregatirea personalului aparatului de specialitate, precum si a
consilierilor locali in vederea utilizarii acestor instrumente.
OS1. Îmbunatațirea procesului de planificare strategica si alocare a resurselor în cadrul Primariei Municipiului Arad prin
elaborarea Planului Strategic Instituțional aferent anilor 2020 si 2023.
2. OS2. Îmbunataþirea corelarii între masurile si planurile de acþiune din principalele documente de politici publice si activitațile de
planificare bugetara si alocare a resurselor de catre autoritatea publica locala Municipiul Arad prin actualizarea Strategiei
Integrate de Dezvoltare Urbana a Municipiului Arad si a Planului de Mobilitate Urbana Durabila pentru Municipiul Arad pentru
perioada post 2020.
3. OS3. Implementarea unor masuri de simplificare pentru cetațeni, în corespondenþa cu Planul Integrat pentru simplificarea
procedurilor administrative aplicabile cetațenilor, atât din perspectiva back-office (adaptarea procedurilor interne de lucru,
digitalizarea arhivelor), cât si front-office
4. OS4. Dezvoltarea cunostinþelor si abilitaților personalului din cadrul Primariei Municipiului Arad, în vederea sprijinirii masurilor
vizate de proiect. Este avuta în vedere formarea/instruirea,evaluarea/testarea si certificarea competenþelor/cunostinþelor
dobândite pentru 75 persoane din cadrul grupului þinta, în ceea ce priveste planificarea strategica. Obiectivul general al serviciilor
de instruire îl constituie familiarizarea persoanelor din grupul þinta cu implicaþiile conceptului de planificarea strategica.</t>
  </si>
  <si>
    <t>AA 1/29.11.2018          AA 2 /03.04.2019</t>
  </si>
  <si>
    <t>AA 1/ 15.04.2019</t>
  </si>
  <si>
    <t>AA 1/ 01.04.2019</t>
  </si>
  <si>
    <t>AA 1/ 28.03.2019</t>
  </si>
  <si>
    <t xml:space="preserve">AA 1/02.04.2019 </t>
  </si>
  <si>
    <t>AA2/17.04.2019</t>
  </si>
  <si>
    <t>MaraStrategy</t>
  </si>
  <si>
    <t>Obiectivul proiectului este implementarea si certificarea sistemului propriu de management al calitaþii implementat în cadrul Consiliului Judeþean Maramures, conform standardelor ISO 9001 – 2015.                                                                                                                                                                         1.Elaborarea documentelor necesare pentru realizarea, implementarea si certificarea unui sistem propriu de management al calitaþii (SMC) implementat în cadrul Consiliului Judeþean Maramures, conform standardelor ISO 9001 - 2015;
2. Instruirea unui numar de 160 persoane – aparatul propriu al Consiliului Judeþean Maramures în utilizarea, menþinerea si dezvoltarea SMC, din care 3 funcþii de demnitate publica, 130 funcþii publice si 27 funcþii contractuale;
3. Realizarea unui sistem informatic suport al SMC cu adresabilitate întregului personal;
4. Instruirea unui numar minim de 20 persoane din aparatul propriu al Consiliului Judeþean Maramures în utilizarea aplicaþiilor
informatice din cadrul sistemului informatic suport.</t>
  </si>
  <si>
    <t>1. Elaborarea documentelor dezvoltarii pe perioada urmatoare a judeþului Maramures, planuri si strategii sectoriale, pornind de la
actualizarea documentelor de planificare (pentru care este cazul), în perioada de implementare a proiectului.
2. Realizarea unui sistem informatic de gestiune a arhivelor proprii, precum si digitalizarea proceselor si a fluxurilor de documente
inclusiv retro-arhivarea documentelor din arhiva tradiþionala Consiliul Judeþean Maramures, în perioada de implementare a
proiectului
3. Realizarea unui sistem informatic de tip portal informatic care sa asigure interfaþa on line pentru cetaþeni cu scopul reducerii
birocraþiei si pentru furnizarea de informare /asistenþa, formulare, primire solicitari, emitere documente, efectuarea plaþi
impozitelor si taxelor on line, inclusiv sistem informatic de gestiune a informaþiilor geospaþiale (GIS) în perioada de implementare
a proiectului.
4. Instruirea unui numar de 48 persoane – aparatul propriu al Consiliului Judeþean Maramures în diverse teme legate de planificarea
strategica, urbanism si amenajarea teritoriului, politici publice, etc., în perioada de implementare a proiectului.</t>
  </si>
  <si>
    <t>AA3/15.04.2019</t>
  </si>
  <si>
    <t>AA6/08.04.2019 PRELUNGIRE 6 LUNI</t>
  </si>
  <si>
    <t>Planificare strategică și managementul
performanței în folosul cetățenilor din
județul Harghita prin implementarea CAF
(CAFHR)</t>
  </si>
  <si>
    <t>Județul Harghita</t>
  </si>
  <si>
    <t xml:space="preserve">Obiectivul general este optimizarea proceselor orientate catre beneficiari în concordanþa cu SCAP prin introducerea sistemului CAF si instruirea personalului pentru implementarea unitara a managementului calitaþii si performanþei în administraþia publica locala, pentru a oferi servicii de calitate care sa asigure obþinerea satisfacþiei si încrederii cetaþenilor, în condiții de eficienþa, eficacitate.
Obiectivele specifice ale proiectului
1. Obiectiv specific 1: Elaborarea unui studiu privind situaþia actuala a managementului performanței la nivel strategic în cadrul Consiliului Județean Harghita si Introducerea unui instrument al managementului calitații, respectiv instrumentul CAF la nivelul Consiliului Județean Harghita pentru îmbunatațirea managementului performanței.
2. Obiectiv specific 2: Dezvoltarea si perfecționarea cunostințelor si abilitaților pentru 91 de persoane din cadrul Consiliului Judeþean Harghita în domeniul managementului performanței si a standardelor instrumentului CAF, cu scopul aplicarii acestor concepte în organizaþie pentru un management al calitații mai bun. Persoanele instruite vor acumula cunostințe care vizeaza atât principiile de management al calitații cât si aplicarea acestora în cadrul instituției. Cu ocazia desfasurarii fiecarei sesiuni de instruire, fiecarui modul de formare va fi prezentata o tema dedicata egalitații de sanse, nediscriminare si egalitate de gen si o tema dedicata dezvoltarii durabile.
</t>
  </si>
  <si>
    <t>IP14/2019
(MySMIS: 
POCA/ 513/1/1 )</t>
  </si>
  <si>
    <t>Obiectivul general: Dezvoltarea capacitaþii administrative a MMJS si ANES de a fundamenta pe dovezi politicile publice din aria de responsabilitate, respectiv a cadrului strategic naþional privind incluziunea sociala si reducerea saraciei post 2020 si a cadrului strategic naþional pentru egalitatea de gen post 2020, conform cerintelor stabilite de Comisia Europeana, în vederea îndeplinirii condiþiilor favorizante esenþiale pregatirii documentelor aferente CFM post 2020 si accesarii FESI în perioada 2021-2027.
Obiective specifice:
OS 1. Cresterea capacitatii MMJS si ANES de a fundamenta politici publice bazate pe dovezi prin colaborarea cu experti din mediul universitar cu experienta in domeniu, in elaborarea cadrului strategic national post 2020 privind incluziunea sociala si respectiv egalitatea de gen, obiectiv atins prin RP1 si RP2.
2. OS 2. Imbunatatirea nivelului de cunoastere a fenomenelor saraciei, excluziunii sociale, egalitatii de gen, prin realizarea unei analize diagnostic bazata pe date statistice, obiectiv atins prin RP1 si RP2.
3. OS 3. Planificarea strategica post 2020 a masurilor interdisciplinare care vizeaza cresterea incluziunii sociale, reducerea saraciei,
precum si care vizeaza egalitatea de gen, obiectiv atins prin RP3.
4. OS 4 Sprijinirea procesului de programare a CFM post 2020 si îndeplinirea condiþiilor stabilite de Comisia Europeana pe domeniile incluziunii, reducerii saraciei si domeniul egalitatii de gen, pentru ca România sa acceseze fondurile europene post 2020, obiectiv atins prin RP3.
5. OS 5 Intarirea cooperarii interinstitutionale (a MMJS si ANES cu institutiile de nivel central si local cu atributii in incluziunea sociala si in ceea ce priveste egalitatea de gen) prin implicarea activa a acestora in elaborarea acestui cadru strategic, obiectiv atins prin RP3.</t>
  </si>
  <si>
    <t>INCLUZIUNE ȘI EGALITATE DE SANSE
POST-2020 - Cadru strategic național de
politică pentru incluziunea socială și
egalitatea de șanse post 2020</t>
  </si>
  <si>
    <t>1. AGENȚIA NAȚIONALĂ PENTRU EGALITATEA DE ȘANSE ÎNTRE FEMEI ȘI BĂRBAȚI
2. SCOALA NATIONALĂ DE STUDII POLITICE SI ADMINISTRATIVE</t>
  </si>
  <si>
    <t>Administrație publică împreună cu cetățenii</t>
  </si>
  <si>
    <t>Municipiul Făgăraș</t>
  </si>
  <si>
    <r>
      <rPr>
        <u/>
        <sz val="12"/>
        <rFont val="Calibri"/>
        <family val="2"/>
        <scheme val="minor"/>
      </rPr>
      <t>Obiectivul general al proiectului:</t>
    </r>
    <r>
      <rPr>
        <sz val="12"/>
        <rFont val="Calibri"/>
        <family val="2"/>
        <scheme val="minor"/>
      </rPr>
      <t xml:space="preserve">
Introducerea de sisteme si standarde comune în administraþia publica locala ce optimizeaza procesele orientate catre beneficiari în concordanþa cu SCAP:
• Implementarea de mecanisme si proceduri standard la nivel local pentru simplificare si raþionalizare a procedurilor
administrative
• Introducerea de instrumente electronice si procese de lucru simplificate pentru reducerea birocraþiei, corelate cu Planul integrat de simplificare a procedurilor administrative pentru cetaþeni implementate
Obiectivele specifice ale proiectului
1. Obiectiv specific de proiect 1: Digitizarea, simplificarea si optimizarea fluxurilor de lucru pentru procesele orientate catre cetaþeni în administraþia locala a Municipiului Fagaras.
2. Obiectiv specific de proiect 2: Îmbunataþirea cunostinþelor si abilitaþilor alesilor locali, precum si angajaþilor administraþiei locale în furnizarea si comunicarea unor servicii publice de calitate catre cetaþeni
3. Obiectiv specific de proiect 3: Îmbunataþirea cunostinþelor si abilitaþilor alesilor locali, precum si angajaþilor administraþiei locale în furnizarea si comunicarea unor servicii digitizate si online catre cetaþeni</t>
    </r>
  </si>
  <si>
    <t>AA1/16.05.2019</t>
  </si>
  <si>
    <t>AA2/16.05.2019</t>
  </si>
  <si>
    <t>UNITATEA EXECUTIVA PENTRU FINANTAREA INVATAMANTULUI SUPERIOR, A CERCETARII,</t>
  </si>
  <si>
    <t>AA3 /17.05.2019</t>
  </si>
  <si>
    <t>Asociatia Technology and Innovation for Society Tehnologie si Inovare pentru Societate</t>
  </si>
  <si>
    <t>Asociatia Technology and Innovation For Society/Tehnologie ți Inovare pentru Societate Filiala Satu Mare</t>
  </si>
  <si>
    <t>Creșterea transparentei, calității și accesibilității serviciilor oferite cetățenilor de către sistemul judiciar, cu ajutorul tehnologiei</t>
  </si>
  <si>
    <t>Justiție pentru mediu rural</t>
  </si>
  <si>
    <t xml:space="preserve">Obiectivul general al proiectului este creșterea nivelului de informare si accesibilitate a serviciilor oferite cetățenilor din grupuri vulnerabile din mediul urban: femei, tineri, persoane din grupuri vulnerabile, comunități marginalizate, si a altor cetățeni, de catre sistemul judiciar, cu ajutorul tehnologiei. Acesta este in concordanta cu Obiectivul specific 2.3. al programului, Asigurarea unei transparențe si integrități sporite la nivelul sistemului judiciar în vederea îmbunătățirii accesului si a calitaþii serviciilor furnizate la nivelul acestuia.
Obiectivele specifice ale proiectului
1. OS1. Creșterea accesului la justiție a 200 de cetățeni din mediul urban: tineri, femei, persoane care fac parte din grupuri vulnerabile, comunități marginalizate sau alți cetățeni care au nevoie de reformare, educare si consiliere in domeniul accesului la servicii oferite de sistemul juridic, prin derularea unei campanii de informare/educație juridica, prin utilizarea unor metode inovative si cu ajutorul tehnologiei, in cadrul caravanei “Justiție pentru toți”.
2. OS2. Accelerarea dezvoltării si diversificării paletei de servicii de informare, educare si consiliere juridica adecvate nevoilor cetățeanului din mediul urban, prin cooperare cu autoritari ale administrației publice locale si cu societatea civila prin organizarea unui “Accelerator pentru Justiție - Centrul real si virtual de resurse pentru accesul accelerat la justiție”, care sa acopere nevoile de informare, educare si consiliere in perioada de implementare a minim 100 de cetățeni: tineri, femei, persoane care fac parte din grupuri vulnerabile, comunități marginalizate sau alti cetățeni care au nevoie de informare, educare si consiliere in domeniul accesului la servicii oferite de sistemul juridic.
3. OS3. Promovarea si consolidarea cu ajutorul tehnologiei a metodelor alternative de soluționare a litigiilor prin crearea si dezvoltarea in acord cu nevoile identificate in mediul urban a unui “Portal interactiv de metode alternative de soluționare a litigiilor” pentru promovarea si consolidarea cu ajutorul tehnologiei a metodelor alternative de soluționare a litigiilor, prin derularea de campanii de informare si consiliere on-line a beneficiarilor actului de justiție: minim 50 de persoane, pe parcursul
implementarii-cetateni din mediul urban: tineri, femei, persoane care fac parte din grupuri vulnerabile, comunitati marginalizate sau alti cetățeni care au nevoie de informare, educare si consiliere in domeniul accesului la servicii oferite de sistemul juridic.
</t>
  </si>
  <si>
    <t xml:space="preserve">Bacău
Botașani
Iași
Neamț
Suceava
Vaslui
Bihor
Bistrița Năsăud
Cluj
Maramureș
Satu Mare
Sălaj
Argeș
Călărași
Dîmbovița
Giurgiu
Ialomița
Prahova
Teleorman
Brăila
Buzău
Galați
Tulcea
Vrancea
Dolj
Gorj
Mehedinți
Olt
Arad
Caraș Severin
Hunedoara
Timiș
Alba
Brașov
Covasna
Haghita
Mureș
Sibiu
</t>
  </si>
  <si>
    <t>1,2,3,4,5,6,7</t>
  </si>
  <si>
    <t>Obiectivul general al proiectului este cresterea nivelului de informare si accesibilitate a serviciilor oferite cetatenilor din mediul rural de
catre sistemul judiciar, cu ajutorul tehnologiei. Acesta este in concordanta cu Obiectivul specific 2.3. al programului, Asigurarea unei
transparenþe si integritaþi sporite la nivelul sistemului judiciar în vederea îmbunataþirii accesului si a calitaþii serviciilor furnizate la nivelul
acestuia, corespunzator Axei prioritare 2: Administraþie publica si sistem judiciar accesibile si transparente.
Obiectivele specifice ale proiectului
1. OS1. Cresterea accesului la justiþie a 200 de cetateni din mediul rural care au nevoie de informare, educare si consiliere in
domeniul accesului la servicii oferite de sistemul juridic, prin derularea unei campanii de informare/educaþie juridica, prin utilizarea
unor metode inovative si cu ajutorul tehnologiei, in cadrul caravanei “Justitie pentru sate”.
2. OS2. Accelerarea dezvoltarii si diversificarii paletei de servicii de informare, educare si consiliere juridica adecvate nevoilor
cetaþeanului, prin cooperare cu autoritaþi ale administraþiei publice locale si cu societatea civila prin organizarea unui
“Acceleratorului pentru Justitie in mediul rural- Centrul real si virtual de resurse pentru accesul accelerat la justitie pentru mediul
rural” , care sa acopere nevoile de informare, educare si consiliere in perioada de implementare a minim 100 de cetateni din
mediul rural care au nevoie de informare, educare si consiliere in domeniul accesului la servicii oferite de sistemul juridic.
3. OS3. Promovarea si consolidarea cu ajutorul tehnologiei a metodelor alternative de soluþionare a litigiilor prin crearea si
dezvoltarea unui “Portalului interactiv de metode alternative de solutionare a litigiilor pentru mediul rural”, pentru promovarea si
consolidarea cu ajutorul tehnologiei a metodelor alternative de soluþionare a litigiilor, prin derularea de campanii de informare si
consiliere on-line a beneficiarilor actului de justitie: minim 50 de persoane, pe parcursul implementarii-cetatenidin mediul rural,
care fac parte din comunitati marginalizate sau alti cetateni din mediul rural care au nevoie de informare, educare si consiliere in
domeniul accesului la servicii oferite de sistemul juridic.</t>
  </si>
  <si>
    <t>CP 12 less/2018</t>
  </si>
  <si>
    <t>Obiectivul general al proiectului corelat cu obiectivul specific al apelului de proiecte CP12/2018 urmareste imbunatatirea capacitatii
institutionale si reducerea birocratiei pentru cetateni, prin dezvoltarea si implementarea unei solutii informatice integrate.
Obiectivul general va fi atins pe seama urmatoarelor obiective specifice:
Obiectivele specifice ale proiectului
1. Obiectiv specific 1.Dezvoltarea si implementarea unei solutii informatice integrate ce sustine simplificarea procedurilor
administrative si reducerea birocratiei pentru cetatenii Municipiului Oltenita atat din perspectiva back-office cat si front-office.
2. Obiectiv specific 2: Instruirea personalului din cadrul UAT Municipiului Oltenita pentru utilizarea optima a solutiei informatice
integrate prin proiect.</t>
  </si>
  <si>
    <t>AA1/17.05.2019</t>
  </si>
  <si>
    <t>Consolidarea capacității de planificare strategică a Ministerului Dezvoltării Regionale și Administrației Publice în renovarea fondului construit național din perspectiva eficientei energetice și a riscului</t>
  </si>
  <si>
    <t xml:space="preserve">Institutul Național de Cercetare Dezvoltare
în Construcții,
Urbanism și Dezvoltare Teritorială Durabilă "URBAN-INCERC
</t>
  </si>
  <si>
    <t>Obiectivul general: Consolidarea capacitaþii de planificare strategica si operaþionala a Ministerului Dezvoltarii Regionale si Administrației Publice în vederea
îndeplinirii obligațiilor europene privind eficiența energetica în cladiri si a eficientizarii acþiunilor ministerului în domeniul riscului seismic.
Obiectivele specifice ale proiectului
1. Asigurarea cadrului strategic pentru renovarea fondului construit, potrivit nevoilor naționale si prevederilor legislației europene prin
elaborarea Strategiei de renovare pe termen lung;
2. Optimizarea cadrului legislativ privind eficiența energetica în cladiri si reziliența fondului construit la riscul seismic;
3. Optimizarea proceselor decizionale de la nivelul MDRAP si de la nivelul autoritaților publice locale pentru utilizarea eficienta si
eficace a fondurilor publice în programe si proiecte;
4. Realizarea unor instrumente si metode eficiente de evidența si monitorizare pentru atingerea țintelor stabilite prin strategii si
reglementari europene si naționale privind fondul construit;
5. Formarea unui numar de 35 de persoane din cadrul MDRAP si ISC în vederea îmbunatațirii cunostințelor si abilitaților în domeniul
eficienței energetice si riscului seismic;
6. Asigurarea unor instrumente de informare si comunicare pentru aplicarea strategiei si legislației modificate.</t>
  </si>
  <si>
    <t>Implementarea unui sistem de informatizare a administrației publice, sistem de management integrat al datelor administraţiei publice şi îmbunătățirea organizării instituționale și a procedurilor la nivelul Municipiului Reşiţa</t>
  </si>
  <si>
    <t>Municpiul Resita</t>
  </si>
  <si>
    <t>1. Îmbunataþirea capacitatii de planificare strategica si alocare a resurselor la nivelul administratiei publice locale Municipiul Resiþa
prin introducerea unui instrument informatic de bugetare participativa, realizarea unor instrumente de planificare si dezvoltare
locala si realizarea Strategiei Smart City – orizont 2027
2. Eficientizarea si simplificarea serviciilor furnizate cetatenilor de catre Primaria Muncipiului Resita prin implementarea unei solutii
de portal cu servicii digitale pentru cetateni, managementul documentelor, ERP si digitalizarea arhivei
3. Promovarea modernizarii in administratia publica locala din Municipiul Resita prin dezvoltarea cunostinþelor si abilitaþilor
personalului din cadrul Primariei Municipiului Resita, în vederea sprijinirii masurilor vizate de proiect prin formarea/instruirea,
evaluarea/testarea si certificarea competenþelor/cunostinþelor dobândite pentru persoanele din cadrul grupului þinta, în ceea ce
priveste planificarea strategica, managementul calitatii si utilizarea noului sistem informatic, ceea ce va determina motivarea si
mobilizarea acestora in directia inovatiei si in oferirea de servicii publice de calitate catre cetateni
4. Implementarea sistemului de management al calitatii in conformitate cu prevederile standardului SR EN ISO 9001:2015 in scopul
imbunatatirii calitatii si eficientei serviciilor publice furnizate de catre Municipiul Resita</t>
  </si>
  <si>
    <t>Simplificarea administrativa si reducerea birocratiei pentru cetatenii din Municipiul Oltenita</t>
  </si>
  <si>
    <t>AA 1/29.05.2019</t>
  </si>
  <si>
    <t>Solutii administrative moderne - dezvoltarea si implementarea de proceduri si mecanisme simplificate in sprijinul cetatenilor in cadrul Consiliul Judetean Tulcea</t>
  </si>
  <si>
    <t>Judetul Tulcea</t>
  </si>
  <si>
    <t>Obs. 1) Introducerea si implementarea unui mecanism de bugetare participativa in scopul cresterii calitatii procesului decizional,
pentru a raspunde in mod fundamentat si coerent nevoilor comunitatilor din judetul Tulcea.
Pentru realizarea Obs.1) s-a avut în vedere activitatea A3 Dezvoltarea si implementarea unui mecanism de bugetare participativa
on-line in scopul elaborarii politicilor publice ce necesită resurse financiare din bugetele aferente anilor 2020 şi 2021 si
subactivitatile aferente. Rezultatul 1 contribuie la atingerea acestuia.
Obs. 2) Consolidarea capacitatii institutionale privind planificarea si fundamentarea strategica, prin dezvoltarea si elaborarea
Strategiei de dezvoltare durabila a Judetului Tulcea pentru perioada 2021 -2027.
Pentru realizarea Obs.2) s-a avut în vedere activitatea A4 Elaborarea Strategiei de dezvoltare durabila a Judetului Tulcea pentru
perioada 2021 -2027 si subactivitatile aferente. Rezultatul 2 contribuie la atingerea acestuia.
Obs. 3) Dezvoltarea, implementarea si susţinerea de mecanisme de cooperare inter-institutionala, din perspectivă back-office si
front-office pentru serviciile furnizate direct cetatenilor din Judetul Tulcea.
Pentru realizarea Obs.3) s-a avut în vedere activitatea A5 Dezvoltarea de solutii si sisteme informatice pentru simplificarea
serviciilor furnizate direct cetatenilor si mediului de afaceri. Rezultatul 3 contribuie la atingerea acestuia.
Obs. 4) Dezvoltarea si implementarea unor programe de instruire specifice privind dezvoltarea competentelor si abilitatilor pentru
angajatii (demnitari, consilieri, personal de conducere si executie) din Consiliului Judetean Tulcea.
Pentru realizarea Obs.4) s-a avut în vedere activitatea A6 Imbunatatirea competentelor si abilitatilor specifice domeniului
proiectului pentru personalul cu functii de conducere si executie din Consiliul Judetean Tulcea Rezultatul 4 contribuie la atingerea
acestuia</t>
  </si>
  <si>
    <t>AA1/12.10.2018</t>
  </si>
  <si>
    <t>Consiliul Județean Dolj</t>
  </si>
  <si>
    <t>Simplificarea procedurilor prin eficientizare si digitalizare la consiliul județean</t>
  </si>
  <si>
    <t>Obiectivul general al proiectului/Scopul proiectului
Consolidarea capacitații Consiliului Județean Dolj de a asigura calitatea si accesul la serviciile publice oferite exclusiv prin simplificarea
procedurilor administraþiei locale si reducerea birocrației pentru cetațeni.
Obiectivele specifice ale proiectului
1. OS2. Implementarea unor masuri de simplificare pentru cetaþeni si firme, în corespondenþa cu Planul Integrat pentru simplificarea
procedurilor administrative aplicabile cetaþenilor, atât din perspectiva back-office (adaptarea procedurilor interne de lucru,digitalizarea arhivelor), cât si front-office.
2. OS3. Dezvoltarea cunostinþelor si abilitaþilor personalului din cadrul Consiliului Judetean Dolj, în vederea sprijinirii masurilor vizate
de proiect. Este avuta în vedere formarea/instruirea, evaluarea/testarea si certificarea competenþelor/cunostinþelor dobândite
pentru 75 de persoane din cadrul grupului þinta, în ceea ce priveste simplificarea procedurilor administrative. Obiectivul general al
serviciilor de instruire îl constituie familiarizarea persoanelor din grupul þinta cu implicaþiile conceptului de simplificare administrativa.</t>
  </si>
  <si>
    <t>Sistem integrat pentru simplificarea procedurilor administrative și reducerea birocrației la nivelul Municipiului Călărași</t>
  </si>
  <si>
    <t>Obiectivul general al proiectului consta in consolidarea capacitatii institutionale si eficientizarea activitatii la nivelul Municipiului Calarasi
prin simplificarea procedurilor administrative si reducerea birocratiei pentru cetateni, implementând un sistem integrat ce optimizeaza
procesele orientate catre beneficiari în concordanta cu SCAP.
Obiectivele specifice ale proiectului
1. OS1. Implementarea unor masuri de simplificare pentru cetateni, in corespondenta cu Planul integrat pentru simplificarea
procedurilor administrative aplicabile cetatenilor prin achizitia si implementarea unui sistem integrat ce optimizeaza procesele
orientate catre beneficiari în concordanta cu SCAP.
2. OS2. Îmbunatatirea cunostintelor si a competentelor personalului din Primaria Municipiului Calarasi, precum si a alesilor locali în
vederea sprijinirii masurilor/actiunilor vizate de acest proiect.</t>
  </si>
  <si>
    <t>AA1/05.06.2019</t>
  </si>
  <si>
    <t>Municipiul Fetești</t>
  </si>
  <si>
    <t>Fetești</t>
  </si>
  <si>
    <t>Obiectivul general al proiectului: Imbunatatirea capacitatii institutionale si eficientizarea activitatii in UAT Municipiul Fetesti prin
implementarea de masuri de simplificare a procedurilor administrative si reducere a birocratiei catre cetateni - introducerea unui sistem
informatic integrat in UAT- , cat si dezvoltarea cunostintelor personalului din cadru UAT, in scopul implementarii si utilizarii optime a
masurilor realizate prin proiect.
Obiectivul general va fi o consecinta directa a indeplinirii urmatoarelor doua obiective specifice definite in cadrul proiectului:
Obiectivele specifice ale proiectului
1. Obiectiv specific nr.1 - Dezvoltarea si implementarea unui sistem informatic integrat care sa sustina simplificarea procedurilor
interne de lucru si reducerea birocratiei pentru cetatenii Municipiului Fetesti din perspectiva back-office, cat si front-office, in
vederea furnizarii unor servicii publice performante si gestionate in mod eficient la nivelul UAT.
2. Obiectiv specific nr.2 - Dezvoltarea cunostintelor si abilitatilor personalului din UAT Mun. Fetesti prin formare pe teme specifice de
interes care au legatura cu OS2.1 si cu obiectivul general al proiectului, incluzand si un proces de instruire interna pentru
utilizarea masurilor dezvoltate prin proiect.</t>
  </si>
  <si>
    <t>Eficiență și performanta in administratia
publica locala a Municipiului Fetesti</t>
  </si>
  <si>
    <t>Introducerea de sisteme informatice pentru
optimizarea proceselor in Municipiul Husi</t>
  </si>
  <si>
    <t xml:space="preserve">Obiectivul general al proiectului este reprezentat de implementarea unor sisteme informatice in vederea optimizarii proceselor in cadrul
municipiului Husi, sustinut de o dezvoltare a abilitatilor personalului de la nivelul solicitantului.
Obiectivele specifice ale proiectului
1. OS 1. Dezvoltarea capacitatii necesare in vederea fundamentarii deciziilor si planificarii strategice pe termen lung, pentru
perioada 2020-2021.
2. OS 2. Implementarea unor sisteme informatice si dotarea cu echipamente hardware necesare optimizarii proceselor
administrative.
3. OS.3 Dezvoltarea de noi abilitati ale personalului în vederea optimizarii proceselor decizionale orientate catre cetateni.unicipiului Husi, sustinut de o dezvoltare a abilitatilor personalului de la nivelul solicitantului.
</t>
  </si>
  <si>
    <t>AA 2/ 05.06.2019</t>
  </si>
  <si>
    <t>Asistență și educație juridica la nivelul cetățenilor din Drobeta-Turnu Severin</t>
  </si>
  <si>
    <t>Obiectivul general al proiectului:
Asigurarea unei transparențe si integrități sporite la nivelul sistemului judiciar în vederea îmbunataþirii accesului si a calității serviciilor furnizate la nivelul acestuia în cadrul UAT Drobeta-Turnu Severin;
Obiectiv specific al proiectului:
OS 2.1: Grad crescut de acces la justiție al cetățenilor prin derularea de campanii de informare/educaþie juridica si oferirea de servicii suport, inclusiv de asistenăț juridică, puse la dispoziția cetățenilor.</t>
  </si>
  <si>
    <t>Implementarea unor măsuri și instrumente destinate îmbunătățirii proceselor administrative în cadrul Consiliului Județean Argeș</t>
  </si>
  <si>
    <t>Îmbunataþirea planificarii strategice instituþionale si simplificarea procedurilor implementate la nivelul Consiliului Judeþean Arges
Obiectivele specifice ale proiectului
1. Elaborarea Strategiei pentru Dezvoltare Durabila a Judeþului Arges - instrument de planificare a investiþiilor locale
2. Simplificarea procedurilor la nivel judeþean prin digitalizarea documentelor si implementarea unei soluþii informatice pentru
administrarea acesteia
3. Îmbunataþirea cunostinþelor si abilitaþilor personalului din cadrul Consiliului Judeþean Arges în domeniul managementului strategic
si în utilizarea si administrarea soluþiei informatice dezvoltate prin proiect</t>
  </si>
  <si>
    <t>ePAS-eficientizarea Procedurilor Administrative prin Simplificare la Primăria Municipiului Petroșani</t>
  </si>
  <si>
    <t>Municipiul Petroșani</t>
  </si>
  <si>
    <t>Obiectiv general:Consolidarea capacitaþii Primariei Municipiului Petrosani de a asigura calitatea si accesul la serviciile publice oferite exclusiv de Primarie prin simplificarea procedurilor administraþiei locale si reducerea birocraþiei pentru cetaþeni                                                                     . OS1. Îmbunatațirea procesului de planificare strategica si alocare a resurselor în cadrul Primariei Municipiului Petrosani prin introducerea unui instrument informatic de bugetare participativa
OS2. Implementarea unor masuri administrative simplificate în relaþia cu cetaþenii, în corespondență cu Planul Integrat pentru simplificarea procedurilor administrative aplicabile cetaþenilor, atât din perspectiva back-office (adaptarea procedurilor interne delucru, digitalizarea arhivelor), cât si front-office (prelucrarea si soluționarea on-line a solicitarilor cetațenilor).
3. OS3. Dezvoltarea cunostinþelor si abilitaþilor personalului din cadrul Primariei Municipiului Petrosani, în vederea sprijinirii masurilor vizate de proiect. Este avuta în vedere formarea/instruirea, evaluarea/testarea si certificarea competenþelor/cunostințelor dobândite pentru 75 de persoane din cadrul grupului þinta, în ceea ce priveste simplificarea administrativa si planificarea strategica.</t>
  </si>
  <si>
    <t>Petroșani</t>
  </si>
  <si>
    <t>SEPA - Simplificarea si eficientizarea procedurilor administrative</t>
  </si>
  <si>
    <t>Obiectivul general consta în îmbunatatirea capacitatii administrative, a calitatii si eficientei serviciilor publice furnizate la nivelul UAT Municipiul Rosiorii de Vede prin investitii integrate si complementare conform reglementarilor europene si nationale si prin mecanisme si
proceduri standard implementate la nivel local pentru fundamentarea deciziilor si planificarea strategica pe termen lung                                                                                                                                            OS 1. Masuri de simplificare a procedurilor administrative si reducerea birocratiei prin crearea si integrarea unui sistem
informatics pentru arhiva (digitalizarea arhivelor) si administrarea electronica a documentelor la nivelul Municipiului Rosiorii de Vede.                                                                              OS 1 se va îndeplini prin Activitatea 3 si va conduce la atingerea rezultatului POCA R3.
OS 2. Imbunatatirea competentelor profesionale a unui numar de 61 persoane din toate nivelurile ierarhice din cadrul UAT Municipiul Rosiorii de Vede pe teme specifice. OS 2 se va îndeplini prin Activitatea 5 si va conduce la atingerea rezultatului POCA R5.
OS 3. Implementarea unor mecanisme si proceduri standard (actualizare Strategie de dezvoltare a Municipiului, Plan strategic institutional, proceduri cadru de adoptare a hotarârilor de consiliu local) pentru a creste eficienta actiunilor adimintrative la nivelul Municipiului Rosiorii de Vede.                                                                                                                                     OS 3 se va îndeplini prin Activitatea 6 si va conduce la atingerea rezultatului de program POCA R1.</t>
  </si>
  <si>
    <t>Simplificarea administrativa si reducerea birocratiei prin implementarea de masuri de digitalizare in Municipiul Botosani</t>
  </si>
  <si>
    <t>Simplificarea Procedurilor Administrative prin Digitalizare</t>
  </si>
  <si>
    <t xml:space="preserve">Botosani </t>
  </si>
  <si>
    <t>Pascani</t>
  </si>
  <si>
    <t>Obiectivul general al proiectului: Simplificarea procedurilor administrative si reducerea birocratiei pentru cetateni, prin dezvoltarea si implementarea unei solutii informatice integrate.
OS 1.Dezvoltarea si implementarea unei solutii informatice integrate ce sustine simplificarea procedurilor
administrative si reducerea birocratiei pentru cetatenii Municipiului Botosani atat din perspectiva back-office cat si front-office.
OS 2: Instruirea personalului din cadrul UAT Municipiului Botosani pentru utilizarea optima a solutiei informatice
integrate prin proiect.</t>
  </si>
  <si>
    <t xml:space="preserve">Obiectiv general-Consolidarea capacitaþii Primariei Municipiului Pascani de a asigura calitatea si accesul la serviciile publice oferite exclusiv de Primarie prin simplificarea procedurilor administraþiei locale si reducerea birocraþiei pentru cetaþenii.
Obiective specifice:
OS1. Îmbunataþirea procesului de planificare strategica si alocare a resurselor în cadrul Primariei Municipiului Pascani
prin introducerea unui instrument informatic de bugetare participativa.
 OS2.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OS3. Dezvoltarea cunostinþelor si abilitaþilor personalului din cadrul Primariei Municipiului Pascani , în vederea sprijinirii masurilor vizate de proiect. Este avuta în vedere formarea/instruirea,evaluarea/testarea si certificarea competenþelor/cunostinþelor dobândite pentru 75 de persoane din cadrul grupului þinta, în ceea ce priveste planificarea strategica. </t>
  </si>
  <si>
    <t>AA1 /13.06.2019</t>
  </si>
  <si>
    <t>AA1/06.06.2019</t>
  </si>
  <si>
    <t>Capacitate administrativa moderna si
inovativa</t>
  </si>
  <si>
    <t>Obiectivul general consta în îmbunatatirea capacitatii administrative, a calitatii si eficientei serviciilor publice furnizate la nivelul Consiliului Judetean Teleorman, din regiunea mai putin dezvoltata Sud-Muntenia, prin introducerea unor proceduri simplificate pentru reducerea
birocratiei conform reglementarilor europene si nationale (digitizarea proceselor de administrare a documentelor si retro-digitalizarea documentelor din arhiva).                                                                                                                                           OS 1. Masuri de simplificare a procedurilor administrative si reducerea birocratiei prin digitizarea proceselor de administrare a documentelor la nivelul Consiliului Judetean Teleorman. OS1 se va indeplini prin Activitatea 3 si va conduce la atingerea rezultatului de program POCA R3
2. OS2. Retro-digitalizarea documentelor din arhiva Consiliului Judetean Teleorman in vederea simplificarii proceselor si procedurilor administrative si reducerea timpilor de efectuare a activitatilor curente. OS2 se va indeplini prin Activitatea 3 si va
conduce la atingerea rezultatului POCA R3.</t>
  </si>
  <si>
    <t>Municipiul Alba Iulia - Administratie
inteligenta</t>
  </si>
  <si>
    <t>Sustinerea implementarii unui management performant la nivelul Municipiului Alba Iulia, in corespondenta cu Strategia de Consolidare a Administratiei Publice, in termen de 24 luni.                                                                                                                                                                                                                                                      OS1. Elaborarea si implementarea unui numar de 2 strategii de planificare pe termen lung, la nivelul Municipiului Alba Iulia, in termen de 15 luni de la initierea procesului.
2. OS2.Dezvoltarea si implementarea la nivelul Municipiului Alba Iulia, a 2 mecanisme de colaborare si consultare cu actori relevanti pentru sustinerea dezvoltarii locale, in termen de 12 luni de la initierea procesului.</t>
  </si>
  <si>
    <t>Municipiul Lupeni</t>
  </si>
  <si>
    <t>Proceduri Administrative Simplificate prin Eficientizare Digitala - la Primaria Municipiului Lupeni</t>
  </si>
  <si>
    <t>Obiectivul general al proiectului: Consolidarea capacității Primăriei municipiului Lupeni de a asigura calitatea și accesul la serviciile publice oferite exclusiv de Primărie prin
simplificarea procedurilor administrației locale și reducerea birocrației pentru cetățeni                                                                                OS1. Îmbunataþirea procesului de planificare strategica si alocare a resurselor în cadrul Primariei Municipiului Lupeni prin introducerea unui sistem intern managerial certificat
2. OS2. Implementarea unor masuri de simplificare pentru cetaþeni - în corespondenþa cu Planul Integrat pentru simplificarea procedurilor administrative aplicabile cetaþenilor - atât din perspectiva back-office (adaptarea procedurilor interne de lucru, digitalizarea arhivelor), cât si front-office.
3. OS3. Dezvoltarea cunostinþelor si abilitaþilor personalului din cadrul Primariei Municipiului Lupeni, în vederea sprijinirii masurilor vizate de proiect. Este avuta în vedere formarea/instruirea, evaluarea/testarea si certificarea competenþelor/cunostinþelor dobândite pentru 70 de persoane din cadrul grupului þinta, în ceea ce priveste simplificarea procedurilor. Obiectivul general al
serviciilor de instruire îl constituie familiarizarea persoanelor din grupul þinta cu implicaþiile simplificarii procedurilor administrative.</t>
  </si>
  <si>
    <t>Lupeni</t>
  </si>
  <si>
    <t>Soluții informatice integrate pentru
simplificarea procedurilor administrative si
reducerea birocrației la nivelul Municipiului
DEJ</t>
  </si>
  <si>
    <t>Obiectivul general al proiectului consta in consolidarea capacitații instituþionale si eficientizarea activitații la nivelul Municipiului DEJ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web, arhivare electronica, captura documente, fluxuri de lucru cu documente, registratura electronica
si management arhiva fizica de documente)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DEJ si retro-digitalizarea unui numar de cca. 20.000 dosare aflate in arhiva clasica si cu valoare
operaþionala prezenta pentru a facilita rezolvarea cererilor cetaþenilor în curs de soluþionare.
2. OS2. Dezvoltarea cunostinþelor si abilitaþilor personalului din cadrul Municipiului DEJ,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 înþelegerea
implicaþiilor si avantajelor raportate la realizarea obiectivelor specifice aferente proiectului.</t>
  </si>
  <si>
    <t>Dej</t>
  </si>
  <si>
    <t>CP 12 more/2018</t>
  </si>
  <si>
    <t>O primarie mai aproape de oameni la doar un click distanta</t>
  </si>
  <si>
    <t>Primarie Fara Hartie si Implicarea Cetatenilor in Planificarea Strategica a Sectorului 6</t>
  </si>
  <si>
    <t>Servicii electronice eficiente și simplificare administrativă prin platforme informatice inovative</t>
  </si>
  <si>
    <t xml:space="preserve">Obiectivul general al proiectului vizează îmbunătățirea procesului decizional, a planificării strategice și execuției bugetare, implementarea unitară a managementului calității și performanței și crearea de măsuri de simplificare pentru cetățeni în concordanță cu SCAP, la nivelul Primăriei Sectorului 5. Proiectul propus spre finanțare se încadrează în Axa prioritară 2 – Administrație publică și sistem judiciar accesibile și transparente, obiectivul specific 2.1 – Introducerea de sisteme și standarde comune în administrația publică locală ce optimizează procesele orientate către beneficiari în concordanță cu SCAP. </t>
  </si>
  <si>
    <t>Consolidarea capacităţii instituţionale a Primăriei Sectorului 6 prin introducerea de instrumente de planificare strategică pentru optimizarea proceselor administrative ale primăriei şi adoptarea unor măsuri de simplificare a furnizării serviciilor către cetăţeni şi mediul de afaceri, prin implementarea unor solutii inovative.
Proiectul contribuie astfel la îndeplinirea obiectivului specific 2.1 al POCA "Introducerea de sisteme şi standarde comune în administraţia publica locala ce optimizează procesele orientate catre beneficiari în concordanţă cu
SCAP". Implementarea acestui proiect va avea ca efect implicarea cetatenilor in procesul de planificare strategica şi simplificarea
administrativă a serviciilor furnizate către cetăţeni/mediu de afaceri, contribuind astfel la atingerea obiectivelor Strategiei pentru
consolidarea administratiei publice 2014-2020 (SCAP) - II.1.4, II.3, II.4, II.5 şi II.6 , III.1 şi III.2. Mentionam faptul ca proiectul contribuie la atingerea rezultatelor si indicatorilor POCA, asa cum se va detalia in sectiunile urmatoare.</t>
  </si>
  <si>
    <t>Obiectivul general al proiectului vizeaza imbunatatirea procesului decizional, a planificarii strategice si executiei bugetare, implementarea unitara a managementului calitatii si performantei si crearea de masuri de simplificare pentru cetateni in concordanta cu SCAP, la nivelul Sectorului 3 al Municipiului Bucuresti.
Astfel, proiectul propus spre finantare urmareste consolidarea capacitatii administrative a PS 3 in vederea formularii de politici publice, motivarii proiectelor de acte administrative cu caracter normativ si planificarii strategice institutionale, pe de-o parte si pe de alta parte, implementarea unor sisteme informatice pentru optimizarea modului de lucru intern al angajatilor PS 3,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administraţiei publice) si II.5 (Imbunatatirea proceselor interne la nivelul institutiilor publice), III.1 (Reducerea birocratiei pentru cetateni) şi III.2. (Reducerea birocratiei pentru mediul de afaceri), IV. ( Consolidarea capacitatii administraţiei publice de a asigura calitatea si accesul la serviciile publice).</t>
  </si>
  <si>
    <t>Creșterea transparenței decizionale si simplificarea procedurilor administrative pentru cetățeni - ANTO-CIIC</t>
  </si>
  <si>
    <t xml:space="preserve">Obiectivul general  - Implementarea de masuri care vizeaza adaptarea structurilor administrative existente, optimizarea proceselor orientate catre cetaþeni, prin crearea accesului online la serviciile administraþiei publice locale, precum si utilizarea centrului de inovare si imaginaþie civica în planificarea strategica a proceselor de inovare sociala, pentru cresterea transparenþei decizionale si simplificarea procedurilor oferite cetaþenilor municipiului Cluj-Napoca.
Obiective specifice:
OS 1. Dezvoltarea si introducerea mecanismelor Centrului de Inovare si Imaginaþie Civica (CIIC) în vederea optimizarii proceselor decizionale orientate catre cetaþeni si mediul de afaceri în Municipiul Cluj-Napoca.
OS 2. Design-ul, dezvoltarea si implementarea unui sistem electronic de digitalizare si simplificare a serviciilor publice oferite
cetaþenilor Municipiului Cluj-Napoca prin implementarea funcþionarului public electronic si virtual – ANTONIA.
OS 3. Formarea/instruirea functionarilor publici si contractuali, inclusiv a factorilor de decizie la nivel politic, în utilizarea instrumentelor digitale si a functionarului electronic.
</t>
  </si>
  <si>
    <t>Armonizarea cadrului legislativ pentru implementarea planului de reformă în sănătate</t>
  </si>
  <si>
    <t>Soluții informatice integrate pentru simplificarea procedurilor administrative si reducerea birocrației la nivelul Municipiului Câmpina</t>
  </si>
  <si>
    <t>Obiectivul general al proiectului consta in consolidarea capacitaþii instituþionale si eficientizarea activitaþii la nivelul Municipiului Câmpina
prin simplificarea procedurilor administrative si reducerea birocraþiei pentru cetaþeni, implementând masuri din perspectiva back-office
(adaptarea procedurilor interne de lucru, digitalizarea arhivelor) si front-office pentru serviciile publice furnizate.</t>
  </si>
  <si>
    <t>AA1 din 21.06.2019</t>
  </si>
  <si>
    <t>Municipiul Orăștie</t>
  </si>
  <si>
    <t>Orăștie</t>
  </si>
  <si>
    <t>Soluții informatice integrate pentru simplificarea procedurilor administrative și reducerea birocrației la nivelul Municipiului Orăștie</t>
  </si>
  <si>
    <t>Obiectivul general al proiectului consta in consolidarea capacitații instituționale și eficientizarea activității la nivelul Municipiului Orastie prin simplificarea procedurilor administrative și reducerea birocrației pentru cetățeni, implementând măsuri din perspectiva back-office (adaptarea procedurilor interne de lucru, digitalizarea arhivelor) și front-office pentru serviciile publice furnizate.</t>
  </si>
  <si>
    <t>Servicii publice de calitate la nivelul Judetului Bacau</t>
  </si>
  <si>
    <t xml:space="preserve">Optimizarea proceselor orientate catre beneficiari prin introducerea de sisteme si standarde la nivelul UAT Judetul Bacau, in conformitate cu SCAP
OS1. Implementarea unor măsuri de reducere a birocratiei pentru cetăţeni, în corespondenţă cu Planul integrat pentru simplificarea procedurilor administrative aplicabile cetăţenilor, atât din perspectivă back-office (extinderea sistemului de management al documentelor, digitalizarea arhivelor), cât şi front-office (portal web de servicii)
OS2. Dezvoltarea cunoştinţelor şi abilităţilor personalului din cadrul Consiliului Judetean Bacau, în vederea sprijinirii măsurilor vizate de proiect. Este avută în vedere instruirea, evaluarea şi certificarea competenţelor si cunoştinţelor dobândite pentru 71 de persoane din cadrul grupului ţintă, în ceea ce priveşte exploatarea si administrarea sistemelor implementate.
</t>
  </si>
  <si>
    <t>Obiectivul general: Dezvoltarea si introducerea de sisteme si standarde comune în sistemul public de sanatate ce optimizeaza procesele decizionale - reprezentate de reglementari (acte normative, procedure, norme metodologice etc.) precum si a procesului de initiere,
adoptare,implementare si evaluare a acestora - orientate catre cetaþeni si mediul de afaceri în concordanþa cu SCAP
Obiectivele specifice:
1. OBS 1. Crearea unui cadru specific privind stabilirea si implementarea acþiunilor necesare consolidarii cadrului legislative in
domeniul sanatatii avand la baza imbunataþirea politicilor publice si cresterea calitaþii reglementarilor in domeniul sanatatii
2. OBS 2. Crearea unui set de reglementari legislative care sa conduca la simplificarea procedurilor administrative si reducerea
birocraþiei in domeniul sanatatii, proceduri care afecteaza atat cetaþeni precum si mediul de afaceri.
3. OBS 3. Dezvoltarea abilitaþilor si cunostinþelor unui numar de numar de 150 persoane, personal al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t>
  </si>
  <si>
    <t>Soluții informatice integrate pentru simplificarea procedurilor administrative și reducerea birocrației la nivelul Municipiului</t>
  </si>
  <si>
    <t>Municipiul Urziceni</t>
  </si>
  <si>
    <t>Obiectivul general al proiectului consta in consolidarea capacitaþii instituþionale si eficientizarea activitaþii la nivelul Municipiului Urziceni prin simplificarea procedurilor administrative si reducerea birocraþiei pentru cetaþeni, implementând masuri din perspectiva back-office (adaptarea procedurilor interne de lucru, digitalizarea arhivelor) si front-office pentru serviciile publice furnizate.                                 OS1. Simplificarea furnizarii serviciilor catre cetaþeni prin implementarea unei platforme integrate de servicii electronice care va
furniza digital fluxurile de lucru de baza din cadrul instituþiei, reducând astfel întârzierile în procesul decizional cu impact asupra
activitaþilor operative si va asigura accesul online la serviciile publice gestionate de UAT.
2. OS2. Îmbunataþirea abilitaþilor si cunostinþelor personalului UAT în domeniul utilizarii sistemelor informatice dezvoltate prin proiect</t>
  </si>
  <si>
    <t>Municipiul Huși</t>
  </si>
  <si>
    <t>Îmbunătățirea capacității instituționale și reducerea birocrației pentru cetățenii din Municipiul Toplița</t>
  </si>
  <si>
    <t>Toplita</t>
  </si>
  <si>
    <t>Mecanisme si instrumente implementate la nivelul S1MB pentru fundamentarea deciziilor si planificarii
strategice pe termen lung</t>
  </si>
  <si>
    <t>N.A.</t>
  </si>
  <si>
    <t>Obiectiv general: Cresterea calitatii procesului decizional la nivelul Primariei Sectorului 1, Bucuresti, prin implementarea unor instrumente de management strategic institutional care sa sustina planificarea strategica si fundamentarea politicilor publice, respectiv evaluarea indicatorilor de performanta a politicilor publice adoptate.
OS1 - Dezvoltarea si implementarea unor mecanisme si instrumente de management strategic instituþional care sa sustina planificarea si fundamentarea politicilor publice la nivelul Primariei SectORULUI1.
OS2 - Dezvoltarea unor instrumente de monitorizare si raportare a indicatorilor de performanta privind implementarea politicilor publice, cat si a obiectivelor strategice stabilite la nivelul Primariei Sectorului 1, corborate cu instrumente IT de management strategic, care vor permite cresterea calitaþii si performantei actului administrativ, a transparenþei, eficienþei si eficacitaþii în utilizarea fondurilor publice.
OS3 - Modernizarea sistemului de management al documentelor din Primaria Sectorului 1, prin implementarea unei aplicatii informatice care sa sustina digitalizarea proceselor de inregistrare si arhivare a documentelor.</t>
  </si>
  <si>
    <t>Management al performantei in cadrul Primariei Sectorului 2</t>
  </si>
  <si>
    <t>OS1. Implementarea si utilizarea instrumentului de auto-evaluare CAF la nivelul PS2, cu scopul cresterii performanþei administraþiei publice locale, precum si pentru îmbunataþirea continua a serviciilor publice oferite                                                                                                                                                                       OS2. Dezvoltarea/cresterea abilitatilor si certificarea unui numar de 30 de persoane din toate nivelurile ierarhice din cadrul Primariei Sectorului 2 (Formarea/Instruirea specifica a 20 de angajaþi din cadrul PS2, în vederea utilizarii instrumentului CAF                                                                                     OS3. Diseminarea rezultatelor proiectului la nivelul instituþiilor aflate sub autoritatea Consiliul Local al Sectorului 2, prin instruirea
a 10 angajaþi din cadrul personalului acestor instituþii, cu privire la monitorizarea Sistemului de Management al instituþiei cu
ajutorul instrumentului CAF</t>
  </si>
  <si>
    <t>Servicii publice performante furnizate cetatenilor din Municipiul Caransebes</t>
  </si>
  <si>
    <t xml:space="preserve">Obiectivul general: Imbunatatirea planificarii strategice, simplificarea procedurilor administrative si reducerea birocratiei pentru cetateni, prin dezvoltarea si implementarea urmatoarelor masuri : elaborarea si implementarea unei strategii de dezvoltare in plan local, o solutie informatica integrata, cat si dezvoltarea cunostintelor personalului de la nivelul UAT Mun.Caransebes in scopul implementarii si utilizarii optime a masurilor realizate in proiect.
OS1. Dezvoltarea si implementarea unei solutii informatice integrate care sa sustina simplificarea procedurilor administrative si reducerea birocratiei pentru cetatenii Municipiului Caransebes, atat din perpectiva back-office cat si front-office, in scopul furnizarii unor servicii publice gestionate in mod eficient la nivelul UAT-ului si performante.
OS 2. Imbunatatirea procesului de planificare strategica la nivelul UAT Mun. Caransebes prin elaborarea si implementarea unei Strategii de Dezvoltare Locale a Municipiului Caransebes aferenta perioadei 2021-2027.
OS 3. Dezvoltarea cunostintelor si abilitaþilor personalului din UAT Mun. Caransebes, pe teme specifice de interes
</t>
  </si>
  <si>
    <t>Simplificare administrativă și optimizarea serviciilor pentru cetățeni în județul Prahova</t>
  </si>
  <si>
    <t>Obiectiv general: Optimizarea proceselor orientate catre cetateni, in concordanta cu Strategia pentru Consolidarea Administratiei Publice, respectiv,
cresterea calitatii procesului decizional la nivelul administratiri publice locale, pentru a raspunde in mod fundamentat si coerent nevoilor
comunitatii locale. Acest lucru se va realiza prin eficientizarea proceselor orientate catre cetateni si entitati juridice, prin realizarea unei platforme de furnizare online a serviciilor specifice CJ Prahova, introducerea serviciilor on-line, digitalizarea proceselor de administrare a documentelor prin introducerea acestora in arhiva si retro-digitalizarea documentelor din arhiva, în concordanta cu Strategia pentru Consolidarea Administratiei Publice.                                                                      OS1. Implementarea de masuri de simplificare pentru cetateni dar si pentru Beneficiar atat din perspectiva back-office cat si front-office
prin implementarea unui set de servicii on-line (furnizate exclusiv de catre Beneficiar) bazate pe o platforma de gestionare a
proceselor de administrare a documentelor, digitizarea si retro-digitalizarea documentelor din arhiva de interes pentru cetateni
sau entitatilor juridice din cadrul UAT-ului, respectiv furnizarea online a serviciilor gestionate exclusiv de catre CJ Prahova
OS2. Imbunatatirea competentelor si cunostintelor privind utilizarea procedurilor simplificate referitor la furnizarea de servicii on-line si
digitizarea documentelor pentru 30 persoane - personal de conducere si de executie din cadrul aparatului de specialitate al CJ Prahova.</t>
  </si>
  <si>
    <t>AA 2/08.07.2019 prel. 16 L</t>
  </si>
  <si>
    <t>Consolidarea capacitatii Consiliului Judetean Bistriþa-Nasaud de a asigura calitatea si accesul la serviciile publice oferite exclusiv de
instituþie prin simplificarea procedurilor administraþiei locale si reducerea birocrației.
Obiectivele specifice ale proiectului
 1. Implementarea unor masuri de simplificare pentru cetaþeni si firme,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Consiliului Judetean Bistrita-Nasaud, în vederea sprijinirii
masurilor vizate de proiect. Este avuta în vedere formarea/instruirea, evaluarea/testarea si certificarea
competenþelor/cunostinþelor dobândite pentru 100 de persoane din cadrul grupului þinta, în ceea ce priveste planificarea
strategica. Obiectivul general al serviciilor de instruire îl constituie familiarizarea persoanelor din grupul þinta cu implicaþiile
conceptului de planificarea strategica;
3. Elaborarea criteriilor de prioritizare a investitiilor in sectoarele: sanatate, asistenta sociala, infrastructura de mediu si transport
pentru realizarea bugetului Consiliului Judetean Bistrita-Nasaud aferent anului 2021.</t>
  </si>
  <si>
    <t>RAISE: Retro-Digitalizarea Arhivei si
Informatizarea Serviciilor Electronice la
Consiliul Judetean Bistrița-Nasaud</t>
  </si>
  <si>
    <t>Județul Bistrița Năsăud</t>
  </si>
  <si>
    <t>Implementarea unor masuri de simplificare a serviciilor pentru cetateni la nivelul Consiliului Judetean Mures</t>
  </si>
  <si>
    <t>Județul Mureș</t>
  </si>
  <si>
    <t>Consolidarea capacitații Consiliului Judetean Mures de a asigura calitatea si accesul la serviciile publice oferite prin simplificarea
procedurilor administrative si reducerea birocraþiei pentru cetațeni.</t>
  </si>
  <si>
    <t>AA 1/08.07.2019</t>
  </si>
  <si>
    <t>Soluții informatice integrate pentru simplificarea furnizării serviciilor către cetățeni si mediul de afaceri și optimizarea procedurilor administrative la nivelul Municipiului Râmnicu-Sărat</t>
  </si>
  <si>
    <t>Consolidarea capacitații instituþionale a Primariei Municipiului Râmnicu-Sarat în vederea optimizarii proceselor administrative ale primariei si adoptarii unor masuri de simplificare a furnizarii serviciilor catre cetațeni si mediul de afaceri, prin implementarea unor sisteme informatice inovative.</t>
  </si>
  <si>
    <t>Municipiul Dej</t>
  </si>
  <si>
    <t>IP 11/2018</t>
  </si>
  <si>
    <t>Sprijin în implementarea SNAP prin consolidarea capacitații administrative a ANAP și a autoritaților contractante</t>
  </si>
  <si>
    <t>Institutul Național de Administrație</t>
  </si>
  <si>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</si>
  <si>
    <t xml:space="preserve">Oradea </t>
  </si>
  <si>
    <t>Obiectivul general al proiectului consta in consolidarea capacitaþii instituþionale si eficientizarea activitaþii la nivelul Municipiului Oradea prin simplificarea procedurilor administrative si reducerea birocraþiei pentru cetaþeni, implementând masuri din perspectiva back-office
(adaptarea procedurilor interne de lucru, digitalizarea arhivelor) si front-office pentru serviciile publice furnizate.
Obiective specifice:
OS 1 - Implementarea unor masuri de simplificare pentru cetaþeni, in corespondenta cu Planul integrat pentru simplificarea procedurilor
administrative aplicabile cetaþenilor din perspectiva front-office, dar si back-office prin dezvoltarea si adaptarea aplicaþilor existente si introducerea unor soluþii aplicative noi (arhivare electronica, captura documente, fluxuri de lucru si management arhiva fizica de documente) care vor furniza digital fluxurile de lucru de baza din cadrul instituþiei,
OS 2 - Dezvoltarea cunostinþelor si abilitaþilor personalului din cadrul Municipiului Oradea, in vederea sprijinirii masurilor vizate de
proiect.</t>
  </si>
  <si>
    <t>Solutii informatice integrate pentru simplificarea procedurilor administrative si reducerea birocratiei la nivelul Municipiului Oradea</t>
  </si>
  <si>
    <t>Planificare strategica si decizionala la nivelul Unității Administrativ Teritoriale Județul Ilfov – garanția unui cadru administrativ coerent în beneficiul comunității</t>
  </si>
  <si>
    <t>1. Dezvoltarea si implementarea unor mecanisme si proceduri standard pe baza unei metodologii fundamentate pe analiza ex-post
a procesului decizional si a planificarii strategice la nivelul UAT-Judeþul Ilfov în perioada 2014-2018
2. Dezvoltarea si implementarea unui program de formare având ca obiect planificarea strategica si fundamentarea deciziilor în
vederea întaririi capacitaþii a 80 de angajaþi (demnitari, consilieri, personal de conducere si execuþie) ai UAT – Judeþul Ilfov.</t>
  </si>
  <si>
    <t>Resurse Integrate pentru o Dezvoltare Locală Sustenabilă</t>
  </si>
  <si>
    <t>Municipiul Mediaș</t>
  </si>
  <si>
    <t>Consolidarea capacitaþii de implementare si evaluare a strategiilor/politicilor publice pe care le
coordoneaza OSIM si ME</t>
  </si>
  <si>
    <t>OFICIUL DE STAT PENTRU INVENTII SI MARCI</t>
  </si>
  <si>
    <t>Obiectiv general: Consolidarea capacitatii Oficiului de Stat pentru Inventii si Marci si a Ministerului Economiei in vederea elaborarii, implementarii si evaluarii strategiilor si politicilor publice in domeniul proprietatii industriale.                                                                                                                1. Sprijinirea Oficiului de Stat pentru Inventii si Marci si Ministerul Economiei in vederea elaborarii si implementarii unei Strategii
nationale in domeniul proprietatii industriale.
2. Facilitarea accesului solicitantilor/utilizatorilor la serviciile OSIM prin dezvoltarea si implementarea unei aplicaþii integrate software.
3. Dezvoltarea competentelor angajatilor Oficiului de Stat pentru Inventii si Marci si ai Ministerului Economiei in domeniul politicilor
publice.</t>
  </si>
  <si>
    <t>Consolidarea capacității autorităților administrației publice centrale de a optimiza procese de gestionare a organizării și desfășurării în România a evenimentelor sportive majore</t>
  </si>
  <si>
    <t>1. Școala Națională de Studii Politice și Administrative
2. Federația Română de Fotbal</t>
  </si>
  <si>
    <t>Obiectivul general al proiectului consta in consolidarea capacitatii MAI prin dezvoltarea de instrumente de coordonare, eficientizare si
crestere a calitatii serviciului de ordine si siguranta publica, precum si a gestionarii interventiilor în situatiile de urgenta si prim-ajutor calificat în organizarea si desfasurarea evenimentelor sportive majore în România.
OS1. Eficientizarea activitatii in cadrul MAI si aplicarea sistemului bazat pe dovezi prin:
- Elaborarea unui document strategic privind gestionarea evenimentelor sportive majore desfasurate în România;
- Elaborarea unui Plan de actiuni pentru organizarea si desfasurarea în România a evenimentului sportiv UEFA EURO 2020;
- Elaborarea unui plan de masuri privind pregatirea continua a actorilor cheie implicati în gestionarea evenimentelor sportive
majore organizate în România;
OS.2. Simplificarea si sistematizarea fondului activ al legislatiei din domeniul ordinii si sigurantei publice si a interventiilor in situatii
de urgenta si prim ajutor prin elaborarea unei propuneri de revizuire a Cadrului legislativ si a unui ghid de procedure pentru furnizarea serviciilor.
OS.3. Imbunatatirea nivelului de cunostinte si abilitati ale personalului din cadrul MAI si a structurilor aflate in subordonare/coordonare, asimilarea de bune practice din contextul international al organizarii de evenimente sportive majore.</t>
  </si>
  <si>
    <t>AA 1/16.07.2019 prel 8 L</t>
  </si>
  <si>
    <t>O administratie in slujba cetateanului</t>
  </si>
  <si>
    <t xml:space="preserve">Obiectivul general al proiectului/Scopul proiectului
Consolidarea capacității instituționale, a calitatii si eficientei serviciilor publice furnizate la nivelul Municipiului Brăila prin investiții integrate și complementare conform reglementărilor europene și naționale (planificare strategică instituțională aferent anilor 2020 - 2021, elaborarea Strategiei de Dezvoltare a Municipiului Brăila pentru un nou orizont de timp și implementarea unui sistem informatic personalizat pentru optimizarea serviciilor administratiei locale).
Prin elaborarea Planului strategic instituțional, implementarea unei platforme integrate pentru servicii electronice, pregatirea a circa 95 de persoane pentru o administratie performanta si eficienta la nivel local, proiectul contribuie la realizarea obiectivului general POCA 2014¬2020 și susține Axa prioritara 2 POCA: „Administrație publica și sistem judiciar accesibile și transparente”, Obiectivul Specific 2.1. Pe termen lung implementarea unor proceduri standard specifice și simplificate pentru reducerea birocrației, contribuie la dezvoltarea unei culturii a calitatii in administratia publica, la crearea unei administratii locale performante, capabile sa ofere servicii performante si sa genereze dezvoltare socio-economica la nivelul comunitatii.
Proiectul susține Axa prioritara 2 POCA: „Administrație publica și sistem judiciar accesibile și transparente”, deoarece prin activitațile sale, Activitatea 3 (acțiuni de planificare strategica și financiară - elaborare Strategie de dezvoltare a Municipiului Brăila, elaborare Plan strategic instituțional), Activitatea 4 (dezvoltarea unui sistem integrat pentru administratia publica facil atât pentru operatorii interni, cât pentru cetățeni prin intermediul unei interfețe prietenoase cu toate categoriile de utilizatori) și Activitatea 5 (instruire specifica a personalului) se urmarește imbunatatirea procesului decizional si consolidarea autonomiei publice locale.
Simplificarea administrativă și optimizarea serviciilor online furnizate către cetățeni, la nivelul Primăriei Municipiului Urziceni, contribuie astfel la îndeplinirea obiectivului specific 2.1 al POCA "Introducerea de sisteme și standarde comune în administrația publica locala ce optimizează procesele orientate catre beneficiari în concordanță cu SCAP". Implementarea acestui proiect va avea ca efect imbunatatirea proceselor interne ale institutiei și serviciile furnizate către cetățeni/mediu de afaceri, contribuind la atingerea obiectivelor Strategiei pentru consolidarea administratiei publice 2014-2020 (SCAP) - II.3, II.4 și II.5, III.1 și III.2.
Obiectivul general al proiectului este în concordanță cu Obiectivul tematic 11 din Politica de coeziune 2014 - 2020 (OT 11 Consolidarea capacității instituționale a autorităților publice și a părților interesate și eficiența administrației publice), abordând provocarea 5 Administrația și guvernarea și provocarea 2 Oamenii și societatea din Acordul de Parteneriat al României, prin acțiuni specifice derulate la nivelul UAT Municipiul Brăila.
Proiectul contribuie la atingerea scopului din Ghidul Solicitantului POCA pentru Cererea de proiecte CP12/2018: cererea cuprinde acțiunile prevăzute și care au fost transpuse în activități conform Ghidului: sprijiin pentru îmbunătățirea procesului decizional și a planificării strategice prin Activitatea 3, măsuri de simplificare a birocrației prin Activitatea 4 și dezvoltarea abilităților a circa 95 persoane din cadrul UAT, prin programe de formare specifice (Activitatea 5).
Realizarea obiectivelor specifice menționate vor conduce la îndeplinirea obiectivului general al proiectului. Obiectivele specifice menționate sunt îndeplinite prin atingerea Rezultatelor POCA ale proiectului, respectiv R1 - proceduri standard implementate și planificare strategică (îndeplinite prin OS1); R3 - o platforma integrata de servicii electronice pentru cetateni si pentru mediul de afaceri
- atinge obiectivul OS2 si R5 atinge obiectivul specific OS 3: circa 95 persoane certificate (personal de executie, de conducere si alesi locali) din instituția beneficiarului, prin implementarea activitaților descrise.
Activitățile prevăzute in cadrul acestuia contribuie semnificativ la atingerea obiectivelor programului si ai indicatorilor de realizare si rezultat, în conformitate cu specificațiile din Ghidul Solicitantului pentru CP 12/2018 și corelate cu ”Planul integrat pentru simplificarea procedurilor adminsitrative aplicabile cetățenilor”, ”Ghid pentru planificarea și fundamentarea procesului decizional din administrația publică locală”:
- Elaborarea Strategiei Municipiului și a Planului strategic instituțional contribuie la atingerea indicatorului de rezultat 5S18 și a indicatorului
- Crearea si adaptarea unei platforme integrate de servicii electronice pentru cetateni si pentru mediul de afaceri - contribuie la atingerea indicatorilor POCA - 5S20 indicatorul de rezultat și 5S59 indicatorul de realizare prin realizarea Activității 4.
- Participarea la activitati de instruire specifică și certificarea a 95 persoane din diferite departamente, servicii, aleși locali contribuie la atingerea indicatorilor POCA - 5S23 indicator de rezultat și 5S62 indicatorul de realizare prin realizarea Activității 5.
planificării strategice și execuției bugetare; ale, să ofere cetățenilor servicii eficiente care duc la un grad ridicat de satisfacere a nevoilor cetățenilor sau a consumatorilor de servicii publice, dar si din motive externe, cum ar fi alinierea la prioritățile documentelor strategice de la nivel national.
Obiectivele specifice ale proiectului
1. OS 1: Implementarea unor mecanisme si proceduri standard (actualizare Strategie de dezvoltare a Municipiului, elaborare Plan strategic instituțional 2020 - 2021) pentru a crește eficiența acțiunilor adimintrative la nivelul Municipiului Brăila. OS 1 se va îndeplini prin Activitatea 3 și va conduce la atingerea rezultatului de program POCA R1.
2. OS 2. Măsuri de simplificare a procedurilor administrative și reducerea birocrației prin crearea și dezvoltarea unui sistem elecronic integrat pentru administratia publica facil atât pentru operatorii interni, cât și pentru cetățeni prin intermediul unei interfețe prietenoase cu toate categoriile de utilizatori informatice la nivelul Municipiului Brăila. OS 2 se va îndeplini prin Activitatea 4 și va conduce la atingerea rezultatului de program POCA R3.
3. OS 3. Imbunatatirea competentelor profesionale a 95 persoane din toate nivelurile ierarhice (personal de conducere, de execuție, aleși locali) din cadrul UAT Municipiul Brăila pe teme specifice programului. OS 3 se va îndeplini prin Activitatea 5 și va conduce la atingerea rezultatului R5.
Rezultate așteptate
Detalii rezultat - Componenta 1
1. 1. Rezultat program 1 Mecanisme și proceduri standard implementate la nivel local pentru fundamentarea deciziilor și
planificarea strategică pe termen lung; - atins prin Rezultat de proiect 1 - 1 Plan Strategic instituțional aferent anilor 2020 - 2021 elaborat 
2. 2. Rezultat program 1 Mecanisme și proceduri standard implementate la nivel local pentru fundamentarea deciziilor și
planificarea strategică pe termen lung; - atins prin Rezultat de proiect 2- 1 Strategie de dezvoltare a UAT Municipiul Brăila elaborată
3. 3. Rezultat program 3 Proceduri simplificate pentru reducerea birocrației pentru cetățeni la nivel local corelate cu Planul
integrat de simplificare a procedurilor administrative pentru cetățeni implementate - Rezultat proiect 3 - 1 sistem informatic integrat, flexibil, modular care să răspundă cerințelor cetățenilor, mediului de afaceri și pentru administrația internă, implementat atât din perspectivă back-office, cât și front-office.
4. 4. Rezultat program 5: Cunoștințe si abilitați ale personalului din autoritățile si instituțiile publice locale îmbunătățite, în
vederea sprijinirii masurilor/ acțiunilor vizate de acest obiectiv specific - Rezultat proiect 4 - 95 persoane instruite și certificate pe teme specifice administrației publice locale, de interes (ex. planificare strategică, planificare bugetară, politici locale, fundamentare, elaborare, implementare, monitorizare și evaluare a deciziilor la nivelul administrației publice locale, etc).
</t>
  </si>
  <si>
    <t>IP15/2019
(MySMIS: 
POCA/ 535/1/2 )</t>
  </si>
  <si>
    <t>SERVICIUL DE PROTECŢIE ŞI PAZĂ - U.M. 0149 BUCUREŞTI</t>
  </si>
  <si>
    <t>POLISE - Implementarea de politici și instrumente moderne pentru selectia si evaluarea resurselor umane în Serviciul de Protecție si Pază</t>
  </si>
  <si>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</si>
  <si>
    <t xml:space="preserve">AP1/11i /1.1 </t>
  </si>
  <si>
    <t>Consolidarea capacității ISC de a-și exercita competențele într-un mod unitar, eficient și eficace</t>
  </si>
  <si>
    <t>Inspectoratul de Stat în Construcții</t>
  </si>
  <si>
    <t>Cresterea capacitatii administrative a Municipiului Constanta prin introducerea si mentinerea
sistemului de management al calitatii ISO 9001</t>
  </si>
  <si>
    <t>APLICAT - Administratie Publica Locala Informatizata, Calitativa si Accesibila Tuturor la Suceava</t>
  </si>
  <si>
    <t>Municipiul Suceava</t>
  </si>
  <si>
    <t xml:space="preserve">1. Implementarea unor masuri de simplificare a procedurilor administrative pentru cetaþeni,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Primariei Municipiului Suceava, în vederea sprijinirii masurilor vizate
de proiect.
</t>
  </si>
  <si>
    <t>A.N.A.N.P.-Pilon strategic în dezvoltarea comunitaþiilor locale si a mediului de afaceri prin
consolidarea capacitaþii administrative în ariile naturale protejate din România</t>
  </si>
  <si>
    <t>IP 10/2018 (MySMIS: 
POCA/354/1/3/)</t>
  </si>
  <si>
    <t>Ghidul specializărilor expertizei tehnice judiciare</t>
  </si>
  <si>
    <t>PARCHETUL DE PE LINGA INALTA CURTE DE CASATIE SI JUSTITIE      / TRIBUNALUL BUCURESTI</t>
  </si>
  <si>
    <t>Obiectivul general urmărit prin proiect vizează eficientizarea justiției ca serviciu public și îmbunătățirea calității actului de justiție prin elaborarea și implementarea unui instrument standard de management la nivelul sistemului judiciar aplicabil activității de expertiză tehnică judiciară.</t>
  </si>
  <si>
    <t>Obiectivul general al proiectului este acela de a eficientiza managmentul ariilor naturale protejate si de a sprijini dezvoltarea durabila, bazata pe valorile biodiversității, în folosul cetățenilor si a mediului de afaceri.                                                                                                                              1. Îmbunatățirea accesului la informații despre ariile naturale protejate, prin dezvoltarea unui sistem de colectare, uniformizare si
gestionare a informațiilor, a unei bazei de date geospațiale si a unui mecanism pentru promovarea valorificarii durabile a
potențialului economic;
2. Eficientizarea proceselor administrative ale ANANP, prin implementarea unei platforme integrate;
3. Utilizarea optima a instrumentelor si mecanismelor elaborate si dezvoltate în cadrul proiectului prin instruirea grupului þinta.</t>
  </si>
  <si>
    <t>AA 1/22.07.2019</t>
  </si>
  <si>
    <t>AA1/ 24.07.2019</t>
  </si>
  <si>
    <t>AA2/29.07.2019</t>
  </si>
  <si>
    <t>Cod SIPOCA</t>
  </si>
  <si>
    <t>Planificare strategica si simplificarea procedurilor administrative la nivelul Municipiului Tarnaveni</t>
  </si>
  <si>
    <t>MURES</t>
  </si>
  <si>
    <t xml:space="preserve">Municipiul Tarnaveni </t>
  </si>
  <si>
    <t xml:space="preserve">Obiectivul general al proiectului/Scopul proiectului
Obiective proiect OBIECTIVUL GENERAL AL PROIECTULUI - Promovarea accesului egal la masuri integrate de educatie, ocupare, antreprenoriat, servicii sociale, acte, locuire, antidiscriminare pentru persoanele din zone urbane marginalizate din municipiul Tarnaveni, judeul Mures, aflate în risc de saracie si excluziune sociala din comunitaile marginalizate în care exista populaie aparinând minoritaii rome.
Strategia de implementare a proiectului are 4 COMPONENTE interconectate si clare, care sunt alocate partenerilor in functie de responsabilitatile acestora bazate pe experienta si expertiza specifica si care vizeaza o corelare comprehensiva in acordarea pachetului integrat de servcii si rezultate pentru grupul tinta propus in proiect. Cele 4 componente interconectate sunt urmatoarele: COMPONENTA 1 - servicii socio-medicale, acte, locuire; COMPONENTA 2 - ocupare si antreprenoriat; COMPONENTA 3 - educatie; COMPONENTA 4 - campanie antidiscriminare.
Obiectivele specifice ale proiectului
1. Obiectiv 1 - Acordarea si dezvoltarea de servicii socio-medicale, acordarea sprijinului in obtinerea de acte de proprietate si identitate, imbunatatirea conditiilor de locuire, realizarea unei campanii de antidiscriminare pentru persoanele din municipiul Tarnaveni, judeul Mures aflate în risc de saracie si excluziune sociala din comunitaile marginalizate în care exista populaie aparinând minoritaii rome.
2. Obiectiv 2 - Dezvoltarea deprinderilor pentru accesarea de locuri de munca pentru 376 de persoane din municipiul Tarnaveni, judeul Mures aflate în risc de saracie si excluziune sociala din comunitaile marginalizate în care exista populaie aparinând minoritaii rome.
3. Obiectiv 3 - Sprijinirea cresterii calitatii actului educational pentru 120 de copii prescolari si scolari si 40 de tineri si adulti din cadrul persoanelor din municipiul Tarnaveni, judeul Mures aflate în risc de saracie si excluziune sociala din comunitaile
marginalizate în care exista populaie aparinând minoritaii rome.
</t>
  </si>
  <si>
    <t>AA1/26.07.2019</t>
  </si>
  <si>
    <t>România durabilă - Dezvoltarea cadrului strategic și instituțional pentru implementarea Strategiei Naționale pentru Dezvoltarea Durabilă a României 2030</t>
  </si>
  <si>
    <t>1. Institutul Național de Statistică
2. Asociația Regională pentru Dezvoltare Antreprenorială Oltenia (ARDA OLTENIA)</t>
  </si>
  <si>
    <t>Obiective proiect
Implementarea SNDD 2030 prin asigurarea cadrului adecvat de implementare, cresterea capacitatii institutionale a autoritatilor centrale, eficientizarea comunicarii si colaborarii interinstitutionale, asigurarea consistentei implementarii prin monitorizarea progresului si prezentarea tendintelor de dezvoltare ale Romaniei, permitand decizii publice bazate pe dovezi in maniera proiectiva, anticipand evolutii si riscuri sistematice.
Obiectivele specifice ale proiectului
1. Operationalizarea cadrului strategic existent in domeniul dezvoltarii durabile prin elaborarea planului de actiune pentru implementarea Strategiei Naþtonale pentru Dezvoltarea Durabila a României 2030 (SNDD), de catre Departamentul pentru Dezvoltare Durabila al Guvernului României
2. Realizarea unui mecanism de monitorizare si raportare a implementarii SNDD, prin extinderea si valorificarea rezultatelor,
experientei si functionalitatii sistemului informatic agregator de date statistice elaborat in cadrul proiectului ”Starea Națiunii –
construirea unui instrument inovator pentru fundamentarea politicilor publice” (SIPOCA 11), cod SMIS 118963, gestionat de Directia pentru Strategii Guvernamentale din cadrul Secretariatului General al Guvernului Romaniei, si realizarea corespondentei cu indicatorii pe care Institutul National de Statistica si alte institutii publice relevante ii colecteaza, centralizeaza si agrega.
3. Crearea cadrului institutional adecvat pentru implementarea si monitorizarea SNDD prin infiintarea de nuclee de dezvoltare
durabila in cadrul autoritatilor publice centrale si locale, formarea profesionala in domeniul dezvoltarii durabile a personalului din
cadrul acestora, si dezvoltarea capacitatii institutionale a Departamentului pentru Dezvoltare Durabila al Guvernului Romaniei, in
vederea indeplinirii functiilor de planificare strategica in domeniul dezvoltarii durabile, de coordonare a activitatilor de implementare rezultate din setul de 17 Obiective de Dezvoltare Durabila ale Agendei 2030 si de monitorizare a indicatorilor dezvoltarii durabile, functii stabilite prin Hotararea Guvernului nr. 313/2017 privind infiintarea, organizarea si functionarea Departamentului pentru dezvoltare durabila, cu modificarile si completarile ulterioare.</t>
  </si>
  <si>
    <t>AA1/31.07.2019</t>
  </si>
  <si>
    <t>PROGRES în asigurarea tranziþiei de la îngrijirea în instituþii la îngrijirea în comunitate</t>
  </si>
  <si>
    <t>Consolidarea capacității administrative a Ministerului Energiei prin implementarea instrumentului CAF și a Sistemului de Management al Calității SR EN IS0 9001:2015</t>
  </si>
  <si>
    <t>Obiectivul general al proiectului consta în cresterea capacitaþii administrative la nivelul Ministerului Energiei prin dezvoltarea si
implementarea unui sistem unitar de management al calitaþii si performanþei – Standardul ISO 9001: 2015 si instrumentul CAF, inclusiv
dezvoltarea componentelor sistemului de management al Ministerului Energiei, astfel încât acesta sa faca faþa principiilor si cerinþelor SR
RO ISO 9001:2015, precum si îmbunataþirea competenþelor personalului în desfasurarea activitaþilor specifice managementului calitaþii.</t>
  </si>
  <si>
    <t>Soluții informatice integrate pentru simplificarea procedurilor administrative si reducerea birocrației la nivelul municipiului Onești</t>
  </si>
  <si>
    <t>Municipiul Onești</t>
  </si>
  <si>
    <t>Onești</t>
  </si>
  <si>
    <t>Obiectivul general al proiectului consta in consolidarea capacitaþii instituþionale si eficientizarea activitaþii la nivelul Municipiului Onesti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cetațeni, in corespondenta cu Planul integrat pentru simplificarea procedurilor administrative aplicabile cetaþenilor din perspectiva front-office, dar si back-office prin achiziția si implementarea unei platforme integrate (portal web, arhivare electronica, captura documente, fluxuri de lucru cu documente, registratura electronica si management arhiva fizica de documente) care va furniza digital fluxurile de lucru de baza din cadrul instituției, în scopul eficientizarii procesarii documentelor, evitarii întreruperilor ce pot aparea în fluxurile informaþionale ale instituției, reducând astfel întârzierile în procesul decizional cu impact asupra activitaþilor operative si va asigura accesul online la serviciile publice gestionate de Municipiul Onesti si retro-digitalizarea unui numar de cca. 20.000 dosare aflate in arhiva clasica si cu valoare operaționala prezenta pentru a facilita rezolvarea cererilor cetațenilor în curs de soluționare.
OS2. Dezvoltarea cunostinþelor si abilitaþilor personalului din cadrul Municipiului Onesti,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t>
  </si>
  <si>
    <t>Îmbunatațirea capacitații autoritații publice centrale în domeniul managementului apelor în ceea ce
priveste planificarea, implementarea si raportarea cerințelor europene din domeniul apelor</t>
  </si>
  <si>
    <t xml:space="preserve">ADMINISTRATIA NATIONALA "APELE ROMANE" </t>
  </si>
  <si>
    <t>1. Elaborarea si/sau reactualizarea procedurilor si metodologiilor privind planificarea strategica legata de conformarea cu cerinþele
Directivei 91/271/CEE privind epurarea apelor uzate urbane si optimizarea bugetarii programelor dedicate realizarii
infrastructurii specifice în vederea realizarii conformarii în cel mai scurt timpul posibil
2. Elaborarea si promovarea unui proiect de act normativ (lege) pentru definirea obligaþiilor si responsabilitaþilor legate de colectarea
si epurarea apelor uzate urbane
3. Reactualizarea Planului de implementare al Directivei 91/271/CEE privind epurarea apelor uzate urbane prin luarea în
considerare a modificarilor în marimea si distribuþia populaþiei echivalente care a avut loc în perioada 2004-2017.
4. Elaborarea unei Strategii naþionale privind alimentarea cu apa, colectarea si epurarea apelor uzate urbane si revizuirea
reglementarilor în vederea cresterii eficienþei în aplicarea legislaþiei specifice, a reducerii costurilor de implementare si a realizarii
unei sinergii cu implementarea altor directive din domeniul apei respectiv Directiva Nitraþi, Directivei Cadru Apa si Directiva
Cadru Strategia Marina.
5. Dezvoltarea si implementarea, la nivelul Administraþiei Naþionale ”Apele Române”, a unui sistem si a procedurilor si mecanismelor
pentru coordonarea si consultarea cu factorii interesaþi privind implementarea, monitorizarea si evaluarea politicilor si strategiilor
din domeniul alimentarii cu apa, canalizarii si epurarii apelor uzate urbane.
6. Dezvoltarea abilitaþilor si competenþelor personalului din cadrul Ministerului Apelor si Padurilor si al Administraþiei Naþionale
”Apele Române” în vederea coordonarii interinstituþionale si eficientizarea proceselor, masurilor, acþiunilor stabilite pentru
îmbunataþirea alimentarii cu apa, canalizarii si epurarii apelor uzate</t>
  </si>
  <si>
    <t>Dezvoltarea capacității administrative a MCI de implementare a unor acțiuni stabilite în Strategia Națională de Cercetare, Dezvoltare tehnologică și Inovare 2014-2020</t>
  </si>
  <si>
    <t xml:space="preserve">Scopul proiectului: adaptarea structurilor, optimizarea proceselor și pregătirea resurselor umane din MCI 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MCI, respectiv ale MECS, prin realizarea unei Platforme Informatice Integrate pentru Cercetare-Dezvoltare și Inovare (PII-CDI). 
B) Indeplinirea conditionalitaþilor ex-ante pentru Obiectivul Tematic 1 (OT1) al FESI, prevazute în cadrul Programului Operaþional
Competitivitate 2014-2020 prin realizarea mecanismului de orientare strategica, bazat pe descoperirerea antreprenoriala si
cresterea gradului de integrare a sistemului de CDI în economia naþionala ca raspuns la nevoia de a îmbunatati procesul de
monitorizare si evaluare a SNCDI.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</si>
  <si>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 xml:space="preserve">                  AA4/02.08.2019</t>
  </si>
  <si>
    <t>Centrul Romano de Studii și Dezvoltare Socială (fostă Asociația Mesteșukar Mobil)</t>
  </si>
  <si>
    <t>OG: 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</si>
  <si>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AA1/27.11.2018</t>
  </si>
  <si>
    <t>AA1/05.05.2017; AA2/29.05.2017; AA3/18.12.2017; AA4/27.07.2018; AA5/27.05.2019</t>
  </si>
  <si>
    <t xml:space="preserve">AA1/09.06.2017; AA2/12.10.2018; AA3/22.07.2019             </t>
  </si>
  <si>
    <t>AA1/10.11.2016; AA2/28.04.2017; AA3/16.01.2018; AA4/10.07.2018; AA5/31.01.2019</t>
  </si>
  <si>
    <t>Obiectiv general: Dezvoltarea capacitatii societatii civile, ca împreuna cu UAT, sa contribuie la sustinerea si dezvoltarea economiei sociale prin sprijinirea initiativelor antreprenoriale care vizeaza infiintarea de structuri de economie sociala in Romania (SES).
OS1. Crearea unui parteneriat public-privat la nivel national, format din 160 de reprezentati ai UAT si organizatii civice din
Romania, pentru formularea si promovarea de propuneri alternative la politicile publice initiate de Guvern.
OS2. Formarea membrilor GT, pentru cresterea capacitatii de a identifica probleme in comunitate si a formula politici publice alternative.
OS3. Formularea propunerilor de Politici Publice.</t>
  </si>
  <si>
    <t>Persoane cu dizabilități - tranziția de la servicii rezidențiale la servicii în comunitate</t>
  </si>
  <si>
    <t xml:space="preserve">Accelerarea procesului de dezinstituționalizare a persoanelor adulte cu dizabilități concomitent cu proiectarea politicii publice și a instrumentelor de lucru pentru dezvoltarea de alternative de sprijin pentru viața independentă și integrare în comunitate și prevenirea re/instituționalizării
Obiectivele specifice ale proiectului
1. OS 1 – Elaborarea unei propuneri de politici publice pentru dezvoltarea de alternative de sprijin pentru viața independenta și
integrare în comunitate și prevenirea re/instituționalizării, bazata pe dovezi obținute din evaluarea ex ante
2. OS 2 – Proiectarea instrumentelor de lucru în domeniul serviciilor sociale pentru persoane adulte cu dizabilități.
3. OS 3 – Realizarea coordonării la nivel interinstituțional pentru evitarea suprapunerilor de inițiative și evitarea dublei finanțări.
</t>
  </si>
  <si>
    <t>AA1/02.08.2019</t>
  </si>
  <si>
    <t>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orientate catre cetateni.</t>
  </si>
  <si>
    <t>AA1/09.08.2019</t>
  </si>
  <si>
    <t>AA2/09.08.2019</t>
  </si>
  <si>
    <t>AA1/12.08.2019</t>
  </si>
  <si>
    <t>Întărirea capacității INA privind dezvoltarea de studii/ analize cu impact asupra sistemului de formare profesională în administrația publică</t>
  </si>
  <si>
    <t>1. SGG
2. ANFP</t>
  </si>
  <si>
    <t>Creșterea capacității MMJS de coordonare metodologică a SPAS-urilor în vederea îndeplinirii atribuțiilor si obligațiilor legale pe domeniul serviciilor sociale și a creșterii calității serviciilor oferite cetățenilor</t>
  </si>
  <si>
    <t>Obiectivul general al proiectului:
Imbunatatirea cadrului sprijinirii dezvoltarii la nivel local si cresterea calitatii serviciilor publice de asistenta sociala prin dezvoltarea unui set de instrumente, proceduri, metodologii, ghiduri, instructiuni care sa sprijine autoritatile publice locale in indeplinirea atributiilor si obligatiilor pe domeniul serviciilor sociale care le revin printr-o abordare bazata pe dezvoltarea colaborativa - care sa implice autoritatile cu atributii in domeniul servicilor sociale (MMJS in calitate de autoritate publica centrala, si , respectiv DGASPC si SPAS in calitate de autoritati ale
administratiei publice locale), astfel incat sa asigure coordonarea si colaborarea intre aceste institutii.
Obiectivele specifice ale proiectului
1. Imbunatatirea coordonarii dintre actorii care activeaza in serviciile sociale (MMJS, autoritatile administratiei publice locale)pentru evitarea eventualelor suprapuneri de initiative si activitati care vizeaza serviciile sociale.
2. Cresterea capacitatii administrative a SPAS de a-si îndeplini obligaþiile prevazute de legislaþie în ceea ce priveste serviciile
sociale, precum si de a dezvolta si implementa iniþiative care vizeaza furnizarea de servicii comunitare integrate în comunitate la un înalt nivel calitativ si cu mijloace moderne</t>
  </si>
  <si>
    <t>Obiectivul general al proiectului este legat de întarirea capacitaTii actorilor implicaTi în procesul de formulare a propunerilor de politici
publice, bazate pe dovezi, în domeniul formarii profesionale pentru administraþia publica.
Obiective specifice:
OS1 - Cresterea capacitaþii instituþionale prin: realizarea unei analize/cercetari cu privire la nevoile de formare pentru personalul din administraþia publica si cu privire la piaþa de formare pentru administraTia publica;
OS2 - Promovarea bunelor practici în administraþia publica si încurajarea schimbului de experienþa si a networkingului
prin: crearea si operaþionalizarea Reþelei Naþionale a Furnizorilor de Formare pentru Administraþia Publica (ReForm);crearea
unei baze de date cu furnizorii de formare pentru administraþia publica;organizarea de evenimente în cadrul reþelei.
OS3 - Dezvoltarea de competenþe profesionale/ 100 participanti la activitati formare pt OS1.1.</t>
  </si>
  <si>
    <t>Întărirea capacității administrative a Autorității Naționale de Reglementare pentru Serviciile Comunitare de Utilități Publice pentru reglementarea, autorizarea, evaluarea și monitorizarea serviciilor comunitare de utilități publice</t>
  </si>
  <si>
    <t>Autoritatea Națională de Reglementare pentru Serviciile Comunitare de Utilități Publice</t>
  </si>
  <si>
    <t>Asociația Municipiilor din România</t>
  </si>
  <si>
    <t>Obiectiv general: Dezvoltarea unui sistem coerent de gestiune printr-un sistem informatic integrat, introducerea de sisteme si standarde comune în administraþia publica ce optimizeaza procesele decizionale orientate catre cetaþeni si mediul de afaceri, în concordanþa cu SCAP.            OS.1. Simplificarea si sistematizarea fondului activ al legislaþiei din domeniul de activitate al ANRSC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OS2. Imbunatatirea nivelului de pregatire prin acumularea de cunostinþe si abilitaþi ale personalului A.N.R.S.C, participarea la
activitaþi de formare</t>
  </si>
  <si>
    <t>AA 1/09.08.2019 prel 2L</t>
  </si>
  <si>
    <t>Extinderea instrumentelor de management al performanței la nivelul Primăriei Municipiului Galați prin implementarea CAF</t>
  </si>
  <si>
    <t>Obiectiv general: Consolidarea capacitaþii administrative a Unitaþii administrativ teritoriale (UAT) Municipiul Galaþi pentru susþinerea unui
management performant prin introducerea si utilizarea instrumentului CAF aplicabil administraþiei locale, în concordanþa cu ”Planul de
acþiuni pentru i+J131mplementarea etapizata a managementului calitaþii în autoritaþi si instituþii publice 2016-2020” (cuantificare: 1 sistem de J131management implementat).                                                                                                        OS1. Implementarea si utilizarea instrumentului de auto-evaluare de tip CAF (Cadrul comun de autoevaluare a modului de
funcþionare a instituþiilor publice) la nivelul UAT Municipiul Galaþi pentru cresterea performanþei în administraþia publica locala si
îmbunataþirea serviciilor publice pentru comunitate.
 OS2. Dezvoltarea cunostinþelor si abilitaþilor unui numar de 45 de persoane de la nivelul UAT Municipiul Galaþi în vederea utilizarii
unui management al calitaþii si performanþei la nivelul autoritaþii publice locale.</t>
  </si>
  <si>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construcții                                                                                                                       1.Simplificarea procedurilor ce vizeaza reducerea poverii administrative pentru mediul de afaceri prin introducerea unor instrumente
moderne si eficiente de management si de gestionare a neconformitaților constatate în activitatea de control a inspectorilor în
construcþii în toate domeniile specifice si la îmbunatațirea calitații si eficienței serviciilor publice oferite de catre ISC.
2. Extinderea sistemului informatic integrat de management existent.
3. Dezvoltarea competenþelor angajaþilor Inspectoratului de Stat în Construcții în domeniul politicilor publice</t>
  </si>
  <si>
    <t>INSTITUTUL NATIONAL DE CERCETARI ECONOMICE "COSTIN C. KIRITESCU"</t>
  </si>
  <si>
    <t>Obiectivul general al proiectului este acela de a creste capacitatea administrativa a autoritaþilor administraþiei publice centrale si locale cu atribuþii în domeniul protecției copilului, prin introducerea de instrumente si standarde comune, în vederea optimizarii procesului decizional de asigurare a tranziþiei de la îngrijirea în instituții la îngrijirea în comunitate.                                                                                                                         1. Dezvoltarea si aplicarea unui sistem de politici bazate pe dovezi în domeniul protecþiei copilului, prin implementarea la nivel
naþional a unui sistem de monitorizare si evaluare periodica a stadiului tranziþiei de la îngrijirea în instituþii la îngrijirea în comunitate.
2. Sprijinirea dezvoltarii autoritaþilor administraþiei publice locale cu atribuþii în domeniul prevenirii separarii copilului de familie în
vederea cresterii calitaþii serviciilor oferite copiilor expusi riscului de separare de familie.</t>
  </si>
  <si>
    <t>AA1/14.08.2019</t>
  </si>
  <si>
    <t>Național</t>
  </si>
  <si>
    <t>Proiectul propus are ca scop îmbunătățirea cadrului normativ intern si instituțional privind managementul resurselor umane, prin asigurarea unui instrument modern si unitar de management al necesarului de resurse umane si prin îmbunătățirea mecanismelor instituționale si a instrumentelor specifice pentru planificarea strategica a resurselor umane la nivelul Serviciului Român de informații, respectiv dezvoltarea competențelor personalului din cadrul SRI în domeniul resurselor umane.</t>
  </si>
  <si>
    <t>1. UM 0472 BUCUREȘTI
2. ACADEMIA NATIONALA DE INFORMATII "MIHAI VITEAZUL" - UNITATEA MILITARA 0418 BUCURESTI
3. SERVICIUL ROMAN DE INFORMATII PRIN INSTITUTUL PENTRU TEHNOLOGII AVANSATE</t>
  </si>
  <si>
    <t>SERVICIUL ROMÂN DE INFORMAȚII PRIN UNITATEA MILITARĂ 0929 BUCUREȘTI</t>
  </si>
  <si>
    <t>INTELLIGENCE în serviciul cetățenilor</t>
  </si>
  <si>
    <t xml:space="preserve">Analiza sistemica si revizuirea cadrului procedural de management al resurselor umane si crearea unui nou set de instrumente
informatizate care sa permită gestiunea unitara, optimizarea si eficientizarea proceselor specifice de recrutare, selecție, formare, evaluare si managementul carierei personalului S.T.S., facilitând totodată interoperabilitatea si creșterea performanțelor angajaților din generații diferite.
Obiectivele specifice ale proiectului
1. Îmbunătățirea cadrului de politici si proceduri existente la nivelul STS în domeniul managementului resurselor umane.
2. Asigurarea gestionarii unitare a proceselor de recrutare, selecție, managementul performantei si managementul carierei pentru
personalul STS, prin dezvoltarea si implementarea de instrumente moderne.
3. Îmbunătățirea cunoștințelor si abilitaților profesionale ale personalului cu atribuii în gestionarea proceselor de recrutare, selecție, managementul performantei si managementul carierei la nivelul STS, prin organizarea si implementarea unor programe de formare si perfecționare (mentorat, coaching, cursuri pentru aptitudini tehnice si manageriale).
</t>
  </si>
  <si>
    <t>1. ACADEMIA DE STUDII ECONOMICE DIN BUCURESTI
2. UNITATEA MILITARA 01512/Conducere
3. UNITATEA MILITARA 02648</t>
  </si>
  <si>
    <t>SERVICIUL DE TELECOMUNICATII SPECIALE</t>
  </si>
  <si>
    <t>Optimizarea, eficientizarea cadrului procedural și digitalizarea proceselor  de management al resurselor umane din cadrul STS</t>
  </si>
  <si>
    <t>Proceduri Administrative Simplificate la Primăria Municipiului Vulcan</t>
  </si>
  <si>
    <t xml:space="preserve">Consolidarea capacitații Primăriei Municipiului Vulcan de a asigura calitatea și accesul la serviciile publice oferite exclusiv de primărie prin simplificarea procedurilor administrației locale si reducerea birocrației pentru cetățeni.
Obiectivele specifice ale proiectului
1. OS1. Îmbunătățirea procesului de planificare strategica si alocare a resurselor în cadrul Primăriei Municipiului Vulcan prin introducerea unui instrument informatic de colectare, consultare si votare a propunerilor de la cetățeni.
2. OS2. Implementarea unor masuri de simplificare pentru cetățeni, în corespondență cu Planul Integrat pentru simplificarea procedurilor administrative aplicabile cetățenilor, atât din perspectiva back-office (adaptarea procedurilor interne de lucru, digitalizarea arhivelor), cât si front-office.
3. OS3. Dezvoltarea cunoștințelor și abilitaților personalului din cadrul Primăriei Municipiului Vulcan în vederea sprijinirii masurilor vizate de proiect. In principal este avuta în vedere instruirea, evaluarea si certificarea competențelor dobândite pentru 75 de persoane din cadrul grupului țintă în ceea ce privește utilizarea mecanismelor de simplificare a procedurilor.
</t>
  </si>
  <si>
    <t>Introducerea de sisteme și standarde comune în administrația publică locală ce optimizează procesele orientate către cetățeni în Municipiul Carei</t>
  </si>
  <si>
    <t>Municipiul Carei</t>
  </si>
  <si>
    <t xml:space="preserve">Obiectivul general al proiectului consta în dezvoltarea capacitații instituționale si optimizarea activității la nivelul Municipiului Carei prin masuri implementate din perspectiva back-office (adaptarea procedurilor interne de lucru, digitalizarea arhivelor) si front-office (oferirea de servicii si informații accesibile tuturor cetățenilor), pentru serviciile publice furnizate de către administrația publica locala precum si dezvoltarea aptitudinilor angajaților.
Obiectivele specifice ale proiectului
1. OS1. Implementarea unor masuri în corespondenta cu Planul integrat pentru simplificarea procedurilor administrative pentru
cetățeni din perspectivele front-office si back-office prin achiziția si implementarea unei platforme integrate care va furniza digital fluxurile de lucru de baza din cadrul instituției si va asigura accesul online la serviciile publice gestionate de Municipiul Carei, pana in 2023.
2. OS2 .Dezvoltarea cunoștințelor si abilitaților a 30 de angajați din cadrul personalului de conducere si execuție al UAT Municipiul Carei, in vederea sprijinirii masurilor vizate de proiect prin formarea/instruirea utilizatorilor in ceea ce privește soluțiile informatice implementate in cadrul proiectului precum si a responsabilităților in materia comunicării, transparenta decizională si
managementul documentelor, pana in 2023.
</t>
  </si>
  <si>
    <t>Carei</t>
  </si>
  <si>
    <t>Dezvoltarea capacității administrative a Ministerului Mediului privind gestionarea situațiilor de urgență generate de riscurile specifice ministerului si a situațiilor privind starea mediului</t>
  </si>
  <si>
    <t>Serviciul de Telecomunicatii Speciale</t>
  </si>
  <si>
    <t>Obiectivul general al proiectului este acela de a îmbunataþi capacitatea Ministerului Mediului în gestionarea situatiilor de urgenþa generate
de tipurile de risc specifice ministerului si a tipurilor de risc unde ministerul asigura funcþia de sprijin, precum si a situaþiilor privind starea
mediului.
Obiectivele specifice ale proiectului
1. Elaborarea unor pachete de propuneri pentru eficientizare administrativa, sistematizare si simplificare legislativa privind
gestionarea situaþiilor de urgenþa generate de tipurile de risc specifice Ministerului Me-diului si a tipurilor de risc unde ministerul
asigura funcþia de sprijin, precum si a situaþiilor privind starea mediului (poluarile accidentale, radioactivitate si calitaþii aerului).
 2. Cresterea capacitatii administrative a Ministerului Mediului prin dezvoltarea si eficientizarea functionarii dispeceratului pentru
gestionarea situatiilor de urgenta generate de tipurile de risc specifice Ministerului Mediului si a tipurilor de risc unde ministerul
asigura funcþia de sprijin, precum si a situaþiilor privind starea mediului.
3. Utilizarea optima a sistemului informatic dezvoltat în cadrul proiectului prin instruirea grupului þinta si prin diseminarea
informatiilor catre alte institutii.</t>
  </si>
  <si>
    <t>AA1/21.08.2019</t>
  </si>
  <si>
    <t>-</t>
  </si>
  <si>
    <t>Fundamentarea politicii de investiții pentru dezvoltarea socio-economică în perioada 2021-2030</t>
  </si>
  <si>
    <t>Consolidarea funcțiilor de management strategic la nivelul SGG</t>
  </si>
  <si>
    <t>Consolidarea sistemului de management strategic la nivelul centrului guvernului si al ministerelor, prin cresterea capacitații SGG de a
coordona sistemul de management strategic, prin introducerea unor mecanisme noi si moderne de coordonare a elaborarii politicilor si
strategiilor naþionale (policy lab) si prin întarirea capacitații de management strategic la nivelul ministerelor.
Obiectivele specifice ale proiectului
1. Cresterea calitații coordonarii, elaborarii si implementarii documentelor strategice/ întarirea funcþiei de management strategic la
nivelul SGG;
2. Dezvoltarea de noi instrumente pentru întarirea funcþiilor de management strategic la nivelul SGG.
3. Diagnosticarea capacitaþii de management strategic la nivelul ministerelor;
4. Dezvoltatea capacitaþii a trei ministere de a elabora documente strategice
5. Elaborarea a trei strategii naționale intersectoriale</t>
  </si>
  <si>
    <t>Sprijinirea fundamentarii politicii investiþionale, a formularii prioritaþilor de investiþii în vederea identificarii unor obiective/proiecte relevante.
Obiectivele specifice ale proiectului
1. cresterea gradului de coerenþa si complementaritate a proiectelor de investiþii de la nivel local si regional
2. proiectarea unei politici investiþionale coerente
3. identificare rapida a nevoilor de investiþii si de asigurare a coordonarii interinstituþionale</t>
  </si>
  <si>
    <t>Studii de impact pentru o reglementare mai buna!</t>
  </si>
  <si>
    <t>Obiectivul general al proiectului este acela de a îmbunataþi calitatea reglementarilor elaborate de instituþiile administraþiei publice centrale.
Obiectivele specifice ale proiectului vizeaza:
Dezvoltarea mecanismului de control al calitatii reglementarilor si a procedurilor operaþionale aferente;
Sprijinirea unui numar de 3 institutii ale administratiei publice centrale (ministere, agentii sau autoritati de reglementare)
în realizarea a 3 studii de impact care pot include evaluari ex-post ale rezultatelor unor politici publice sau reglementari, estimându-se
în acelasi timp, impactul unor optiuni de solutionare a problemelor aparute in implementarea acestora. Politicile publice vizate
vor fi în domeniile economic, social si cultural.
Îmbunatatirea nivelului de instruire a specialistilor din administratia publica implicati în realizarea analizelor de impact cu
privire la metodologia specifica de realizare a acestora, precum si la alte practici în domeniu aplicate la nivel european.
Consolidarea Comunitatii expertilor in evaluarea impactului reglementarilor (CEEIR) si a rolului DCPP în coordonarea
acesteia.</t>
  </si>
  <si>
    <t>Sistem performant de management al resurselor umane din cadrul Ministerului Afacerilor Interne</t>
  </si>
  <si>
    <t xml:space="preserve">Dezvoltarea unui sistem unitar, coerent, predictibil si sustenabil de management al resurselor umane din cadrul Ministerului Afacerilor Interne
Obiectivele specifice ale proiectului
1. Dezvoltarea si implementarea de proceduri si instrumente unitare si moderne de management al resurselor umane din cadrul Ministerului Afacerilor Interne, adaptate specificului instituțional, prin:
a. identificarea unor modalității de îmbunătățire a procedurilor specifice managementului carierei personalului în cadrul MAI
b. dezvoltarea instrumentelor de previziune si planificare a resurselor umane
c. definirea profilului competențelor de resurse umane necesare pentru îndeplinirea unei funcții de conducere în cadrul MAI
2. Consolidarea capacitații structurilor de resurse umane ale MAI de a derula procese de resurse umane eficiente si flexibile,
particularizate în funcție de specificul instituțional, prin implementarea unui sistem informatic care sa servească evidenței si
gestiunii personalului, derulării proceselor de resurse umane si fundamentării politicilor de personal
3. Creșterea capacitații MAI pentru implementarea unor politici de personal adaptate specificului instituțional, prin:
a. asigurarea unei pregătiri adecvate a personalului MAI cu funcții de conducere în domeniul managementului resurselor umane si în domenii conexe activității de baza, precum cunoașterea personalului, evaluare comportamentala, negociere si mediere, gestionarea conflictelor
b. pregătirea suplimentara a personalului care își desfășoară activitatea în structurile de resurse umane în domeniul resurselor umane si în domenii conexe activității de baza, precum cunoașterea personalului, negociere si mediere, gestionarea conflictelor
</t>
  </si>
  <si>
    <t>AA3/29.08.2019</t>
  </si>
  <si>
    <t>Obiectivul general al proiectului consta în îmbunataþirea procesului decizional, a capacitații administrative si a calitatii si eficientei
serviciilor publice furnizate la nivelul Municipiului Moreni, din regiunea mai puțin dezvoltata Sud-Muntenia, prin implementarea de
proceduri de sistem si inițierea de masuri de simplificare a unor proceduri de lucru si a unor politici publice si prin dezvoltarea
cunostințelor si abilitaților personalului din cadrul instituției.
1. OS1: Implementarea unor mecanisme si proceduri standard (elaborare Strategie de dezvoltare a Municipiului Moreni, un set de
proceduri de sistem si operaþionale aplicabile la nivelul institutiei) pentru a creste eficienþa acþiunilor administrative la nivelul
Municipiului. OS 1 se va îndeplini prin Subactivitatile 2.1 si 2.2 si va conduce la atingerea rezultatului de program POCA R1.
2. OS2. Implementarea si utilizarea instrumentului de auto-evaluare de tip CAF (Cadrul comun de autoevaluare a modului de
funcþionare a instituþiilor publice) la nivelul Municipilui Moreni pentru sprijinirea schimbarii pentru performanþa, îmbunataþirea
modului de realizare a activitaþilor si de prestare a serviciilor publice. OS 2 se va indeplini prin subactivitatea 3.1 si va conduce la
atingerea rezultatului R2.
3. OS3. Imbunatatirea competentelor profesionale a unui numar de 100 persoane din diferite niveluri ierarhice (personal de
conducere, de execuþie, alesi locali) din cadrul Municipiului Moreni pe teme specifice. OS 3 se va îndeplini prin Activitatea 4 si va
conduce la atingerea rezultatului R5.</t>
  </si>
  <si>
    <t>Eficienta institutionala si buna guvernare la
nivelul Municipiului Moreni</t>
  </si>
  <si>
    <t>AA2/13.08.2019</t>
  </si>
  <si>
    <t>Eficientizarea proceselor interne ale primăriei și a interacțiunii cu cetățenii prin implementarea unui sistem informatic integrat și a unui portal de servicii electronice</t>
  </si>
  <si>
    <t>Municipiul Gheorgheni</t>
  </si>
  <si>
    <t>Obiectivul general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
OS 2: Dezvoltarea si implementarea solutiei informatice inovative la nivelul institutiei publice.
OS 3: Instruirea personalului din cadrul UAT Toplita pentru utilizarea optima a solutiei informatice integrate prin proiect.</t>
  </si>
  <si>
    <t>Cresterea eficienþei administrative a Primariei Municipiului Gheorgheni prin implementarea unor sisteme informatice inovative, ca masuri de simplificare si modernizare a furnizarii serviciilor catre cetaþeni si mediul de afaceri.
Obiectivele specifice ale proiectului
1. Optimizarea activitaților interne ale funcționarilor, prin implementarea unei platforme informatice integrate pentru managementul
fluxurilor de activitați si de documente, pentru managementul activitatilor financiar-economice, al gestiunii patrimoniului si al
activitatilor de urbanism.
2. Implementarea unei platforme software de tip portal, integrarea acesteia cu subsistemul back-office si configurarea in portal a
unor servicii electronice care sa fie furnizate online catre cetațeni.
3. Imbunataþirea abilitaților si cunostinþelor personalului municipiului Gheorgheni pentru utilizarea sistemelor informatice
implementate prin proiect.</t>
  </si>
  <si>
    <t>PRO-ADMIN - Administratie locala performanta</t>
  </si>
  <si>
    <t xml:space="preserve">
Dezvoltarea si implementarea unor solutii informatice privind simplificarea procedurilor administrative in primaria Carcal, in vederea
cresterii capacitatii institutionale privind fundamentarea deciziilor si planificare strategica pe termen lung, precum si reducerea birocratiei,
prin dezvoltarea si implementarea unor sisteme informatice inovative pentru serviciile furnizate catre cetateni.
Obiectivele specifice ale proiectului
 Obs. 1) Introducerea si implementarea unui mecanism de bugetare participativa in scopul cresterii calitatii procesului decizional,
pentru a raspunde in mod fundamentat si coerent nevoilor comunitatii locale Caracal.
 Obs. 2) Consolidarea capacitatii institutionale privind planificarea si fundamentarea strategica, prin dezvoltarea si elaborarea
Strategiei de dezvoltare durabila a Municipiului Caracal pentru perioada 2021 -2027 si a PMUD
Obs. 3) Dezvoltarea, implementarea si susinerea de masuri de simplificare, atat din perspectiva back-office cât si front-office
pentru serviciile furnizate direct cetatenilor si mediului de afaceri din municipiului Caracal.
 Obs. 4) Dezvoltarea si implementarea unor programe de instruire specifice privind dezvoltarea competentelor si abilitatilor pentru
angajatii (demnitari, consilieri, personal de conducere si executie) din municipiului Caracal.</t>
  </si>
  <si>
    <t>Obiectivul general al proiectului/Scopul proiectului
Obiectivul general al proiectului consta in consolidarea capacitatii administrative a Municipiului Medias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Medias prin realizarea
Strategiei Smart City orizont 2027 si a Strategiei de Dezvoltare Durabila pentru perioada 2021-2027
2. OS 2 Eficientizarea si simplificarea serviciilor furnizate cetatenilor de catre Primaria Muncipiului Medias prin implementarea unei
solutii de portal cu servicii digitale pentru cetateni, managementul documentelor, ERP si retrodigitalizarea arhivei
3. OS3-Intarirea capacitatii institutionale in cadrul Primariei Municipiului Medias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</si>
  <si>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Centru operațional de management integrat pentru fundamentarea deciziilor în implementarea proiectelor strategice și informarea cetățenilor - COMUNIC</t>
  </si>
  <si>
    <t xml:space="preserve">Obiectivul general este implementarea unor proceduri integrate de management al proceselor complexe, de emitere si fundamentare a deciziilor strategice de dezvoltare a Municipiului Buzau, precum si de facilitare a procesului de consultare a cetaþenilor în vederea elaborarii actelor administrative.
Obiectivele specifice ale proiectului
1. Definirea unui set de cerinþe funcționale si a arhitecturii operaþionale a Centrului operaþional de management. 
2. Elaborarea de proceduri de lucru pentru optimizarea proceselor decizionale si a planificarii strategice. - Implementarea unui sistem informatic suport pentru managementul administrativ integrat si a unei platforme informatice online în vederea desfasurarii consultarilor pentru elaborarea actelor administrative. 
3. Extinderea cunostinþelor si abilitaþilor personalului din Municipiul Buzau pentru utilizarea procedurilor si platformei informatice, pentru asigurarea planificarii strategice si a consultarii cetațenilor. </t>
  </si>
  <si>
    <t xml:space="preserve">Obiectivul general al proiectului/Scopul proiectului
Obiectivul general al proiectului constă în creșterea transparenței, eticii și integrității în cadrul Consiliului Județean Suceava și a unităților administrativ- teritoriale și instituțiilor publice din județul Suceava.
Acest obiectiv general încadrează proiectul în aria Axei prioritare 2. Administrație publică și sistem judiciar accesibile și transparente, Obiectivul specific 2.2. Creșterea transparenței, eticii și integrității în cadrul autorităților și instituțiilor publice din cadrul Programului Operațional Capacitate Administrativă 2014-2020.                                                                                                             Obiectivele specifice ale proiectului
1. Creșterea capacității administrației publice locale și instituțiilor publice din județul Suceava de elaborare, adoptare și implementare a normelor, mecanismelor și procedurilor în materie de etică, integritate și prevenire a corupției, în conformitate cu legislația națională.
2. Creșterea gradului de implementare a măsurilor de prevenire a corupției și a indicatorilor de evaluare la nivelul Consiliului Județean Suceava, a administrației publice locale și instituțiilor publice din județul Suceava.
3. Îmbunătățirea cunoștințelor și competențelor personalului administrației publice locale și instituțiilor publice din județul Suceava în ceea ce privește etica, integritatea și prevenirea corupției.
4. Educarea cetățenilor pentru a se implica activ în identificarea și combaterea cazurilor de corupție.
</t>
  </si>
  <si>
    <t>Extinderea sistemului de planificare strategică la nivelul ministerelor de resort-II</t>
  </si>
  <si>
    <t>Curtea de Conturi
Academia Română</t>
  </si>
  <si>
    <t>Obiectivul general al proiectului este sa sprijine cele 9 ministere de resort în elaborarea PSI si în corelarea acestora cu bugetul pe programe. Astfel, se va contribui la îmbunatațirea procesului decizional si la cresterea calitaþii cheltuielilor publice prin extinderea sistemului de planificare strategica existent pentru cele 9 ministere de resort.
Obiectivele specifice ale proiectului
1. Elaborarea si actualizarea PSI-urilor în fiecare din cele 9 ministere de resort care nu au la acest moment PSI elaborat.
2. Extinderea sistemului de monitorizare prin crearea de instanþe ale aplicaþiei la nivelul celor 9 ministere de resort si conectarea acestora la dashboard-ului de la nivelul SGG, care nu sunt conectate la acest sistem în prezent.
3. Formarea personalului de la nivelul celor 9 ministere de resort în domeniul planificarii strategice si în utilizarea aplicaþiei IT de monitorizare a PSI.</t>
  </si>
  <si>
    <t>AA2 din 06.09.2019</t>
  </si>
  <si>
    <t>AA1/06.09.2019</t>
  </si>
  <si>
    <t>Îmbunataþirea procesului decizional si reducerea birocraþiei la nivelul Consiliului Judeþean Brasov</t>
  </si>
  <si>
    <t>Județul Brașov</t>
  </si>
  <si>
    <t>AGENȚIA DE DEZVOLTARE DURABILĂ A JUDEȚULUI BRAȘOV</t>
  </si>
  <si>
    <t>Obiectivul general al proiectului:Creșterea performanței administrației publice din județul Brasov în domeniul planificarii strategice, prin corelarea obiectivelor strategice de
dezvoltare la nivelul județului pe termen mediu si lung cu execuția bugetară, prin prioritizarea si monitorizarea lucrărilor de investiții și implementarea de măsuri de simplificare a procedurilor administrative cu caracter general de tip front-office si back-office.</t>
  </si>
  <si>
    <t>Curtea de Conturi a României</t>
  </si>
  <si>
    <t>AA1/09.09.2019</t>
  </si>
  <si>
    <t>CCR-SAI pentru cetățean</t>
  </si>
  <si>
    <t>Consolidarea capacitații instituþionale a Curții de Conturi a României de a realiza activitatea de audit public extern în acord cu standardele
internaționale în domeniu si asteptarile societații.
Obiectivele specifice ale proiectului
1. Îmbunatațirea planificarii strategice la nivelul CCR.
2. Actualizarea reglementarilor în domeniul auditului public extern.
3. Întarirea capacitațiii profesionale în domeniul auditului public extern.</t>
  </si>
  <si>
    <t>Promovarea politicilor publice la nivelul județului Arad</t>
  </si>
  <si>
    <t>Îmbunatațirea capacitaþii de planificare strategica la nivelul judetului Arad
Obiectivele specifice ale proiectului
1. Elaborarea Strategiei de dezvoltare a Judeþului Arad pentru perioada 2021-2027
2. Elaborarea a doua strategii sectoriale (Culturala, Eficiența energetica) pentru perioada 2021-2027</t>
  </si>
  <si>
    <t>Monitorizarea și evaluarea integrată a performanței serviciilor publice</t>
  </si>
  <si>
    <t>Obiectivul general al proiectului il reprezinta consolidarea capacitatii administratiei publice din Romania prin introducerea de sisteme si standarde comune care sa conduca la imbunatatirea activitatii de monitorizare si evaluare a performantei serviciilor publice furnizate.
Obiectivele specifice ale proiectului
1. OS1: Crearea unui cadru general unitar de monitorizare/evaluare a performantei serviciilor publice
2. OS2: Realizarea de unei analize integrate privind performanta actuala a serviciilor publice
3. OS4: Furnizarea unui cadru specific de imbunatatire a performantelor serviciilor comunitare de utilitati publice
4. OS4: Perfectionarea cunostintelor si dezvoltarea abilitatilor personalului din cadrul administratiei publice centrale</t>
  </si>
  <si>
    <t>AA4/10.09.2019</t>
  </si>
  <si>
    <t>Consolidarea capacității administrative a MADR susținută de planificare strategică și un sistem de politici publice bazate pe dovezi, sistematizarea și simplificarea procedurilor de lucru cu mediul de afaceri și cu cetățenii din România, cu accent pe zona montană</t>
  </si>
  <si>
    <t>Consolidarea capacității MADR de a elabora politici și reglementări specifice în vederea implementării unui sistem strategic național pentru trasabilitatea și integritatea produselor agroalimentare</t>
  </si>
  <si>
    <t>Obiectivul general al proiectului este acela de a întari capacitatea MADR de elaborare de politici publice bazate pe dovezi, de reducere a poverii administrative pentru mediul de afaceri si implementarea unor masuri de simplificare pentru cetațeni.
Obiectivele specifice ale proiectului
1. Extinderea si îmbunataþirea unui sistem de politici publice bazate pe dovezi în cadrul M.A.D.R. si a structurilor acesteia, crearea mecanismelor instituþionale, administrative si procedurale, inclusiv sistematizarea legislaþiei actuale cu accent pe cea aferenta zonei montane din România si formularea unui plan etapizat de propuneri pentru îmbunataþirea si simplificare a acesteia 2. Elaborarea unor proceduri de lucru eficiente si prietenoase cu mediul de afaceri si cetaþenii, în concordanþa cu specificitaþile geografice, economice, sociale si culturale.
3. Instruirea grupului þinta pentru aplicarea acestora si diseminarea informaþiilor în cadrul comunitaþilor locale (mediul de afaceri si
cetaþeni).</t>
  </si>
  <si>
    <t>Obiectivul general al proiectului este acela de a întari capacitatea M.A.D.R. de elaborare de propuneri de politici publice în domeniul agroalimentar bazate pe dovezi, de reducere a poverii administrative pentru mediul de afaceri si implementarea unor masuri de simplificare pentru cetațeni.
Obiectivele specifice ale proiectului
1. Elaborarea unui pachet de propuneri de politici publice în domeniul agroalimentar (de ex: trasabilitatea si integritatea, gestionarea
situaþiilor de criza de piaþa sau epizootice, promovarea produselor agroalimentare si cuantificarea risipei alimentare) bazate pe
dovezi, crearea mecanismelor instituþionale, administrative si procedurale, inclusiv sistematizarea legislaþiei actuale si formularea
unui plan etapizat de propuneri pentru îmbunataþirea, simplificare si completarea dupa caz a acesteia;
2. Elaborarea unui sistem informatic integrat de management si monitorizare în domeniul agroalimentar (sistem informatic care sa
furnizeze date privind productia, procesare, depozitare, comercializare, consum, bilant import/export, prognoze consum intern si
cerere-oferta pe piaþa interna precum si pe noi pieþe, etc) - SIIMM
3. Instruirea grupului þinta atât pentru aplicarea propunerilor de politici publice cât si pentru utilizarea sistemului informatic si ulterior
diseminarea informaþiilor catre mediul de afaceri si cetateni.</t>
  </si>
  <si>
    <t>AA3 /13.09.2019</t>
  </si>
  <si>
    <t>Optimizarea procesului decizional si al planificării strategice și bugetare la nivelul Consiliului Județean Bihor</t>
  </si>
  <si>
    <t>Municipiul Oradea</t>
  </si>
  <si>
    <t>Fundamentarea si implementarea unui management strategic performant în administraþia publica din judeþul Bihor.
Obiectivele specifice ale proiectului
1. OS 1. Susþinerea procesului decizional la nivelul administraþiei publice locale din judeþul Bihor, pentru a raspunde în mod
fundamentat si coerent nevoilor comunitaþilor locale, prin elaborarea si diseminarea Strategiei de dezvoltare durabila a judeþului
Bihor pe perioada 2021-2026, precum si a celor doua Ghiduri specifice, care au aplicabilitate pentru Consiliul Judeþean Bihor
pentru UAT-urile din judeþ si unitaþile subordonate consiliului judeþean.
2. OS 2. Optimizarea utilizarii resurselor software si hardware existente în vederea simplificarii pentru reducerea birocraþiei pentru
cetaþeni la nivel local.
3. OS 3. Îmbunataþirea corelarii componentei bugetare cu componenta strategica prin dezvoltarea abilitaþilor si capacitaþilor
angajaþilor si alesilor locali ai Consiliului Judeþean Bihor, prin participarea la 4 programe de formare.
4. OS 4. Cresterea coerenþei, eficienþei si transparenþei procesului decizional prin transfer de know-how în domeniul dezvoltarii si
cooperarii instituþionale si internaþionale, prin participarea angajaþilor cosiliului judeþean la vizite de studiu la instituþii naþionale si
internaþionale, si organizarea de 2 workshop-uri specifice.</t>
  </si>
  <si>
    <t>AA1/17.09.2019</t>
  </si>
  <si>
    <t>Soluții informatice integrate pentru optimizarea activității administrative, creșterea competentelor și a nivelului de calitate a serviciilor publice pentru cetățeni și mediul de afaceri la nivelul Municipiului Ploiești</t>
  </si>
  <si>
    <t>Municipiul Ploiești</t>
  </si>
  <si>
    <t>Consolidarea capacitaþii instituþionale a Primariei Municipiului Ploiesti prin monitorizarea si evaluarea continua a calitaþii si performanþei
administraþiei locale în vederea optimizarii proceselor administrative ale primariei si adoptarea unor masuri de crestere a implicarii
cetaþenilor în procesul de dezvoltare urbana si a transparentei actului administrativ, imbunatatirea mecanismelor de control, prin
implementarea unui sistem informatic inovativ de tip portal.
1. 1. Implementarea unor mecanisme si proceduri standard - Plan strategic instituþional 2020 – 2021, pentru a creste
eficienþa acþiunilor adimintrative la nivelul Municipiului Ploiesti.
2. 2. Optimizarea proceselor administrative ale primariei prin implementarea unui sistem informatic integrat de management
al calitaþii si performanþei care sa asigure gestiunea, monitorizarea si evaluarea continua a calitaþii si performanþei administraþiei
Municipiului Ploiesti.
3. 3. Simplificarea furnizarii serviciilor catre cetaþeni si mediul de afaceri, prin implementarea unei sistem informatic/platform
integrate de tip portal web centru de Inovare si Initiativa Civica pentru cresterea implicarii functionarilor primariei si a transparentei
actului administrativ si imbunatatirea mecanismelor de control.
4. 4. Îmbunataþirea abilitaþilor si cunostinþelor personalului municipiului Ploiesti în domeniul utilizarii sistemelor informatice
dezvoltate prin proiect si totodata îmbunatatirea competentelor profesionale a unui numar de 50 persoane din diferite niveluri
ierarhice (personal de conducere si de execuþie) din cadrul Municipiului Ploiesti pe teme specifice (ex. planificare strategica,
planificare bugetara, politici locale, fundamentare, elaborare, implementare, monitorizare si evaluare a deciziilor la nivelul
administraþiei publice locale, etc)</t>
  </si>
  <si>
    <t>Consolidarea Sistemului Statistic National
si modernizarea proceselor de productie
statistica pentru efectuarea recensamintelor
nationale</t>
  </si>
  <si>
    <t>AA1-08.07.2019
AA2-20.09.2019</t>
  </si>
  <si>
    <t>AA 1/12.11.2018         AA 2/20.09.2019</t>
  </si>
  <si>
    <t>AA 1/24.04.2019</t>
  </si>
  <si>
    <t>AA2/24.09.2019</t>
  </si>
  <si>
    <t>AA1/25.09.2019</t>
  </si>
  <si>
    <t>CAMERA DEPUTATILOR/DA</t>
  </si>
  <si>
    <t>Creșterea capacității administrative a Camerei Deputaților pentru furnizarea de servicii de calitate</t>
  </si>
  <si>
    <t xml:space="preserve">Obiectivul general al proiectului consta in creșterea capacității administrative a structurii organizatorice a serviciilor Camerei Deputaților prin măsuri de simplificare a furnizării serviciilor către beneficiari, susținute prin implementarea unor soluții informatice inovative. 
OS1. Optimizarea și simplificarea proceselor operaționale din cadrul Camerei Deputaților pentru reducerea cu cel puțin 20% a duratei pentru parcurgerea procedurilor administrative aferente serviciilor publice furnizate cetățenilor, prin digitalizarea fluxurilor de lucru din cadrul instituției.
OS2. Îmbunătățirea abilitaților si cunoștințelor personalului Camerei Deputaților  pentru înțelegerea abordării pe procese și implementarea măsurilor de simplificare implementate prin proiect, precum și pentru utilizarea sistemelor informatice dezvoltate prin proiect. Este avuta in vedere formarea/instruirea, evaluarea/testarea și certificarea competentelor/cunoștințelor dobândite pentru 100 de persoane din cadrul grupului țintă, in ceea ce privește susținerea măsurilor implementate in cadrul proiectului. </t>
  </si>
  <si>
    <t>AA1/26.09.2019</t>
  </si>
  <si>
    <t>AA3/27.09.2019</t>
  </si>
  <si>
    <t>N.A</t>
  </si>
  <si>
    <t>Elaborarea politicii urbane ca instrument de consolidare a capacității administrative si de planificare strategică a zonelor urbane din România</t>
  </si>
  <si>
    <t>Obiectivul proiectului este acela de elaborare a politicii urbane ca instrument de consolidare a capacitatii administrative si de planificare
strategica a oraselor din România în sensul fundamentarii cadrului normativ, investitional si financiar si schimbarii mentalitatii în ceea ce
priveste procesul de dezvoltare urbana.
Obiective specifice:
OS 1 - Îmbunatatirea cadrului strategic privind dezvoltarea urbana;
OS2 - Îmbunatatirea cadrului de reglementare prin propunerile ce vor fi efectuate în cadrul Politicii Urbane, adresate nivelului central si
local;
OS3 - Îmbunatatirea cadrului de finanþare, prin implementarea propunerilor ce vizeaza programele de finanþare de la nivel naþional si
investiþiile de la nivel local;
OS4 - Îmbunatatirea guvernantei centrale si locale prin optimizarea proceselor decizionale de la nivelul MDRAP si de la nivelul
autoritaþilor publice locale pentru utilizarea eficienta a fondurilor publice în programe si proiecte de dezvoltare urbana.</t>
  </si>
  <si>
    <t>Dezvoltarea capacității instituționale a Ministerul Fondurilor Europene printr-un sistem integrat de management al calității</t>
  </si>
  <si>
    <t xml:space="preserve">Proiectul propune dezvoltarea capacitații administrative a Ministerul Fondurilor Europene (”MFE”) prin crearea si dezvoltarea unui cadru unitar pentru managementul performant la nivelul MFE si susținerea reformelor instituționale, în concordanta cu "Planul de acțiuni pentru implementarea etapizata a managementului calității în autorități si instituții publice 2016-2020”, însoțite de implementarea unor soluții informatice inovative pentru evaluarea si monitorizarea managementului calității.
Obiectivele specifice ale proiectului
1. OS1. Cresterea performanței organizaționale prin implementarea Instrumentului de auto-evaluare a modului de funcționare a instituțiilor administrației publice (CAF) în MFE, în concordantă cu Planul de acțiuni pentru implementarea etapizata a managementului calității în autorități și instituții publice 2016-2020.
2. OS2. Cresterea eficienței serviciilor oferite de structurile din cadrul MFE prin implementarea si certificarea SR EN ISO 9001:2015 si a unor aplicații informatice suport pentru managementul calității.
3. OS2. Cresterea eficienþei serviciilor oferite de structurile din cadrul MFE prin implementarea si certificarea SR EN ISO 9001:2015 si a unor aplicații informatice suport pentru managementul calității.
</t>
  </si>
  <si>
    <t>EMOD - Dezvoltarea capacitații instituționale a Agenției Naționale de Integritate pentru eficientizarea fluxurilor interne de lucru si a modului de depunere a declarațiilor de avere si de interese în procesul electoral și annual</t>
  </si>
  <si>
    <t>1. OS1. Optimizarea si simplificarea proceselor operaþionale de asigurare a respectarii normelor în materie de integritate la nivelul
ANI prin digitalizarea fluxurilor de lucru din cadrul instituþiei.
2. OS2. Îmbunataþirea abilitaþilor si cunostinþelor personalului ANI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79 de
persoane din cadrul grupului þinta, în ceea ce priveste susþinerea masurilor implementate prin proiect.</t>
  </si>
  <si>
    <t>AA1/01.10.2019</t>
  </si>
  <si>
    <t>Act aditional nr. 1</t>
  </si>
  <si>
    <t>Dezvoltarea și introducerea de sisteme și standarde în Ministerul Sănătății ce optimizează procesele decizionale privind activitatea de vaccinare în România - ROVAC</t>
  </si>
  <si>
    <t xml:space="preserve">Obiectivul general al ROVAC este de a intari capacitatea sistemului de sănătate publică în implementarea programelor naționale de vaccinare, cu scop principal de a crește și acoperi vaccinarea în populația generală, prin elaborarea de proceduri, metodologii, strategii, asigurarea de infrastructură și pilotarea de modele de bune practici și promovarea acestora.
Obiectiv specific nr. 1 al proiectului – Aplicarea sistemului de politici bazate pe dovezi în autoritățile și instituțiile publice centrale, inclusiv evaluarea ex ante a impactului, printr-o strategie nationala, o campanie de informare și conștientizare si asigurarea de infrastructură pentru vaccinare.
Obiectiv specific nr. 2 al proiectului – Imbunatațirea cunoștințelor și abilităților personalului din Ministerul Sanatatii și din structurile cu responsabilități în dezvoltarea și punerea în aplicare a politicilor și programelor de vaccinare și imunizare, prin participarea la programe de instruire.
</t>
  </si>
  <si>
    <t>Optimizarea managementului la nivelul sistemului judiciar. Componenta de instanțe judecatoresti</t>
  </si>
  <si>
    <t>1. Identificarea si dezvoltarea mecanismelor necesare pentru reducerea duratei proceselor, îmbunataþirea ratei de soluþionare a
cauzelor, scaderea duratei de soluþionare a cauzelor;
2. Dezvoltarea si implementarea unor instrumente standard de management integrat, pentru a fi introduse la nivelul instanþelor, care
sa permita îmbunataþirea practicilor manageriale, sa asigure predictibilitatea în luarea deciziilor ce privesc buna funcþionare a
instanþelor si, totodata, sa permita adaptarea soluþiilor manageriale la specificul fiecarei instanþe.</t>
  </si>
  <si>
    <t>AA2/01.10.2019</t>
  </si>
  <si>
    <t>AA1/27.09.2019</t>
  </si>
  <si>
    <t>Fundamentarea deciziilor si masuri pentru simplificarea procedurilor administrative pentru cetățeni la nivelul UAT Municipiul Bistrița</t>
  </si>
  <si>
    <t>Reducerea birocratiei și imbunatatirea procesului de luare a deciziei prin introducerea unor metode si sisteme coerente de planificare bugetara.
Descrierea obiectivelor specifice ale proiectului
1.  Simplificarea interacțiunii cetățenilor cu administrația publică locală și creșterea transparenței în luarea deciziilor prin implementarea de instrumente informatice de eGuvernare 
2.  Imbunatatirea procesului de alocare a resurselor in cadrul municipiului Bistrita prin implicarea cetățenilor și introducerea unui sistem modern de planificare bugetară, evaluare ex-ante și prioretizare a investițiilor , cu ajutorul instrumentelor informatice</t>
  </si>
  <si>
    <t>Obiectivul general al proiectului "Simplificarea procedurilor administrative si reducerea birocratiei pentru cetateni la nivelul Primariei Municipiului Sfantu Gheorghe" consta in simplificarea procedurilor administrative si reducerea birocratiei pentru cetatenii Mun Sfantu Gheorghe prin implementarea unor masuri de simplificare, atat din perspectiva back-office, cat si front-office pentru serviciile furnizate exclusiv de catre Primaria municipiului Sfantu Gheorghe.      
1. Asigurarea accesului online la serviciile gestionate exclusiv de primaria municipiului Sfantu Gheorghe - in termen de 30 luni de
la semnarea contractului de finantare.
2. Digitalizarea proceselor de administrare a documentelor- in termen de 30 de luni de la semnarea contractului de finantare.
3. Retro-digitalizarea documentelor din arhiva - in termen de 30 de luni de la semnarea contractului de finantare.</t>
  </si>
  <si>
    <t>Planificare Strategică și Implementarea de Proceduri pentru reducerea birocrației în Municipiul Baia Mare și Zona Metropolitană</t>
  </si>
  <si>
    <t>Municipiul Baia Mare</t>
  </si>
  <si>
    <t>ASOCIATIA DE DEZVOLTARE INTERCOMUNITARA ZONA METROPOLITANA BAIA MARE</t>
  </si>
  <si>
    <t xml:space="preserve">Obiectivul general al proiectului: Imbunatatirea proceselor de luare a deciziei si planificare strategica la nivelul Municipiului Baia Mare si al Asociatiei de Dezvoltare Intercomunitara Zona Metropolitana Baia Mare, prin introducerea unor metode si sisteme coerente de fundamentare a deciziilor, corelare cu resursele disponibile si pregatirea personalului aparatului tehnic de specialitate, pentru utilizarea acestor instrumente.
Obiectivele specifice ale proiectului
1. Îmbunatațirea procesului de planificare strategica – elaborare Plan Strategic Instituțional, prioritizare a investițiilor (educație,
sanatate, infrastructura si transport), actualizarea strategiilor (SIDU, PMUD, PAED), cresterea implicarii comunitații locale si
atragerea de investiții
2. Furnizarea instrumentelor software de interacțiune cu cetațeanul si implicare a comunitații locale în actul administrative în
domeniile eGuvernare si transport public local
</t>
  </si>
  <si>
    <t>Eficientizarea activităților de autorizare și control a operatorilor economici prin implementarea unui sistem informatic integrat dedicat</t>
  </si>
  <si>
    <t xml:space="preserve">Obiectivul general al proiectului il reprezinta consolidarea capacitatii institutionale a Ministerului Turismului, de dezvoltare si sustinere a
unui turism modern si competitiv in Romania, prin implementarea unui sistem informatic care sa permita optimizerea proceselor
decizionale orientate catre cetateni si mediul de afaceri in concordanta cu SCAP
OS1. Imbuntatirea capacitatii de management a Ministerului Turismului, pentru indeplinirea functiilor sale, prin realizarea unei analize a procedurilor existente la nivelul institutiei cu privire la depunerea documentelor necesare obtinerii autorizarii operatorilor
economici si la activitatea de control.
OS2. Consolidarea capacitatii Ministerului Turismului de a asigura calitatea si accesul la serviciile publice prin implementarea unui sistem informatic integrat pentru gestionarea online si in timp real a tuturor categoriilor de autorizatii emise.
OS3. Cresterea nivelului de pregatire a personalului Ministerului Turismului prin instruirea unui numar de 230 de angajati pentru utilizarea sistemului informatic integrat implementat precum si a procedurilor si a proceselor interne.
</t>
  </si>
  <si>
    <t>Îmbunatatirea capacitatii autoritatii publice centrale în domeniul protectiei mediului marin în ceea ce priveste monitorizarea, evaluarea, planificarea, implementarea si raportarea cerintelor stabilite în Directiva Cadru Strategia Marina si pentru gospodarirea integrata a zonei costiere</t>
  </si>
  <si>
    <t>1. ADMINISTRATIA NATIONALA "APELE ROMANE"                                                                                     2. INSTITUTUL NAŢIONAL DE CERCETARE-DEZVOLTARE MARINĂ "GRIGORE ANTIPA"</t>
  </si>
  <si>
    <t>1. Asigurarea cadrului optim pentru repartizarea competentelor între administraþia publica centrala si administraþia publica locala si
exercitarea lor sustenabila si în mod special a actiunii.2. Cresterea coerentei, eficientei, predictibilitatii si transparentei procesului decizional în administraþia publica prin: Stabilirea cadrului institutional pentru îmbunatatirea implementarii politicilor si a punerii în aplicarea prioritatilor Guvernului; Dezvoltarea si monitorizarea periodica a mecanismului de coordonare a implementarii documentelor strategice;Îmbunatatirea procesului de evaluare a impactului reglementarilor, a procesului de consultare publica, concomitent cu sistematizarea si simplificarea legislatiei.
3. Solutii IT pentru eficientizarea administratiei publice prin identificarea si implementarea solutiilor ITC avizate de institutiile abilitate
potrivit legii, de natura sa îndeplineasca cerinþele operationale identificate. 4. Îmbunatatirea proceselor interne la nivelul instituþiilor publice prin cresterea calitatii proceselor de monitorizare si evaluare a politicilor publice guvernamentale. 5. Dezvoltarea de mecanisme de monitorizare si evaluare a serviciilor publice. 6. Proiectul implementeaza acþiuni din Strategia privind mai buna reglementare 2014-2020 legate în special de: Cresterea calitatii fluxului reglementarilor; Implementarea legislatiei europene;Dezvoltarea capacitatii administrative pentru implementarea politicilor privind mai buna reglementare</t>
  </si>
  <si>
    <t>Îmbunătăţirea sistemului de monitorizare a tranzacţiilor intracomunitare</t>
  </si>
  <si>
    <t xml:space="preserve">Obiectivul general al proiectului îl reprezintă consolidarea capacității Agenției Naționale de Administrare Fiscală de optimizare a proceselor decizionale orientate către cetăţeni şi mediul de afaceri, prin dezvoltarea și introducerea unui sistem informatic de monitorizare a tranzacțiilor intracomunitare.
Obiective specifice:
Reducerea poverii administrative şi a birocraţiei pentru cetăţeni şi mediul de afaceri prin elaborarea unei proceduri îmbunătățite şi simplificate de monitorizare a tranzacţiilor intracomunitare de bunuri;
2. Consolidarea capacității administrative în domeniul controlului tranzacţiilor intracomunitare de bunuri şi eficientizarea analizei de risc prin implementarea sistemului informatic de monitorizare;
3. Creșterea capacității administrative de control a Agenţiei în domeniul antifraudei fiscale prin gestionarea uniformă şi controlul eficient al documentelor privind tranzacţiile intracomunitare de bunuri;
4. Eficientizarea activităţii de prevenire şi combatere a evaziunii fiscale în domeniul comerţului intracomunitar ca urmare a încărcării și gestionării electronice prin aplicaţia informatică a informațiilor primite de la operatorii economici;
5. Creșterea gradului de conștientizare a mediului de afaceri și a nivelului conformării voluntare prin derularea campaniei de informare şi promovare a procedurii simplificate şi a sistemului informatic aferent;
6. Îmbunătățirea cunoștințelor și abilităților angajaţilor de la nivelul ANAF prin instruirea acestora în vederea însușirii procedurii îmbunătățite de monitorizare a tranzacţiilor intracomunitare şi utilizării sistemului informatic dezvoltat în cadrul proiectului.
</t>
  </si>
  <si>
    <t>AA1/14.10.2019</t>
  </si>
  <si>
    <t>Cresterea coerentei cadrului normativ si a eficientei reglementarilor tehnice in domeniul constructiilor</t>
  </si>
  <si>
    <t>1.Optimizarea cadrului de reglementare în domeniul construcþiilor, cu accent pe reducerea sarcinilor administrative, cresterea
eficacitaþii organismelor responsabile si a coerenþei reglementarilor tehnice aplicabile construcþiilor si investiþiilor publice
2. Dezvoltarea unor instrumente metodologice, de informare si comunicare pentru asigurarea proiectarii de calitate în domeniul
arhitecturii si ingineriei si pentru asigurarea îndeplinirii angajamentelor asumate, inclusiv din perspectiva transpunerii si
implementarii în legislaþia naþionala a actelor comunitare în domeniul construcþiilor
3. Informarea si instruirea unui aparat administrativ eficient care sa se bazeze pe instrumente obiective, cuantificabile si usor de
monitorizat si actualizat pentru asigurarea un mediu construit sustenabil, inteligent si incluziv si sprijinirea dezvoltarii la nivel local
si pentru cresterea calitaþii serviciilor publice</t>
  </si>
  <si>
    <t>Crearea cadrului strategic si operational
pentru planificarea si reorganizarea la nivel
national si regional a serviciilor de sanatate</t>
  </si>
  <si>
    <t>1. Elaborarea Strategiei Naþionala de Sanatate 2021 – 2027
2. Dezvoltarea unei metodologii de elaborare a masterplanurilor regionale de servicii de sanatate;
3. Elaborarea celor cinci masterplanuri regionale de servicii de sanatate pentru regiunile: Centru, Sud-Est, Sud-Muntenia, Vest,
Bucuresti-Ilfov;
4. Crearea unui sistem de indicatori facil de colectat si cuantificat pentru monitorizarea si evaluarea implementarii MRSS;
5. Actualizarea Planurilor Regionale de Servicii Regionale de Sanatate;
6. Instruirea reprezentantilor Ministerul Sanataþii, ai Casei Nationale de Asigurari de Sanatate, ai INSP, SNSPMS, si ai
autoritaþilor/instituþiilor publice locale membre ale comitetelor de directoare regionale si judeþene, implicaþi în activitatea de
elaborare, avizare, aprobare a MRSS, precum si în activitaþile de monitorizare si evaluare a acestora.</t>
  </si>
  <si>
    <t>Cadrul strategic pentru dezvoltarea infrastructurii politicilor publice derulate de MRP</t>
  </si>
  <si>
    <t>AA 1/18.10.2019</t>
  </si>
  <si>
    <t>Îmbunătățirea cadrului de fundamentare și evaluare a politicilor publice de dezvoltare teritorială</t>
  </si>
  <si>
    <t xml:space="preserve">Îmbunătățirea capacității de fundamentare a deciziilor luate la nivelul MDRAP și punerea în aplicare a politicilor publice bazate pe dovezi.
Obiectivele specifice ale proiectului:
Elaborarea unei politici publice în domeniul programelor de investiții gestionate de MDRAP. 
Realizarea unei proceduri îmbunătățite de coordonare și cooperare interinstituțională pentru corelarea investițiilor de dezvoltare.
</t>
  </si>
  <si>
    <t>AA nr. 1/18.10.2019</t>
  </si>
  <si>
    <t>Întărirea capacității autorității publice centrale în domeniul apelor în scopul implementării etapelor a 2-a și a 3-a ale Ciclului II al Directivei Inundații - RO-FLOODS</t>
  </si>
  <si>
    <t>ADMINISTRATIA NATIONALA "APELE ROMANE"</t>
  </si>
  <si>
    <t>Obiectivul general  al proiectului este dezvoltarea la nivelul MRP a unui set de instrumente de planificare strategică prin fundamentarea unei noi Strategii pentru românii de pretutindeni 2021-2024, in vederea identificării de soluții specifice, ca răspuns la problemele particulare existente în fiecare comunitate românească din afara granițelor. Realizarea acestui obiectiv va contribui la atingerea Obiectivului specific 1.1. Dezvoltarea și introducerea de sisteme și standarde comune în administrația publică ce optimizează procesele decizionale orientate către cetățeni și mediul de afaceri, în concordanță cu SCAP, din cadrul Axei prioritare 1. Administrație publică și sistem judiciar eficiente a POCA 2014-2020. 
Obiective specifice:
Optimizarea procesele decizionale orientate către cetățenii români din afara granițelor și mediul de afaceri,  se va realiza prin îndeplinirea următoarelor obiective specifice:
1. Fundamentarea strategiilor și politicilor elaborate în domeniile de competență ale MRP, cu accent pe buna guvernare;
2. Realizarea unui Plan de optimizare și prioritizare a intervențiilor finanțate de MRP;
3. Îmbunătățirea abilităților personalui MRP în vederea elaborării unui set de instrumente de planificare strategică pentru românii de pretutindeni.</t>
  </si>
  <si>
    <t>Obiectivul general al proiectului îl reprezintă fundamentarea și sprijinirea măsurilor de implementare ce vizează adaptarea structurilor, optimizarea proceselor și pregătirea resurselor umane necesare îndeplinirii obligațiilor asumate prin Legea Apelor nr. 107/1996 cu modificarile și completările ulterioare, a H.G. 846/2010 privind aprobarea Strategiei Naționale de Management al Riscului la inundații pe termen mediu și lung, precum și conformarea cu cerințele Directivei 2007/60/EC privind evaluarea și gestionarea riscului la inundații în scopul consolidării capacității autorităților și instituțiilor publice din domeniul gopodăririi apelor și al managementului riscului la inundații.
Obiective specifice:
1 Hărți de hazard și hărți de risc la inundații in vederea pregatirii de catre autoritatile responsabile a raportarii acestora catre CE, etapa a 2 a pentru ciclul II de implementare a Directivei Inundatii, necesare pentru imbunatatirea planurilor de amenajare a teritoriului la nivel național, județean și zonal, a planurilor de urbanism - P.U.G., P.U.Z., P.U.D. si planurilor bazinale, judetene si locale de apărare împotriva inundațiilor, ghețurilor și poluărilor accidentale.
2 Versiune preliminara a Planurilor de Management al Riscului la Inundatii la nivelul bazinelor hidrografice (11 PMRI+PMRI Fluviul Dunarea) actualizate in vederea pregatirii de catre autoritatile responsabile a raportarii acestora catre CE, etapa a 3- a pentru ciclul II de implementare al Directivei Inundatii, care sa includa combinatii de masuri struturale/nestructurale, masuri verzi si de punere in siguranta a infrastructurii bazate pe analize cost-beneficiu si prioritizate conform metodologiilor realizate in cadrul proiectului; identificarea activitatilor viitoare pentru ciclul III de implementare al Directivei Inundatii si dezvoltarea de idei de proiecte/versiuni preliminare de fise de proiect. 
3 Portal GIS funcțional
4 Hotărâre de Guvern pentru aprobarea Planurilor de Management al Riscului la Inundatii- ciclul II in urma parcurgerii procedurii pentru Evaluarea Strategica de Mediu.
5 Cunoștințe și abilități imbunatatite ale personalului din autoritatile publice centrale ale Ministerului Apelor si Padurilor, , Ministerul Afacerilor Interne, Ministerul Dezvoltarii Regionale si Administratiei Publice, Ministerul Agriculturii si Dezvoltarii Rurale, Ministerul Transporturilor, Ministerul Energiei, Ministerul Finantelor Publice, Ministerul Mediului si din institutiile din subordonare/coordonare Administratia Nationala Apele Romane, Institutul National de Hidrologie si Gospodarirea Apelor Agentiile de mediu, Inspectoratul General pentru Situatii de Urgenta, Agentia Nationala de Imbunatatiri Funciare, Compania Nationala de Administrare a Infrastructurii Rutiere, Directii Regionale de Drumuri si Poduri , Romsilva si alte institutii si organizatii cu responsabilitati, in domeniul managementului riscului la inundatii si a implementarii Directivei Inundatii 60/2007/CE.</t>
  </si>
  <si>
    <t>Eliminarea factorilor pentru inflația de cauze, identificarea elementelor normative și a tendințelor de aglomerare - EFICIENTA</t>
  </si>
  <si>
    <t>CONSILIUL SUPERIOR AL MAGISTRATURII</t>
  </si>
  <si>
    <t>Proiectul are ca principală contribuție la program îmbunătățirea accesului la justiție printr-un proces transparent și predictibil de reducere a cauzelor care conduc la aglomerarea instanțelor şi implicit durata lungă de soluţionare. Mecanismele create prin intermediul proiectului sunt de natură să asigure un sistem transparent de intervenție şi soluţionare a cauzelor repetitive. Buna funcționare a justiţiei presupune capacitatea de a evalua continuu gradul de eficiență a sistemului raportat la durata procedurilor, practica uniformă, corelarea factorilor de legiferare cu cei de aplicare prin decizii judiciare, eliminarea cauzelor de aplicare neunitară şi nepredictibilă a cadrului de reglementare ori a deficiențelor de elaborare a normelor care conduc la dificultăți de aplicare în sistemul judiciar. 
Obiective specifice:
1 Elaborarea mecanismelor (metodologii şi instrumente) de avertizare timpurie a situațiilor de cauze repetitive;
2 Crearea unei platforme de dialog interinstituțional pentru îmbunătățirea reglementărilor ca urmare a datelor reieșite din gestionarea cauzelor în sistemul judiciar;
3 Realizarea studiilor pentru identificarea modificărilor legislative şi elaborarea proiectelor concrete, privind procedurile judiciare în cauzele civile, comerciale, de familie si contencios administrativ necesare gestionării cauzelor repetitive care aglomerează şi îngreunează soluționarea cu eficiență a cauzelor pe rolul instanțelor;
4 Elaborarea instrumentelor de politică publică (proceduri, instrumente şi campanie de conștientizare) pentru stimularea soluționării alternative a disputelor.</t>
  </si>
  <si>
    <t>Modernizarea si sistematizarea cadrului legal, a instrumentelor de colectare a datelor si a metodelor de gestiune integrata a proceselor
statistice pentru consolidarea capacitaþii INS în pregatirea, organizarea si realizarea recensamintelor naþionale (din perioada 2020-2021 si
ulterior) si elaborarea statisticilor oficiale ce susþin politicile publice si procesul decizional.
Obiectivele specifice ale proiectului
1. revizuirea si elaborarea în perioada 2019-2022 a 8 acte normative (legislaþie primara si secundara) la nivelul cerinþelor proceselor
statistice actuale pentru funcþionarea Sistemului Statistic National (SSN) si producþia de statistici oficiale, precum si privind Recensamântul General Agricol 2020 (RGA2020) si Recensamântul Populaþiei si Locuinþelor 2021 (RPL2021) si testarea preliminara a instrumentelor de colectare si prelucrare a datelor conform noilor prevederi legale;
2. introducerea în perioada 2019-2022 a instrumentelor moderne de colectare a datelor primare pentru producþia de statistici oficiale (1 sistem integrat si documentat pentru RGA2020, 1 sistem integrat si documentat pentru RPL2021, 1 sistem integrat si documentat pentru perioadele intercenzitare) si a metodelor de gestiune a proceselor statistice (1 sistem integrat si documentat pentru Modelului Generic de Activitaþi pentru Organismele Statistice - MGAOS)/ Modelului Generic de procese Statistice - MGPS)
3. consolidarea în perioada 2019-2022 a proceselor de evaluare, pregatire si de elaborare a documentelor strategice privind dezvoltarea statisticii (1 foaie de parcurs 2019-2020 si 1 Strategie de Dezvoltare a Sistemului Statistic Naþional - SDSSN 2021-2027);
4. asigurarea necesarului de cunostinþe si competenþe în perioada 2019-2022 pentru personalul implicat în producþia statisticilor oficiale, a realizarii recensamintelor naþionale si a proceselor de planificare pe termen lung si operaþionala a statisticii oficiale (10 programe de instruire, pentru 675 de participanþi)</t>
  </si>
  <si>
    <t>ASOCIAȚIA CREST</t>
  </si>
  <si>
    <t>AA 1/ 12.04.2019, AA2/28.10.2019</t>
  </si>
  <si>
    <t>AA1/28.10.2019</t>
  </si>
  <si>
    <t>Judetul Olt</t>
  </si>
  <si>
    <t>Administratie eficienta, servicii de calitate la nivel judetean</t>
  </si>
  <si>
    <t xml:space="preserve">OS 1: Introducerea unor mecanisme si proceduri standard implementate la nivel local pentru fundamentarea deciziilor si planificarea strategica pe termen lung.
OS 2: Realizarea unor seturi de Proceduri simplificate pentru reducerea birocratiei pentru cetateni la nivel local, corelate cu Planul integrat de simplificare a procedurilor administrative pentru cetateni implementate.
OS 3: Cresterea nivelului de cunostinte si abilitati ale personalului Consiliului Judetean Olt, in vederea sprijinirii masurilor/actiunilor vizate de acest obiectiv specific.
</t>
  </si>
  <si>
    <t>Dezvoltarea capacității instituționale a Ministerului Sanătății și Direcțiilor de sănătate publică județene, respectiv a municipiului București pentru simplificarea procedurilor de reglementare sanitară</t>
  </si>
  <si>
    <t xml:space="preserve">OS1. Implementarea unor măsuri de simplificare pentru cetățeni și de reducere a poverii administrative pentru mediul de afaceri (digitalizarea serviciilor de avizare și autorizare, arhivarea electronică, retrodigitalizarea arhivei), pentru furnizarea digitală a serviciilor menționate și a fluxurilor de lucru de bază din cadrul instituției, în scopul eficientizării proceselor, reducând astfel durata procedurilor aferente serviciilor de avizare și autorizare furnizate exclusiv de către MS/DSP.                                                                                                                                                     OS2. Îmbunătățirea abilitaților și cunoștințelor personalului MS/DSP în utilizarea instrumentelor aferente măsurilor implementate prin proiect. Se urmareste formarea/instruirea și certificarea a 200 de persoane din cadrul grupului țintă (familiarizarea cu soluțiile implementate, însușirea cunoștințelor necesare utilizării aplicațiilor informatice, deprinderea funcționalităților și a modului de folosire, înțelegerea implicațiilor și avantajelor pentru realizarea obiectivelor specifice aferente proiectului).
</t>
  </si>
  <si>
    <t>Consolidarea capacitatii institutionale a autoritatilor administratiei publice centrale cu atributii în domeniu, în vederea cresterii calitatii serviciului public de politie locala</t>
  </si>
  <si>
    <t>OS 1. Realizarea instrumentelor necesare autoritaþilor publice centrale si locale în scopul îmbunataþirii cadrului organizatoric si
funcþional specific structurilor de poliþie locala
OS 2. Crearea cadrului normativ specific asigurarii unui management eficient al carierei poliþistului local si modernizarea
sistemului de formare continua si de perfecþionare a pregatirii personalului din structurile de Poliþie Locala</t>
  </si>
  <si>
    <t>AA2/01.11.2019</t>
  </si>
  <si>
    <t>Obiectivul general al proiectului consta consolidarea capacitaþii instituþionale si eficientizarea activitaþii la nivelul Municipiului Roman, prin simplificarea procedurilor administrative si reducerea birocraþiei pentru cetaþeni, implementând masuri din perspectiva back-office (adaptarea procedurilor interne de lucru, digitalizarea arhivelor), si front-office pentru serviciile publice furnizate.                                                                                                                                                                                                                                                                                                                                                                                                     OS1.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Roman, în vederea sprijinirii masurilor vizate de proiect. Este avuta în vedere formarea/instruirea, evaluarea/testarea si certificarea competenþelor/cunostinþelor dobândite pentru 50 persoane din cadrul grupului þinta, în ceea ce priveste utilizarea soluþiilor informatice implementate în cadrul proiectului (R3).</t>
  </si>
  <si>
    <t>FIECARE OM CONTEAZĂ! Evaluarea nevoilor persoanelor fără adăpost și a impactului serviciilor sociale existente asupra calitătii vietii acestora</t>
  </si>
  <si>
    <t>Dezvoltarea capacitatii administrative a MMJS de a-si fundamenta politicile publice care vizeaza persoanele fara adapost bazate pe dovezi ce optimizeaza procesele decizionale orientate catre cetateni si mediul de afaceri, în concordanta cu SCAP.
Scopul proiectului este de a dezvolta si introduce sisteme si standarde comune în administratia publica (o politica publica, o metodologie,
analiza localizarii în strada, cartografierea situatiei, un raport de analiza cantitativa si calitativa), realizarea unei diagnoze a nevoilor sociale
a persoanelor fara adapost, cresterea calitatii serviciilor oferite cetatenilor, respectarea transparentei si eficientei în elaborarea actului
administrativ si cresterea performantei profesionale a functionarilor publici.
1. O.S.1. Cresterea eficientei si eficacitatii politicilor publice care vizeaza persoanele fara adapost prin dezvoltarea unei metodologii de identificare a persoanelor fara adapost, reprezentarea geo-spatiala acestora, diagnoza nevoilor acestora si elaborarea unei politici publice în acest sens
2. O.S.2. Imbunatatirea nivelului de cunoastere a fenomenului persoanelor fara adapost, print realizarea unui raport de analiza cantitativa si calitativa a datelor culese din teren, insotit de recomandari privind serviciile oferite persoanelor acestui grup vulnerabil.
3. O.S. 3. Cresterea performantelor profesionale ale functionarilor publici prin participarea la cursurile de instruire în domeniul politicilor publice si interventiilor care vizeaza persoanele fara adapost precum si a utilizarii instrumentelor create.
4. O.S.4. Elaborarea si fundamentarea propunerii de politica publica privind persoanele fara adapost consultand reprezentanti ai AAPL, ONG-uri si alti factori interesati.</t>
  </si>
  <si>
    <t xml:space="preserve"> Proiect cu acoperire natională</t>
  </si>
  <si>
    <t>119 - Investitii în capacitatea institutională și în eficienta administratiilor și a serviciilor publice la nivel national, regional și local, în perspectiva realizării de reforme, a unei mai bune legiferări și a bunei guvernante</t>
  </si>
  <si>
    <t>AA2/07.10.2019</t>
  </si>
  <si>
    <t>AGENTIA NATIONALĂ PENTRU ARII NATURALE PROTEJATE</t>
  </si>
  <si>
    <t>AA1/08.11.2019</t>
  </si>
  <si>
    <t>AUTORITATEA NATIONALA PENTRU PERSOANELE CU DIZABILITĂȚI, COPIL ȘI ADOPȚII</t>
  </si>
  <si>
    <t>Ministerul Educației și Cercetării</t>
  </si>
  <si>
    <t>Ministerul Muncii și Protecției Sociale</t>
  </si>
  <si>
    <t>MINISTERUL ECONOMIEI, ENERGIEI ȘI MEDIULUI DE AFACERI</t>
  </si>
  <si>
    <t>MINISTERUL TRANSPORTURILOR, INFRASTRUCTURII ȘI COMUNICAȚIILOR</t>
  </si>
  <si>
    <t>MINISTERUL MUNCII ȘI PROTECȚIEI SOCIALE</t>
  </si>
  <si>
    <t>DEPARTAMENTUL PENTRU ROMÂNII DE PRETUTINDENI</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</si>
  <si>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OS1: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OS2: Dezvoltarea si promovarea a unui mecanism de monitorizare si a 2 politici publice alternative în domeniul educației.</t>
  </si>
  <si>
    <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b/>
        <sz val="12"/>
        <rFont val="Calibri"/>
        <family val="2"/>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b/>
        <sz val="12"/>
        <rFont val="Calibri"/>
        <family val="2"/>
        <scheme val="minor"/>
      </rPr>
      <t xml:space="preserve">
</t>
    </r>
  </si>
  <si>
    <r>
      <t xml:space="preserve">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protecþie,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t>
    </r>
    <r>
      <rPr>
        <b/>
        <sz val="12"/>
        <rFont val="Calibri"/>
        <family val="2"/>
        <scheme val="minor"/>
      </rPr>
      <t>Obiectivele specifice ale proiectului</t>
    </r>
    <r>
      <rPr>
        <sz val="12"/>
        <rFont val="Calibri"/>
        <family val="2"/>
        <scheme val="minor"/>
      </rPr>
      <t xml:space="preserve">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protecþie,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protecþie,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r>
  </si>
  <si>
    <r>
      <rPr>
        <b/>
        <sz val="12"/>
        <rFont val="Calibri"/>
        <family val="2"/>
        <scheme val="minor"/>
      </rPr>
      <t xml:space="preserve">Obiectiv general  </t>
    </r>
    <r>
      <rPr>
        <sz val="12"/>
        <rFont val="Calibri"/>
        <family val="2"/>
        <scheme val="minor"/>
      </rPr>
      <t xml:space="preserve">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t>
    </r>
    <r>
      <rPr>
        <b/>
        <sz val="12"/>
        <rFont val="Calibri"/>
        <family val="2"/>
        <scheme val="minor"/>
      </rPr>
      <t xml:space="preserve">Obiective specifice                                                                                                                                                                                                                         </t>
    </r>
    <r>
      <rPr>
        <sz val="12"/>
        <rFont val="Calibri"/>
        <family val="2"/>
        <scheme val="minor"/>
      </rPr>
      <t>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activitaþi în comun pe baza abilitaþilor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viaþa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r>
  </si>
  <si>
    <r>
      <rPr>
        <b/>
        <sz val="12"/>
        <rFont val="Calibri"/>
        <family val="2"/>
        <scheme val="minor"/>
      </rPr>
      <t>Obiectivul general</t>
    </r>
    <r>
      <rPr>
        <sz val="12"/>
        <rFont val="Calibri"/>
        <family val="2"/>
        <scheme val="minor"/>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scheme val="minor"/>
      </rPr>
      <t>Obiectivele specifice ale proiectului</t>
    </r>
    <r>
      <rPr>
        <sz val="12"/>
        <rFont val="Calibri"/>
        <family val="2"/>
        <scheme val="minor"/>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</si>
  <si>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r>
      <rPr>
        <b/>
        <sz val="12"/>
        <rFont val="Calibri"/>
        <family val="2"/>
        <scheme val="minor"/>
      </rPr>
      <t>Obiectivul general</t>
    </r>
    <r>
      <rPr>
        <sz val="12"/>
        <rFont val="Calibri"/>
        <family val="2"/>
        <scheme val="minor"/>
      </rPr>
      <t xml:space="preserve"> consta in dezvoltarea capacitatii ONG-urilor de a dezvolta politici publice alternative, în vederea optimizarii proceselor decizionale ale administratieipublice, orientate catre cetateni si mediul de afaceri.</t>
    </r>
    <r>
      <rPr>
        <b/>
        <sz val="12"/>
        <rFont val="Calibri"/>
        <family val="2"/>
        <scheme val="minor"/>
      </rPr>
      <t xml:space="preserve"> Obiective specifice:</t>
    </r>
    <r>
      <rPr>
        <sz val="12"/>
        <rFont val="Calibri"/>
        <family val="2"/>
        <scheme val="minor"/>
      </rPr>
      <t xml:space="preserve"> 1) Cresterea capacitaþii de a dezvolta politici publice alternative pentru cele 5 ONG-uri (1 solicitant si 4 parteneri); 2)Dezvoltarea abilitaþilor pentru cel putin 15 persoane (reprezentanti ONG) în realizarea de campanii de advocacy si dezvoltarea de politici publice alternative, pâna la finalul implementarii proiectului; 3) Dezvoltarea de politici publice alternatve în domeniul evaluarii si gestionarii calitaþii aerului pâna la finalul implementarii proiectului.</t>
    </r>
  </si>
  <si>
    <r>
      <rPr>
        <b/>
        <sz val="12"/>
        <rFont val="Calibri"/>
        <family val="2"/>
        <scheme val="minor"/>
      </rPr>
      <t>Obiectiv general:</t>
    </r>
    <r>
      <rPr>
        <sz val="12"/>
        <rFont val="Calibri"/>
        <family val="2"/>
        <scheme val="minor"/>
      </rPr>
      <t xml:space="preserve">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t>
    </r>
    <r>
      <rPr>
        <b/>
        <sz val="12"/>
        <rFont val="Calibri"/>
        <family val="2"/>
        <scheme val="minor"/>
      </rPr>
      <t>Obiective specifice:</t>
    </r>
    <r>
      <rPr>
        <sz val="12"/>
        <rFont val="Calibri"/>
        <family val="2"/>
        <scheme val="minor"/>
      </rPr>
      <t xml:space="preserv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reþele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r>
  </si>
  <si>
    <t>SIMCA - Standarde și Instrumente în Implementarea Managementului Calității Administrative la nivelul Primăriei Municipiului Craiova</t>
  </si>
  <si>
    <r>
      <t>As</t>
    </r>
    <r>
      <rPr>
        <sz val="12"/>
        <color theme="1"/>
        <rFont val="Calibri"/>
        <family val="2"/>
        <scheme val="minor"/>
      </rPr>
      <t>ociația "Institutul pentru Politici Publice"</t>
    </r>
  </si>
  <si>
    <r>
      <t>“Calitate, eficiență și performanță a managementului la nivelul UAT Municipiul Zalău (CEP UAT Zalău)</t>
    </r>
    <r>
      <rPr>
        <i/>
        <sz val="12"/>
        <color theme="1"/>
        <rFont val="Calibri"/>
        <family val="2"/>
        <scheme val="minor"/>
      </rPr>
      <t>”</t>
    </r>
  </si>
  <si>
    <r>
      <t>FEDERA</t>
    </r>
    <r>
      <rPr>
        <b/>
        <sz val="12"/>
        <color theme="1"/>
        <rFont val="Calibri"/>
        <family val="2"/>
        <scheme val="minor"/>
      </rPr>
      <t>ŢIA NAŢIONALĂ A SINDICATELOR MUNCII ȘI PROTECŢIEI SOCIALE</t>
    </r>
  </si>
  <si>
    <t>1. Ministerul Muncii și Protecției Sociale
2. Agenția Națională a Funcționarilor Publici</t>
  </si>
  <si>
    <t>MINISTERUL LUCRĂRILOR PUBLICE, DEZVOLTĂRII ȘI ADMINISTRAȚIEI (Institutul Național de Administrație)</t>
  </si>
  <si>
    <t>1. Patronatul Serviciilor Publice
2. MINISTERUL ECONOMIEI, ENERGIEI ȘI MEDIULUI DE AFACERI</t>
  </si>
  <si>
    <t>1. MINISTERUL ECONOMIEI, ENERGIEI ȘI MEDIULUI DE AFACERI (INSTITUTUL NAŢIONAL DE     ADMINISTRAŢIE)                      2. AGENTIA NATIONALA A FUNCTIONARILOR PUBLICI</t>
  </si>
  <si>
    <t>AA1/13.11.2019</t>
  </si>
  <si>
    <t>IP16/2019</t>
  </si>
  <si>
    <t>Oficiul Național pentru Achiziții Centralizate</t>
  </si>
  <si>
    <t>Dezvoltarea și implementarea unor mecanisme electronice integrate pentru desfășurarea și
monitorizarea achizițiilor centralizate</t>
  </si>
  <si>
    <t>1. MINISTERUL AFACERILOR INTERNE/MAI/DSU
2. CONSILIUL NATIONAL DE SOLUTIONARE A CONTESTATIILOR/Serviciul economic</t>
  </si>
  <si>
    <t xml:space="preserve">Întărirea capacității O.N.A.C. și a partenerilor prin utilizarea de instrumente inovatoare necesare operaționalizării și eficientizării procesului de achiziții centralizate și reducerii neregulilor, precum și prin clarificarea rolurilor și competențelor structurilor implicate în pregătirea și gestionarea achizițiilor publice, în contextul complexității procesului generat de elementele de noutate privind colectarea simultană/agregarea nevoilor, standardizarea specificațiilor tehnice a produselor/serviciilor achiziționate de O.N.A.C.
Obiectivele specifice:
1. Îmbunătățirea cooperării intra și interinstituțională dintre principalele instituții publice implicate în gestionarea sistemului de achiziții centralizate şi utilizatori 
2. Creșterea calității procesului de achiziții publice centralizate prin eficientizarea practicilor interne de lucru ale ONAC și operaționalizarea procedurilor de atribuire centralizată
3. Reducerea barierelor administrative în domeniul achizițiilor centralizate din sectorul serviciilor medicale de urgență prin extinderea mandatului ONAC și stabilirea rolurilor înte principalii actori implicați 
4. Accesibilizarea practicii judiciare a CNSC prin realizarea unei analize pentru identificarea principalelor probleme, reclamate prin contestații, în atribuirea produselor/ serviciilor care pot face obiectul achizițiilor centralizate în vederea reducerii neregulilor
5.  Dezvoltarea unor mecanisme electronice integrate pentru planificare și monitorizarea procedurilor de atribuire centralizate în vederea creșterii transparenței și randamentului sistemului pentru o utilizare mai eficientă a fondurilor publice.
6. Îmbunătățirea competențelor și cunoștințelor personalului ONAC și al partenerilor
</t>
  </si>
  <si>
    <t>Consolidarea capacității Arhivelor Naționale
de furnizare a serviciilor publice (eVITALA)</t>
  </si>
  <si>
    <t>Arhivele Naționale</t>
  </si>
  <si>
    <t>Obiectivul general al proiectului este consolidarea capacității Arhivelor Naționale de furnizare a serviciilor publice, prin simplificare și modernizare normativă și de infrastructura.
Obiectivele specifice ale proiectului
1. Sistematizarea și simplificarea fondului activ al legislației prin elaborarea unor norme metodologice în aplicarea Legii Arhivelor, pentru transformarea digitală a evidenței arhivistice.
2. Simplificare procedurala și reducere a birocrației prin elaborarea unui regulament de acces la cercetare si a 2 proceduri subsecvente.
3. Reducerea poverii administrative pentru cetățeni și organizații prin accesibilizarea online a instrumentelor de evidență arhivistică, stabilirea de criterii pentru digitalizarea de acces si înlocuire, precum și pentru planificarea condițiilor de păstrare și conservare
arhivă în vederea accesului îmbunatățit la documente.
4. Dezvoltarea cunostințelor și abilităților personalului din Arhivele Naționale, prin organizarea de instruiri privind normativele întocmite și folosirea optimă a instrumentelor informatice pentru exploatarea conținutului informațional furnizat în proiect.
5. Sprijinirea dezvoltării la nivel local prin elaborarea și adoptarea unui Plan de acțiune pentru cresterea calității serviciilor de conservare, depozitare și acces la sediile ANR in scopul cresterii calității serviciilor publice oferite de structurile teritoriale (județene și din municipiul Bucrești) ale Arhivelor Naționale.</t>
  </si>
  <si>
    <t>AA2/18.12.2019</t>
  </si>
  <si>
    <t>AA2/18.11.2019</t>
  </si>
  <si>
    <t>AA 2/11.11.2019 prelungire</t>
  </si>
  <si>
    <t>AA1/19.11.2019</t>
  </si>
  <si>
    <t>Dezvoltarea, stimularea și eficientizarea muncii prin agent de muncă temporară și a serviciilor de formare profesională pentru o piață a muncii competitivă și performantă</t>
  </si>
  <si>
    <t>Obiectivul principal al proiectului il reprezinta de pe o parte impulsionarea muncii prin agent de munca temporara, þinând cont de principiul egalitații de tratament juridic care se ofera salariaþilor temporari în raport de cei angajați pe durata nedeterminata si asigurarea eficienței principiului de „flexi-securitate” prevazut de legislația europeana si internaționala.
Obiectivele specifice ale proiectului
1. Flexibilizarea relatiilor de munca si cresterea numarului de contracte de munca temporare în scopul dezvoltarii pieþei muncii si în conformitate cu reglementarile naþionale si ale Directivelor Europene /Conventiilor Organizatiei Internationale a Muncii in urma identificarii necesitatilor de modificarea a prevederilor legale în vigoare în raport cu modificarile survenite pe piata muncii din România;
2.  Cresterea satisfactiei beneficiarilor serviciilor oferite de infrastructura administrativa implicata în procedura de autorizare si conditiile de functionare a agentilor de munca temporara
3. Dezvoltarea si introducerea de sisteme comune inclusiv informatice, care sa faciliteze procedurile de autorizare a furnizorilor de formare profesionala a adulþilor, a accesului cetatenilor la aceste programe de formare autorizate.</t>
  </si>
  <si>
    <t>AA4/22.11.2019</t>
  </si>
  <si>
    <t>AA3/25.11.2019</t>
  </si>
  <si>
    <t>AA1/26.11.2019</t>
  </si>
  <si>
    <t>Act adițional nr. 2/27.11.2019 modif fse, bn si cp</t>
  </si>
  <si>
    <t>Îmbunătățirea procesului de reglementare în domeniul transplantului</t>
  </si>
  <si>
    <t>Obiectivul principal al proiectului il reprezinta Dezvoltarea si introducerea de sisteme si standarde comune în domeniul transplantului menite sa optimizeze procesele decizionale - reprezentate de reglementari (acte normative, proceduri, ghiduri, etc.)
Obiectivele specifice ale proiectului
1. Analiza si restructurarea tuturor actelor normative care guverneaza activitatea de transplant
2. Introducerea de standarde de cost aferente fiecarei activitaþi si proceduri din domeniul transplantului
3. Dezvoltarea si implementarea funcționalitaților Registrului Național de Transplant
4. Instruirea personalului autorizat în manipularea si gestionarea Registrului Național de Transplant</t>
  </si>
  <si>
    <t>AA1/20.09.2018
AA2/19.09.2019
AA3/02.12.2019</t>
  </si>
  <si>
    <t>Agentia Nationala Anti-Doping</t>
  </si>
  <si>
    <t>OS1. Imbunatatirea cadrului metodologic privind combaterea dopajului în sport, cu accent pe măsuri de conștientizare și prevenire a dopajului în sport prin realizarea, testarea si adoptarea a 4 metodologii de lucru și a unui studiu.                                                                                                        OS2. Actualizarea si imbunatatirea cadrului legislativ pentru implementarea reglementărilor internaționale privind combaterea dopajului în sport, inclusiv a sistemului de monitorizare a dopajului și prevenirea și combaterea traficului ilicit de substanțe dopante cu grad mare de risc, definit și dezvoltat prin realizarea a 5 initiative legislative in consultare activa publica                                                                                                                        OS3. Îmbunătățirea procesului de management și digitalizarea fluxurilor de lucru din cadrul ANAD prin dezvoltarea și implementarea unei platforme informatice pentru servicii electronice care va asigura accesul online la serviciile publice de avizare/autorizare gestionate de ANAD și va furniza digital fluxurile de lucru asociate proceselor de avizare/autorizare din cadrul instituției                                                                                      OS4. Imbunatatirea comopetentelor personalului ANAD prin realizarea unei metodologii de formare a personalului si derularea a 4 programe de formare pentru 49 de angajati ai ANAD</t>
  </si>
  <si>
    <t>Ajustarea legislației relevante privind combaterea dopajului în sport</t>
  </si>
  <si>
    <t>AA2/22.10.2019         AA3/09.12.2019</t>
  </si>
  <si>
    <t>Modernizarea sistemului de evaluare a dizabilităţii din România</t>
  </si>
  <si>
    <t>AUTORITATEA NATIONALA PENTRU PERSOANELE CU DIZABILITATI</t>
  </si>
  <si>
    <t xml:space="preserve">Obiectivul general al proiectului/Scopul proiectului:
Realizarea si implementarea, printr-o abordare in acord cu prevederile Conventiei ONU pentru drepturile persoanelor cu dizabilitati, a unui set de criterii medico-psiho-sociale în vederea încadrării în grad de handicap a persoanelor cu dizabilitati, mecanism ce devine etapa de bază pentru intervenţii individualizate și dezvoltarea serviciilor necesare, precum și pentru utilizarea eficientă a resurselor financiare din cadrul sistemului de protecție.                                                                                                                                                                                                                                                                              OS1. Sistematizarea legislatiei si operationalizarea unui cadru institutional functional în sistemul de evaluare a dizabilității în România, bazat pe o abordare in acord cu obligatiile Romaniei ca stat parte la Conventia ONU pentru protectia drepturilor persoanelor cu dizabilitati                                                                                                                                                                                                                                                                                                                                           OS 2. Cresterea nivelului de expertiza si competenta atat pentru specialistii in cadrul administratiei publice centrale, cat si pentru specialistii din cadrul serviciilor locale de evaluare pentru incadrare in handicap a persoanelor cu dizabilitati. </t>
  </si>
  <si>
    <t>AA1/07.03.2019     AA2/09.12.2019</t>
  </si>
  <si>
    <t>AA2/13.12.2019</t>
  </si>
  <si>
    <t>AA2/13.12.2019 prelungire 5 luni + 1 lună</t>
  </si>
  <si>
    <t>AA1/10.12.2019</t>
  </si>
  <si>
    <t>AA1/17.12.2019</t>
  </si>
  <si>
    <t>AA1/21.12.2018
AA2/17.12.2019</t>
  </si>
  <si>
    <t>Sistem de monitorizare a fluxurilor de deșeuri menajere și similare în scopul îmbunătățirii mecanismelor de gestionare a instrumentului economic ”Plătește Pentru Cât Arunci</t>
  </si>
  <si>
    <t>Ministerul Mediului, Apelor și Pădurilor</t>
  </si>
  <si>
    <t>ACADEMIA DE STUDII ECONOMICE DIN BUCURESTI</t>
  </si>
  <si>
    <t>Obiectivul general al proiectului îl constituie realizarea unui sistem de monitorizare a fluxurilor de deseuri menajere si similare în scopul
îmbunataþirii mecanismelor de gestionare a instrumentului economic “Plateste Pentru Cât Arunci”, astfel încât sa poata creste gradul de
reciclare a deseurilor municipale.
Obiectivele specifice ale proiectului
1. Realizarea unui Plan de acþiune pentru digitalizarea si implementarea PPCA.
2. Realizarea unui Mecanism privind aplicarea instrumentului economic „Plateste pentru cât arunci” (PPCA).
3. Competenþe crescute pentru personalul Ministerului Mediului, autoritaþilor în subordine sau coordonare si personalului din cadrul
structurilor asociative ale autoritaþilor administraþiei publice locale pentru implementarea instrumentului economic PPCA</t>
  </si>
  <si>
    <t>Consolidarea capacitatii institutionale a Ministerului Mediului si a unitatilor din subordine pentru
imbunatatirea politicilor din domeniul biodiversitatii</t>
  </si>
  <si>
    <t xml:space="preserve">1. UNIVERSITATEA DIN        BUCURESTI                                2.INSTITUTUL DE BIOLOGIE                                    3.  AGENTIA NATIONALA PENTRU PROTECTIA MEDIULUI         </t>
  </si>
  <si>
    <t>1.Dezvoltarea metodelor necesare optimizarii procesului decizional la nivelul Ministerului Mediului, al Agenþiei Naþionale pentru
Protecþia Mediului, Administraþiei Rezervaþiei Biosferei Delta Dunarii si al autoritaþilor publice locale subordonate în vederea
îmbunataþirii politicilor publice în domeniul biodiversitaþii, prin elaborarea ghidurilor necesare derularii unitare la nivel national a
procedurii de evaluare adecvata.
2. Dezvoltarea metodelor necesare optimizarii procesului decizional la nivelul Ministerului Mediului, al Agenþiei Naþionale pentru
Protecþia Mediului si al autoritaþilor publice locale subordonate, în vederea îmbunataþirii politicilor publice în domeniul
biodiversitaþii, prin implementarea în legislaþia naþionala a Protocolului de la Nagoya.</t>
  </si>
  <si>
    <t>Consolidarea capacitaþii instituþionale pentru îmbunataþirea politicilor din domeniul schimbarilor
climatice si adaptarea la efectele schimbarilor climatice</t>
  </si>
  <si>
    <t>1.Dezvoltarea de mecanisme de coordonare si monitorizarea politicilor si acþiunilor de adaptare la schimbarile climatice si
din domeniul calitaþii aerului prin intermediul unor servicii interconectate si proiectate astfel încât sa asigure o calitate buna a
mediului si protecþia cetaþenilor în contextul situaþiilor generate de riscurile climatice extreme (valuri de caldura/frig, seceta,
precipitaþii abundente generatoare de inundaþii, viscol, etc.) si poluare atmosferica.
2. Realizarea unei Platforme naþionale de adaptare la schimbarile climatice – RO-ADAPT, cu informaþii si date specializate
privind schimbarile climatice si efectele induse de acestea atât în domeniul protecþiei mediului (inclusiv calitatea aerului) si
biodiversitaþii, precum si in alte sectoare cheie vulnerabile (energie, transport, dezvoltare urbana, apa potabila si resurse de apa)
pentru o mai buna fundamentare a politicilor si strategiilor de dezvoltare si planificare pe termen mediu si lung, precum si pentru o
mai buna informare a cetaþenilor, la nivel naþional, asupra riscurilor generate de cresterea frecvenþei si intensitaþii riscurilor
climatice extreme.
3. Realizarea de servicii climatice specializate prin crearea unui Centru Naþional de Monitorizare Climatica (CNMC) cu rol
de suport pentru fundamentarea politicilor si strategiei naþionale de adaptare la efectele schimbarilor climatice.
4. Realizarea unor ghiduri, proceduri si metodologii pentru identificarea, cuantificarea si evaluarea serviciilor ecosistemice
în vederea adoptarii celor mai bune decizii privind conservarea si gestionarea mediului, si implicit un mijloc de reducere a
emisiilor de gaze cu efect de sera.</t>
  </si>
  <si>
    <t>1. AGENTIA NATIONALA PENTRU PROTECTIA MEDIULUI                                  2. GARDA NATIONALA DE MEDIU                                       3. UNIVERSITATEA DIN BUCURESTI                                 4. AGENŢIA NAŢIONALĂ PENTRU ARII NATURALE PROTEJATE</t>
  </si>
  <si>
    <t>AA2/26.08.2019;
AA3/18.12.2019</t>
  </si>
  <si>
    <t>AA2/13.09.2019
AA3/13.12.2019</t>
  </si>
  <si>
    <t>AA1/19.12.2019</t>
  </si>
  <si>
    <t>Îmbunătățirea Calității și Performanței Serviciilor Spitalicești prin Evaluarea Costurilor și Standardizare (CaPeSSCoSt)</t>
  </si>
  <si>
    <t>1. ȘCOALA NAȚIONALĂ DE SĂNĂTATE PUBLICĂ, MANAGEMENT ȘI PERFECȚIONARE ÎN DOMENIUL SANITAR BUCUREȘTI                                2.AUTORITATEA NAŢIONALĂ DE MANAGEMENT AL CALITĂŢII ÎN SĂNĂTATE       CASA NATIONALA DE ASIGURARI DE SANATATE</t>
  </si>
  <si>
    <t>1. Sistematizarea procesului de colectare si prelucrare a datelor utilizate pentru calculul costurilor serviciilor spitalicesti în
România, prin elaborarea si implementarea instrumentelor unitare, necesare în analiza si evaluarea serviciilor de sanatate.
2. Elaborarea si adoptarea unor standarde de cost pentru primele 20 cele mai frecvente patologii - cazuri internate în
regim de spitalizare continua, ceea ce va permite consolidarea capacitaþii administrative de planificare strategica si financiara la
nivelul sistemului de sanatate.
3. Sistematizarea si simplificarea actelor normative incidente în domeniul calitaþii serviciilor de sanatate.</t>
  </si>
  <si>
    <t>INSTITUTUL NATIONAL DE STATISTICA</t>
  </si>
  <si>
    <t>Management performant la nivelul DGRIP, DGCTI, DSG și instituțiile prefectului</t>
  </si>
  <si>
    <t xml:space="preserve">Ministerul Afacerilor Interne </t>
  </si>
  <si>
    <t>Obiectivul general al proiectului este crearea si dezvoltarea unui cadru unitar pentru managementul calitații si performanței la nivelul DGRIP, DGCTI, DSG si la nivelul celor 42 Instituții ale Prefectului.
Obiectivele specifice ale proiectului:
1. Eficientizarea activitații organizaționale prin implementarea Instrumentului de auto-evaluare a modului de funcționare a instituțiilor administrației publice (CAF) in DGRIP, DGCTI si cele 42 Instituții ale Prefectului.
2. Cresterea performanței organizaționale prin implementarea sistemului integrat de management al performanței organizaționale compus din sistemul de management Balanced Scorecard (BSC) implementat la nivelul DGRIP, DGCTI si 42 Instituții ale Prefectului si din Document Management System (DMS) mplementat la nivel central (DGRIP, DGCTI, DSG) si Instituții ale
Prefectului invederea autoamatizarii fluxurilor de colaborare pe orizontala intre prefecturi si pe veriticala intre DGRIP si prefecturi.
3. Cresterea capacitații personalului de a implementa sisteme si instrumente unitare de management al calitații si performanței prin pregatirea specifica a personalului din cadrul MAI (DGRIP, DGCTI, DSG) si al celor 42 Instituții ale Prefectului.</t>
  </si>
  <si>
    <t>În implementare</t>
  </si>
  <si>
    <t>Cresterea capacitatii administrative a ANC si MMJS prin sistematizare si simplificare legislativa in domeniul calificarilor</t>
  </si>
  <si>
    <t>AUTORITATEA NATIONALA PENTRU CALIFICARI A.N.C.</t>
  </si>
  <si>
    <t>MINISTERUL MUNCII SI JUSTITIEI SOCIALE/secretar general</t>
  </si>
  <si>
    <t>Obiectivul general al proiectului este de a dezvolta și implementa standarde pentru creșterea calității educației și formării profesionale în Romania prin eficientizarea fondului de reglementare pentru definirea calificărilor și prin armonizarea legislației care vizează sistemul național de calificări.
Obiectivele specifice ale proiectului:
1. OS1 – revizuirea reglementarilor privind sistemul national al calificarilor prin completarea fondului legislativ existent cu un numar de 5 propuneri de acte normative..
2.OS2 – dezvoltarea unui instrument standardizat de evaluare pentru calificari in vederea cresterii calitatii procesului de evaluare a competentelor profesionale.
3. OS3 – operationalizarea registrului national al calificarilor prin corelarea calificarilor cu COR si CNC prin elaborarea/revizuirea unui numar de 250 standarde ocupationale.
4. OS4 – dezvoltarea competentelor personalului ANC si MMJS, de la nivel central și din structuri subordonate, pentru transpunerea unitară a legislației din domeniul calificărilor si pentru comunicare transparentă și eficientă cu stakeholderii.</t>
  </si>
  <si>
    <t>Creșterea gradului de transparență în administrația publică locală și facilitarea accesului cetățeanului la serviciile publice în format electronic la nivelul Municipiului Brad</t>
  </si>
  <si>
    <t>Brad</t>
  </si>
  <si>
    <t>Obiectivul general al proiectului constă în consolidarea capacității instituționale și eficientizarea activității la nivelul Municipiului Brad, prin simplificarea procedurilor administrative și reducerea birocrației pentru cetățeni, implementând măsuri din perspectivă back-office (adaptarea procedurilor interne de lucru, digitalizarea arhivelor), și front-office pentru serviciile publice furnizate.
Obiectivele specifice ale proiectului
1. OS1. Implementarea unor măsuri de simplificare pentru cetățeni, în legătură cu Planul integrat pentru simplificarea procedurilor administrative aplicabile cetățenilor, atât din perspectivă back-office (adaptarea procedurilor interne de lucru, digitalizarea arhivelor), cât și front-office. În acest sens sunt avute în vedere achiziția și implementarea unei platforme integrate pentru arhivarea electronică, respectiv a unei platforme integrate (portal web, aplicație pentru dispozitive mobilă) pentru servicii electronice complete (inclusiv semnătură electronică), a unui terminal interactiv de tip self-service pentru servicii electronice. Platforma integrată pentru servicii electronice este bazată pe implementarea următoarelor principii: One Stop Shop pentru livrarea de servicii publice electronice; utilizarea inteligentă a informațiilor disponibile prin aplicarea principiului înregistrării "o singură dată" a datelor – conceptul  de identitate electronică a cetățeanului; spațiul privat virtual al cetățeanului în relația cu primăria.
2. OS2. Dezvoltarea cunoștințelor și abilităților personalului din cadrul Municipiului Brad, în vederea sprijinirii măsurilor vizate de proiect. Este avută în vedere formarea/instruirea, evaluarea/testarea și certificarea competențelor/cunoștințelor dobândite pentru 55 persoane din cadrul grupului țintă, în ceea ce privește utilizarea soluțiilor informatice implementate în cadrul proiectului . Obiectivul general al serviciilor de instruire îl constituie familiarizarea cu componentele soluţiei informatice implementate, prin însuşirea cunoştinţelor necesare utilizării aplicaţiilor, deprinderea funcţionalităţilor și a modului de folosire a acestora, înțelegerea implicațiilor și avantajelor raportate la realizarea obiectivelor specifice aferente proiectului.</t>
  </si>
  <si>
    <t>EDU Digital - Propunere alternativa de politica publica pentru simplificarea cadrului legislativ în educaþie</t>
  </si>
  <si>
    <t>AA1/20.08.2019            AA2/19.12.2019</t>
  </si>
  <si>
    <t>Sistem INTEGRAT de Management în Sistemul de Asigurari Sociale de Sanatate</t>
  </si>
  <si>
    <t>CASA NAȚIONALĂ DE ASIGURARI DE SĂNĂTATE</t>
  </si>
  <si>
    <t>Obiectivul general al proiectului este a dezvolta un sistem integrat de management care sa permita elaborarea de rapoarte, analize, studii menite sa imbunatateasca si sa consolideze capacitatea decizionala a autoritaþii prin prelucrarea datelor specifice colectate de Platforma
informatica din asigurarile de sanatate (PIAS) care cuprinde: Sistemul informatic unic integrat (SIUI), Sistemul naþional al cardului de
asigurari sociale de sanatate (CEAS), Sistemul naþional de prescriere electronica (SIPE) si Sistemul dosarului electronic de sanatate al pacientului (DES), sisteme create la momente diferite, de echipe diferite, în maniere diferite, rezultând un amalgam care, desi functional si de neînlocuit din punct de vedere operational nu poate fi folosit pentru analiza integrata. Pentru ca datele sa fie integrate, ele trebuie sa fie
convertite, reformatate, renumerotate, sumarizate, etc. rezultand o unica imagine a activitatilor CNAS care vor conduce printre altele la consolidarea capacitatii institutionale si o planificare strategica eficienta, respectiv elaborarea de politici publice bazate pe dovezi Obiectivele specifice ale proiectului:
1. Fundamentarea riguroasa a deciziilor de management CNAS/CJAS bazate pe înþelegerea nevoilor, reducerea riscurilor, cresterea eficientei cheltuielilor publice ;
2. Generarea de rapoarte personalizate în vederea efectuarii analizelor, rapoartelor de diferite tipuri sau statisticilor necesare la nivel intern sau in solicitarile externe (Ministerul Sanataþii, Institutul Naþional de Statistica, Institutul Național de Sanatate Publica, etc.);
3. Cresterea gradului de pregatire profesionala a personalului de decizie si crearea unei structuri organizatorice optime.</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</si>
  <si>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calitaþii CAF si ISO, aplicabile administraþiei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</si>
  <si>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AA/03.02.2020</t>
  </si>
  <si>
    <t>Omdrapfe nr. 222/23.01.18; Omlpda nr. 991/03.02.2020</t>
  </si>
  <si>
    <t>Întărirea capacității autorității publice centrale în domeniul managementului apelor în scopul implementării Strategiei Naționale de Management al Riscului la Inundații (SNMRI) pe termen mediu și lung</t>
  </si>
  <si>
    <t>1.Elaborarea unui document strategic care vizeaza modificarea/completarea/reactualizarea ,,Strategiei naþionale de management al
riscului la inundaþii pe termen mediu si lung,,, prin adaptarea legislativa la cerinþele instituþionale actuale si la unele metodologii
noi.
2. Revizuirea si reactualizarea Planului de acþiune pentru implementarea Strategiei Naþionale de Management al Riscului la Inundaþii
pe termen mediu si lung, prin luarea în considerare a masurilor si acþiunilor întreprinse în perioada 2010-2018.
3. Elaborarea Raportului de mediu aferent documentului strategic care vizeaza modificarea/completarea/reactualizarea ,,Strategiei
naþionale de management al riscului la inundaþii pe termen mediu si lung,, , în contextul noilor modificari legislative si
administrative
4. Elaborarea si promovarea unui proiect de act normativ (Hotarâre a Guvernului) pentru aprobarea noului document strategic
rezultat în urma modificarii/completarii/reactualizarii .
5. Identificarea si stabilirea concreta a responsabilitaþilor, masurilor si acþiunilor care trebuie întreprinse la nivelul fiecarei instituþii cu
responsabilitaþi în domeniu, în vederea implementarii ,,Strategiei naþionale de management al riscului la inundaþii pe termen
mediu si lung, pentru perioada 2020-2035.
6. Stabilirea, la nivelul Ministerului Apelor si Padurilor si al Administraþiei Naþionale ”Apele Române”, a unui cadru instituþional privind
monitorizarea si evaluarea implementarii politicilor si strategiilor prin proceduri si mecanisme din domeniul managementului
riscului la inundaþii, aplicabile tuturor instituþiilor de la nivel central si local, cu atribuþii în managementul riscului la inundaþii.
7. Dezvoltarea, la nivelul Ministerului Apelor si Padurilor si al Administraþiei Naþionale ”Apele Române”, a unui sistem/ mecanism de
monitorizare si raportare a implementarii masurilor si acþiunilor prevazute în Planul de acþiune pentru implementarea Strategiei
naþionale de management al riscului la inundaþii,pentru perioada 2019-2035.
8. Dezvoltarea bazei de date naþionale privind inundaþiile, prin marcarea zonei inundate si a obiectivelor afectate (dupa fiecare
inundaþie) ca instrument operativ necesar luarii deciziilor si dispunerii masurilor celor mai eficiente pentru minimizarea efectelor.
9. Dezvoltarea abilitaþilor si competenþelor personalului din cadrul Ministerului Apelor si Padurilor si al Administraþiei Naþionale
”Apele Române” în vederea coordonarii interinstituþionale si eficientizarea proceselor, masurilor, acþiunilor stabilite pentru
îmbunataþirea implementarii prevederilor Strategiei naþionale de management al riscului la inundaþii.</t>
  </si>
  <si>
    <t>finalizat</t>
  </si>
  <si>
    <t>Cresterea capacitatii institutionale pentru dezvoltarea nationala coordonata a ingrijirilor paleative si ingrijirilor la domiciliu (PAL PLAN)</t>
  </si>
  <si>
    <t>1. CASA NATIONALA DE ASIGURARI DE SANATATE    2. AUTORITATEA NAŢIONALĂ DE MANAGEMENT AL CALITĂŢII ÎN SĂNĂTATE  3.MINISTERUL MUNCII ȘI PROTECȚIEI SOCIALE          4. FUNDATIA HOSPICE CASA SPERANTEI</t>
  </si>
  <si>
    <t>Obiectiv general: Proiectul vizeaza crearea si introducere a unui mecanism unitar si fluent de planificare, dezvoltare, evaluare si monitorizare a unui sistem national de ingrijiri paliative (IP) si de ingrijiri generale la domiciliu (ID), in sensul ingrijirilor medicale si serviciilor de îngrijire personală (activităţi de bază ale vieţii zilnice si activităţi instrumentale ale vieţii zilnice), pentru asigurarea asistentei persoanelor suferind de boli cronice progresive sau incurabile, si a celor cu grad ridicat de dependenta.                                                                                            OS 1: Dezvoltarea capacității autorităților publice centrale de a elabora politici publice bazate pe dovezi in vederea cresterii accesului la servicii de calitate. 
OS 2:Dezvoltarea coordonata la nivel national si integrarea IP si ID in sistemul de sanatate                                                                                                                         OS 3: Armonizarea si simplificarea reglementarilor legislative privind ingrijirile paliative si ingrijirile la domiciliu pentru cresterea accesului la servicii de calitate</t>
  </si>
  <si>
    <t>în implementare</t>
  </si>
  <si>
    <t>AA3/02.03.2020</t>
  </si>
  <si>
    <t>CP 13 more/2019</t>
  </si>
  <si>
    <t>Instrumente pentru reducerea birocrației în serviciile de asistență socială la nivelul Sectorului 1 al Municipiului București</t>
  </si>
  <si>
    <t>DIRECTIA GENERALA DE ASISTENTA SOCIALA SI PROTECTIA COPILULUI SECTOR 1</t>
  </si>
  <si>
    <t>Obiectiv specific 1: Modernizarea sistemului de furnizare a serviciilor de asistenþa sociala prin implementarea unei aplicatii
informatice de gestiune integrata si standardizata a beneficiilor de asistenþa sociala la nivelul Sectorului 1 al Municipiului
Bucuresti;
Obiectiv Specific 2: Cresterea eficienþei si eficacitaþii aparatului administrativ si reducerea birocraþiei pentru cetaþenii Sectorului 1
beneficiari ai serviciilor de asistenþa sociala prin cresterea gradului de operaþionalizare a documentelor din arhiva tradiþionala</t>
  </si>
  <si>
    <t>Cresterea calitatii serviciilor publice si simplificare adminisrativa</t>
  </si>
  <si>
    <t>DIRECTIA GENERALA DE ASISTENTA SOCIALA SI PROTECTIA COPILULUI SECTOR 3</t>
  </si>
  <si>
    <t>AA1/21.11.2019; AA2/20.03.2020</t>
  </si>
  <si>
    <t>AA1/19.03.2020</t>
  </si>
  <si>
    <t>Valoarea neeligibilă a proiectului</t>
  </si>
  <si>
    <t>CP 13 less/2019</t>
  </si>
  <si>
    <t>Municipiul Blaj – Administratie publica
inteligenta si participativa</t>
  </si>
  <si>
    <t>Obiectivele specifice ale proiectului
OS1. Elaborarea documentelor strategice ce vor sta la baza obþinerii finanþarilor din politica de coeziune aferente perioadei 2021-
2027, inclusiv Strategia integrata de dezvoltare urbana (SIDU), si Planul de mobilitate urbana durabila (PMUD).OS 2. Infiintarea Centrului de Inovare si Imaginatie Civica (CIIC) si dezvoltarea mecanismelor în vederea optimizarii proceselor decizionale orientate catre cetateni si mediul de afaceri din Municipiul Blaj.OS3.Dezvoltarea si implementarea unui sistem electronic de digitalizare si simplificare a serviciilor publice oferite cetatenilor Municipiului Blaj, tinand cont de competentele partajate ale acestuia cu autoritatile administratiei publice centrale, prin implementarea sistemului informatic geospatial (GIS).OS4. Retro-digitalizarea documentelor din arhiva si crearea infrastructurii necesare arhivarii electronice a documentelor tradiþionale existente în arhiva instituþiei, care prezinta valoare operaþionala în prezent.OS 5. Formarea/instruirea functionarilor publici si contractuali, inclusiv a factorilor de decizie la nivel politic, în planificare strategica si utilizarea instrumentelor digitale.</t>
  </si>
  <si>
    <t>Promovarea dezvoltarii urbane durabile prin
elaborarea documentelor de planificare
strategica pentru perioada 2021-2027 -
PLANIFIC</t>
  </si>
  <si>
    <t>Continuarea simplificarii procedurilor
administrative si reducerea birocraþiei
pentru cetaþeni prin digitalizarea serviciilor
publice</t>
  </si>
  <si>
    <t>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Urziceni din domeniul
urbanismului, asistenþei sociale si siguranþei si ordinii publice
2. OS2: Dezvoltarea cunostinþelor si abilitaþilor personalului din cadrul Municipiului Urziceni, in vederea sprijinirii masurilor vizate de
proiect. Este avuta in vedere formarea/instruirea, evaluarea/testarea si certificarea competentelor/cunostinþelor dobândite pentru
30 persoane din cadrul grupului þinta, in ceea ce priveste utilizarea soluþiilor informatice implementate in cadrul proiectului</t>
  </si>
  <si>
    <t>Ialomita</t>
  </si>
  <si>
    <t>Strategie inteligentă bazată pe integrare și urbanizare smart - SIBIU SMART</t>
  </si>
  <si>
    <t>Obiectivul general al proiectului consta în dezvoltarea urbana durabila a Municipiului Sibiu prin asigurarea unei planificari strategice
coerente si integrate.
Obiectivele specifice ale proiectului
1. Îmbunatațirea planificarii strategice si a mobilitații la nivelul municipiului Sibiu prin elaborarea Strategiei Integrate de Dezvoltare
Urbana si actualizarea Planului de Mobilitate Urbana Durabila. Obiectivul specific este în corelare cu Activitatile 3 si 4, respectiv
cu Rezultatul de proiect 1.
2. Extinderea cunostințelor si abilitaților personalului din Municipiul Sibiu în domeniul planificarii strategice, a procedurilor de
prioritizare a proiectelor si de monitorizare a implementarii planurilor de acþiune pentru documentele strategice elaborate.
Obiectivul specific este în corelare cu Activitatea 5 si cu Rezultatul de proiect 2.</t>
  </si>
  <si>
    <t>Planificare strategică în municipiul Deva pe termen mediu și lung și acces mai facil al cetățenilor la servicii publice gestionate partajat de către UAT municipiul Deva</t>
  </si>
  <si>
    <t>Obiectivul general al proiectului
Consolidarea capacitatii institutionale si eficientizarea activitatilor la nivelul Municipiului Deva prin utilizarea mecanismelor/ instrumentelor de planificare strategica pe termen mediu si lung in procesul de dezvoltare economico sociala a municipiului in perioada programatica 2021-2027 si ulterior si simplificarea procedurilor administrative si reducerea birocratiei pentru cetateni implementand masuri din perspectiva back-office cat si front-office pentru servicii partajate in responsabilitatea administratiei publice locale.
Obiectivele specifice ale proiectului
1. OS1 - Asigurarea unei mobilitati urbane durabile in municipiul Deva prin eleborarea unui Plan de mobilitate urbana durabila ca
instrument strategic de planificare a dezvoltarii in perioada programatica 2021-2027.
2. OS2 - Asigurarea unei dezvoltari durabile si coerente in municipiul Deva prin elaborarea unei Strategii integrate pentru dezvoltare
urbana (SIDU) ca instrument strategic de planificare a dezvoltarii in perioada programatica 2021-2027
3. OS3 - Implementarea unor proceduri simplificate in domeniul serviciilor partajate pentru reducerea birocratiei pentru cetateni, in
corespondenta cu Planul integrat pentru simplificarea procedurilor administrative aplicabile cetatenilor, atat din perspectiva backoffice
cat si front-office.</t>
  </si>
  <si>
    <t>Optimizarea proceselor orientate către cetățeni în Municipiul Onești</t>
  </si>
  <si>
    <t>Obiectivul general al proiectului consta in consolidarea capacitații instituționale si eficientizarea activitații la nivelul Municipiului Onesti prin continuarea simplificarii procedurilor administrative si reducerea birocraþiei pentru cetațeni,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Implementarea unor masuri de simplificare pentru cetațeni, in corespondenta cu Planul integrat pentru simplificarea
procedurilor administrative aplicabile cetaþenilor din perspectiva front-office, dar si back-office prin introducerea unor soluții
aplicative noi si integrarea cu cele existente, în scopul digitalizarii fluxurilor de lucru, pentru reducerea timpului de procesare a
cererilor cetațenilor si asigurarea accesului online la serviciile publice gestionate de Municipiul Onesti din domeniul urbanismului
si asistenței sociale.
2. OS2: Dezvoltarea cunostințelor si abilitaților personalului din cadrul Municipiului Onesti, in vederea sprijinirii masurilor vizate de
proiect. Este avuta in vedere formarea/instruirea, evaluarea/testarea si certificarea competentelor/cunostințelor dobândite pentru
50 persoane din cadrul grupului ținta, in ceea ce priveste utilizarea soluþiilor informatice implementate in cadrul proiectului</t>
  </si>
  <si>
    <t>119 - Investiții în capacitatea instituțională și în eficiența administrațiilor și a serviciilor publice la nivel național, regional și local, în perspectiva realizării de reforme, a unei mai bune legiferări și a bunei guvernanțe119 - Investiții în capacitatea instituțională și în eficiența administrațiilor și a serviciilor publice la nivel național, regional și local, în perspectiva realizării de reforme, a unei mai bune legiferări și a bunei guvernanțe</t>
  </si>
  <si>
    <t>Planificarea si managementul mobilității urbane durabile prin elaborarea PMUD</t>
  </si>
  <si>
    <t>Obiectivul general al proiectului este reprezentat de dezvoltarea unui plan strategic coerent, conceput sa asigure o viziune sustenabila de
dezvoltare a mobilitaþii urbane durabile în Municipiul Focsani, prin elaborarea Planului de Mobilitate Urbana Durabila, astfel încât acestea
sa raspunda nevoilor si exigențelor de finanþare pentru perioada de programare a fondurilor europene 2021-2027.                                                               Obiectivele specifice ale proiectului
1. Elaborarea Planului de Mobilitate Urbana Durabila. Obiectivul specific este în corelare cu Activitatea 3, respectiv cu Rezultatul de
proiect 1.
2. Extinderea cunostințelor si abilitaților personalului din Municipiul Focsani în vederea cunoasterii condiționalitaților specifice pentru
perioada de finanþare 2021-2027, a arhitecturii programelor operaționale si a oportunitaților de finanțare, a procedurilor de
prioritizare a proiectelor, de monitorizare a implementarii PMUD si de evaluare a rezultatelor acestuia. Obiectivul specific este în
corelare cu Activitatea 4 si cu Rezultatul de proiect 2.</t>
  </si>
  <si>
    <t>REFORMA - Investiții pentru creșterea
capacitații instituționale și eficienta serviciilor administrației publice locale</t>
  </si>
  <si>
    <t>Obiectivul general al proiectului este implementarea mecanismelor si instrumentelor strategice de dezvoltare din cadrul Primariei
Municipiului Bacau, prin actualizarea Strategiei Integrate de Dezvoltare Urbana 2021-2027 si a Planului de Mobilitate Urbana Durabila,
prin intermediul unor instrumente modern de management si crearea unui sistem de planificare strategica a dezvoltarii locale.
Obiectivele specifice ale proiectului
1. OS1. Actualizarea Strategiei Integrate de Dezvoltare Urbana a Municipiului Bacau pentru perioada 2021-2027 cu scopul
identificarii si rezolvarii problemelor comunitatii, în domeniul economic, de mediu si social, cât si crearea unei administraþii publice
eficiente în beneficiul socio-economic al comunitatii
2. OS2: Actualizarea Planului de Mobilitate Urbana Durabila, cresterii gradului de dezvoltare urbana echilibrata, integrata si durabila
a Municipiului Bacau
3. OS3. Imbunatatirea cunostintelor si abilitatilor profesionale pentru personalul din cadrul UAT Bacau in vederea cresterii
performantei managementului institutiei publice</t>
  </si>
  <si>
    <t>AA nr.3/07.05.2020 prelungire si modif fse, bn si cp</t>
  </si>
  <si>
    <t>AA1/05.05.2020 suspendare proiect 2 luni</t>
  </si>
  <si>
    <t>Servicii publice partajate digitalizate -
Continuarea simplificarii procedurilor
administrative si reducerea birocratiei
pentru cetateni in Municipiul Giurgiu
(SEPAR)</t>
  </si>
  <si>
    <t>Obiectivul general al proiectului/Scopul proiectului
Cresterea calitatii si transparentei procesului administrativ la nivelul Municipiului Giurgiu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administraþiei publice locale
Obiectivele specifice ale proiectului
1. Dezvoltarea capacitatii institutionale a Municipiului Giurgiu pentru asigurarea planificarii strategice pe termen lung si fundamentarii
deciziilor prin elaborarea Planului de Mobilitate Urbana Durabila a Municipiului pentru perioada 2021-2027
2. Simplificarea procedurilor adiministrative din perspectiva back-office, prin introducerea unor soluþii aplicative noi si integrarea cu
cele existente pentru serviciile furnizate partajat de catre autoritatea publica locala
3. Reducerea birocratiei pentru comunitatea locala prin implementarea unui portal de servicii catre cetateni si a unei aplicatii mobile
ce va asigura accesul on-line la serviciile partajate</t>
  </si>
  <si>
    <t>Simplificarea procedurilor administrative si
elaborare SIDU si PMUD la nivelul
Municipiului Râmnicu Vâlcea</t>
  </si>
  <si>
    <t>Consolidarea capacitații instituționale si eficientizarea activitații la nivelul Municipiului Drobeta Turnu
Severin</t>
  </si>
  <si>
    <t xml:space="preserve">Obiectivul general al proiectului consta in consolidarea capacitații instituționale si eficientizarea activitații la nivelul Municipiului Drobeta
Turnu Severin prin simplificarea procedurilor administrative si reducerea birocraþiei pentru cetațeni, implementând masuri din perspectiva
back-office si front-office pentru serviciile publice furnizate si asigurarea unei planificari urbane integrate, prin conjugarea eforturilor de
planificare specifica de nivel local si sectorial, pentru asigurarea unui proces decizional strategic, astfel încât sa se asigure corespondența
cu nevoile si exigențele de finanțare pentru perioada de programare a fondurilor europene 2021-2027.
Obiectivele specifice ale proiectului
1. OS.1. Elaborarea Strategiei Integrate de Dezvoltare Urbana. 
2. OS.2. Elaborarea Planului de Mobilitate Urbana Durabila. 
3. OS.3. Extinderea cunostinþelor si abilitaþilor personalului din Primaria Municipiului Drobeta Turnu Severin pentru aplicarea
procedurilor de prioritizare a proiectelor, de monitorizare a implementarii planurilor de acþiune, de evaluare a rezultatelor acestora,
pentru documentele strategice elaborate si de instruire pentru folosirea aplicatiei informatice implementate. 
4. OS.4.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Drobeta Turnu Severin. </t>
  </si>
  <si>
    <t>Planificare strategică și implementarea de proceduri și instrumente informatice pentru simplificarea procedurilor administrative și reducerea birocrației pentru cetățeni în domeniul socio-medical și planificare urbană la nivelul Municipiului Reghin</t>
  </si>
  <si>
    <t>Municipiul Reghin</t>
  </si>
  <si>
    <t>Obiectivul general al proiectului/Scopul proiectului
Imbunatatirea procesului de planificare strategica si implementarea de masuri de simplificare a procedurilor administrative pentru cetaþeni
Obiectivele specifice ale proiectului
1. Imbunatatirea procesului de planificare strategica si alocare a resurselor in cadrul Municipiului Reghin si facilitarea importului de
bune practici la nivel strategic în domeniile socio-medical si urbanistic
2. Îmbunataþirea procesului de planificare strategica – Actualizarea SIDU si elaborarea strategiei de Smart City a Municipiului
Reghin
3. Simplificarea interacþiunii cetaþenilor cu administraþia publica locala prin implementarea de instrumente informatice de eGuvernare
în domeniul social si urbanistic.
4. Retrodigitizarea documentelor din arhiva fizica a Municipiului Reghin</t>
  </si>
  <si>
    <t>Dezvoltarea capacității de planificare strategică și implementare a unui sistem informatic integrat în municipiul Piatra Neamț</t>
  </si>
  <si>
    <t>Obiectivul general al proiectului consta in consolidarea capacitatii administrative a Municipiului Piatra Neamt prin dezvoltarea capacitatii de
planificare strategica si prin simplificarea procedurilor administrative, corelata cu introducerea unui sistem informatic de servicii electronice
integrat cu o platforma de management informational geografic - GIS, fapt ce va determina cresterea calitatii actului administrativ pe
termen lung.
Obiectivele specifice ale proiectului
1. OS 1. Dezvoltarea capacitatii de planificare strategica la nivelul administratiei publice locale din Municipiul Piatra Neamt prin
realizarea Strategiei Smart City si Strategiei de dezvoltare durabila 2021 – 2027.
2. OS 2. Eficientizarea si simplificarea serviciilor furnizate cetatenilor de catre Primaria Muncipiului Piatra Neamt prin implementarea
unui sistem informatic de servicii electronice integrat cu o platforma de management informational geografic – GIS.
3. OS 3. Promovarea modernizarii in administratia publica locala din Municipiul Piatra Neamt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</si>
  <si>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Implementarea cadrului instituțional de dezvoltare strategică la nivelul Județului Timiș</t>
  </si>
  <si>
    <t>Județul Timiș</t>
  </si>
  <si>
    <t>Obiectivul general al proiectului
Îmbunatațirea serviciilor medicale si de prevenție în obstetrica-ginecologie în zona transfrontaliera, prin investiții în infrastructura medicala
si în echipamente si implementarea masurilor rezultate din colaborarea si schimburile de experienþa în vederea reducerii inegalitaþilor în
rândul populaþiei.
Obiective specifice
a) Asigurarea serviciilor medicale si de prevenție în zona eligibila prin construirea si echiparea unei noi clinici de obstetrica ginecologie în
Timisoara, reconstrucția si echiparea a doua departamente a Spitalului Universitar din Szeged;
b) Armonizarea si întarirea capacitații de cooperare transfrontaliera a specialistilor instituțiilor medicale prin schimburi de experienþa
(know-how) pentru a oferi servicii preventive si curative de îngrijire a sanataþii mai bune, cu impact în întreaga zona eligibila;
c) Cresterea accesibilitaþii la serviciile de asistenþa medicala specializata prin furnizarea de informaþii transparente si implicarea unui
segment mai larg de populaþie.</t>
  </si>
  <si>
    <t>Simplificare administrativă extinsă și Planificare strategică integrată pentru cetățenii municipiului Sighișoara</t>
  </si>
  <si>
    <t>Obiectivul general al proiectului vizeaza cresterea capacitații administrative a Municipiului Sighisoara prin fundamentarea procesului
decizional si planificarii strategice si implementarea unor masuri de simplificare a procedurilor administrative în beneficiul cetațenilor.
Obiectivele specifice ale proiectului
1. OS1. Fundamentarea procesului de planificare strategica si bugetara la nivelul Municipiului Sighisoara prin Strategiei de
Dezvoltare Locala a Municipiului Sighisoara pentru perioada 2021-2027 si a Planului strategic institutional aferent perioadei
2021-2022.
2. OS2. Sustinerea masurilor de simplificare atat din perspectiva back-office cat si front-office prin implementarea unei solutii
informatice de lucru colaborativ si digitalizarea a 11 formulare de asistenta sociala.
3. OS3. Îmbunatatirea cunostintelor si abilitatilor personalului din cadrul Primariei, Consiliului Local si Directiei de Asistenta Sociala.</t>
  </si>
  <si>
    <t>Planificare strategică și financiară în județul Sălaj</t>
  </si>
  <si>
    <t>implementarea unitara a instrumentelor de planificare strategica si financiara care sa susțina fundamentarea deciziilor privind politicile
publice adoptate, prioritizarea investiþiilor realizate în diverse sectoare cât si dezvoltarea instituþionala.
Obiectivele specifice ale proiectului
1. Evaluarea gradului de implementare a Strategiei de dezvoltare a judeþului Salaj pentru perioada 2015-2020, suport pentru
elaborarea noii strategii având ca temei orientarea pe rezultate si performanþa - întarirea rolului monitorizarii si evaluarii sistemului
de indicatori;
2. Dezvoltarea capacitaþii instituționale în elaborarea de criterii de prioritizare a investiþiilor în diverse sectoare: infrastructura,
sanatate, educaþie si asistenþa sociala, pentru realizarea bugetului aferent anului 2021 si 2022.
3. Susþinereaunui management performant la nivelul Consiliului Judeþean Salaj prin dezvoltarea capacitaþii de planificare strategica
si de fundamentare a deciziilor pentru elaborarea Strategiei de Dezvoltare a Judeþului Salaj pentru perioada 2021-2027.</t>
  </si>
  <si>
    <t>Echilibru și Dinamism</t>
  </si>
  <si>
    <t>AA1/14.05.2020 fse, bn si cp</t>
  </si>
  <si>
    <t xml:space="preserve">   AA1/24.07.2019  AA2/18.05.2020 prelungire 5 luni, fse, bn, cp</t>
  </si>
  <si>
    <t>Fundamentarea deciziilor, planificare strategică și măsuri simplificate pentru cetățeni la nivelul administrației publice a municipiului Călărași</t>
  </si>
  <si>
    <t>Obiectivele specifice ale proiectului
OS1.Identificarea si fundamentarea zonei urbane functionale a municipiului Calarasi prin analiza dezvoltarii in teritoriu, a actorilor
implicati, studiul documentatiilor strategice anterioare si initiativele asociate, definirea problemelor si oportunitatilor;OS2. Elaborarea Planului de Mobilitate Urbana Durabila (PMUD) la nivelul zonei urbane functionale a municipiului Calarasi in vederea cresterii gradului de mobilitate al persoanelor si bunurilor, sporirea adaptabilitaþii populaþiei la nevoile pieþei forþei de munca de la
nivel regional/local precum si favorizarea unei cresteri economice sustenabile din punct de vedere social si al mediului înconjurator;OS3. Elaborarea Strategiei Integrate de Dezvoltare Urbana ( SIDU) a zonei urbane functionale a municipiului Calarasi pentru a raspunde în mod fundamentat si coerent nevoilor comunitaþilor locale cu scopul dezvoltarii economice, sociale si de mediu, prin promovarea de actiuni integrate si complementare .OS4. Planificarea investiþiilor în date si tehnologii digitale, care sa catalizeze reforma serviciilor administrative si colaborarea între toți actorii prin elaborarea Strategiei de Smart City a Municipiului Calarasi;OS5. Realizarea unor seturi de Proceduri simplificate pentru reducerea birocratiei pentru cetateni la nivel local; OS6. Cresterea nivelului de cunostinte si abilitati ale personalului Municipiului Calarasi, în vederea sprijinirii masurilor/ actiunilor vizate de acest obiectiv specific.</t>
  </si>
  <si>
    <t>Călărași</t>
  </si>
  <si>
    <t>i.R.E.M - Institutii Responsabile, Eficienta Manageriala</t>
  </si>
  <si>
    <t xml:space="preserve">Obiectivele specifice ale proiectului
OS1: Implementarea de mecanisme si proceduri standard (Strategie de dezvoltare a județului, Plan strategic instituþional 2021 –2027, Procedura operationala de administrare a infrastructurii rutiere cu ajutorul soluþiilor informatice) pentru a creste eficienta actiunilor administrative la nivelul Judetului.OS 2. Implementarea unei soluții informatice pentru simplificarea procedurilor administrative vizand competentele partajate in domeniul infrastructurii de transport rutier judetean, in cadrul Consiliului Judetean Giurgiu, contribuie la simplificarea procedurilor
administrative în conformitate cu Planul integrat de simplificare a procedurilor pentru cetațeni si se ofera servicii publice electronice de informare si servicii digitale pentru cetateni.OS 3. Imbunatatirea competentelor profesionale a unui numar de 75 de persoane din cadrul Consiliului Județean Giurgiu, a
subordonatelor si a altor instituții publice din raza Judetului Giurgiu pe teme specifice proiectului, prin cursuri de formare profesionala (55 de persoane) si instruire utiliare solutie informatica (20 de persoane). </t>
  </si>
  <si>
    <t>Organizarea unei Planificări Echilibrate a Nevoilor Municipiului Reșița - O.P.E.N. Municipiul Reșița</t>
  </si>
  <si>
    <t>Universitatea Babes Bolyai</t>
  </si>
  <si>
    <t>Obiectivele specifice ale proiectului
OS1 - Eficientizarea activitații administrației publice din municipiul Reșița prin implementarea unui sistem informatic integrat inclusiv servicii digitale pentru cetateni pentru serviciile furnizate partajat de catre Municipiul Resița în vederea simplificarii accesului cetațenilor la serviciile oferite partajat de Municipiul Resița
OS2 - Dezvoltarea capacitatii de planificare si fundamentarea procesului decizional la nivelul administratiei publice locale din Municipiul Resita prin realizarea documentelor strategice SIDU si PMUD orizont 2030;OS3 - Cresterea nivelului de responsabilitate si eficienþa in administratia publica locala din Municipiul Resita prin instruirea unui numar de 100 de angajati ai primariei pentru a-i capacita in domeniile implementate prin proiect</t>
  </si>
  <si>
    <t>Municipiul Reșița</t>
  </si>
  <si>
    <t>Fundamentarea deciziilor, planificarea strategică si masuri de simplificare pentru cetățeni la nivelul Municipiului Marghita</t>
  </si>
  <si>
    <t>Municipiul Marghita</t>
  </si>
  <si>
    <t>Obiectivul general al proiectului este consolidarea capacitatii administrative a Municipiului Marghita prin implementarea de masuri
pentru imbunatatirea planificarii strategice, respectiv masuri de simplificare pentru cetateni.
1. OS1. Imbunatatirea planificarii strategice a Municipiului Marghita pentru perioada 2021-2027 prin elaborarea urmatoarelor documente
strategice:
- Strategia integrata de dezvoltare urbana a Municipiului Marghita,
- Planul de mobilitate urbana durabila a Municipiului Marghita, respectiv
- Programul de Imbunatatire a Eficientei Energetice a Municipiului Marghita.
2. OS2: Simplificarea procedurilor administrative si reducerea birocratiei pentru cetateni prin achizitia de date din teren si integrarea
acestora intr-o solutie geospatiala (GIS) aferenta intravilanului Municipiului Marghita.</t>
  </si>
  <si>
    <t>Marghita</t>
  </si>
  <si>
    <t>Planificare strategică, simplificare administrativă și optimizare a unor servicii pentru cetățeni, la nivelul județului Buzău</t>
  </si>
  <si>
    <t>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Extinderea cunostintelor si abilitatilor personalului din Municipiul Buzau în vederea cunoasterii condiþionalitaþilor specifice
perioadei de finanþare 2021-2027, precum si a procedurilor de prioritizare a proiectelor, de monitorizare a implementarii planurilor
de acþiune si de evaluare a rezultatelor acestora, pentru documentele strategice elaborate. Obiectivul specific este în corelare cu
Activitatea 5 si cu Rezultatul de proiect 3.</t>
  </si>
  <si>
    <t>Obiectivul general al proiectului a constat în îmbunatatirea accesibilitatii zonelor turistice cu potential demonstrat ale judetului Buzau si a
mobilitatii populatiei, bunurilor si serviciilor, în vederea stimularii economice durabile.
Obiectivul specific al proiectului l-a reprezentat reabilitarea si modernizarea, într-o perioada de 27 de luni, a retelei de 57,89 km drumuri
din zona Pietroasele – Merei – Monteoru – Vernesti – Hales – Ciuta, judetul Buzau.</t>
  </si>
  <si>
    <t>Fundamentarea procesului decizional strategic în vederea promovării dezvoltării urbane durabile – PROSPER</t>
  </si>
  <si>
    <t>Obiectivul general al proiectului este reprezentat de fundamentarea procesului decizional strategic în vederea promovarii dezvoltarii
urbane durabile a Municipiului Slobozia, prin elaborarea principalelor documente de planificare strategica si asigurarea corespondenþei
acestora cu condiþionalitaþile perioadei de programare a fondurilor europene 2021-2027, precum si de simplificarea procedurilor
administrative si reducerea birocraþiei pentru cetaþeni, prin implementarea unui sistem informatic integrat.
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Implementare sistem informatic integrat. Obiectivul specific este în corelare cu Activitatea 5, respectiv cu Rezultatul de proiect 3.
4. Extinderea cunostinþelor si abilitaþilor personalului din Municipiul Slobozia în vederea utilizarii sistemului informatic integrat,
precum si a cunoasterii condiþionalitaþilor specifice pentru perioada de finanþare 2021-2027, a arhitecturii programelor
operaþionale si a oportunitaþilor de finanþare, a procedurilor de prioritizare a proiectelor, de monitorizare a implementarii planurilor
de acþiune si de evaluare a rezultatelor acestora, pentru documentele strategice elaborate. Obiectivul specific este în corelare cu
Activitatea 6 si cu Rezultatul de proiect 4.</t>
  </si>
  <si>
    <t>Împreună pentru Ialomița – Strategia de dezvoltare a județului Ialomița 2021-2027 și servicii publice accesibile pentru cetățeni</t>
  </si>
  <si>
    <t>Județul Ialomița</t>
  </si>
  <si>
    <t>Obiectivul general al proiectului este: Imbunatatirea procesului decizional si de planificare strategica la nivelul CJ Ialomita prin
introducerea unor mecanisme si proceduri standard (metode si instrumente) de fundamentare a deciziilor, corelarea acestora cu resursele
existente si care pot fi atrase, simplificarea proceselor care vizeaza interactiunea directa cu cetatenii si dezvoltarea competentelor
personalului aparatului de specialitate in vederea implementarii si utilizarii acestora.
Obiectivele specifice ale proiectului
1. OS 1 - Consolidarea procesului decizional, a capacitatii de planificare strategica la nivelul CJ Ialomita prin elaborarea Strategiei
de Dezvoltare a Judetului Ialomita 2021-2027 si dezvoltarea competentelor angajatilor CJ Ialomita in domeniul planificarii
strategice
2. OS 2 - Simplificarea si eficientizarea serviciilor partajate specifice oferite cetatenilor din Judetul Ialomita prin dezvoltarea si
implementarea unui sistem informatic care sa permita depunerea documentatiei online de catre cetateni pentru serviciile oferite
3. OS 3 – Simplificarea si eficientizarea accesului la documente cu valoare operationala in prezent (din perspectiva back-office, dar
cu impact real la nivelul beneficiarului final - cetateanul), prin retro-digitalizarea arhivei CJ Ialomita</t>
  </si>
  <si>
    <t>Investiții integrate și complementare în măsuri
de planificare strategice și măsuri de simplificare la nivelul Municipiului Ploiești</t>
  </si>
  <si>
    <t>Obiectivul general al proiectului este formularea unei propuneri de politica publica prin realizarea Strategiei Integrate de Dezvoltare
Urbana pentru perioada 2021-2027 si actualizarea PMUD 2014-2030, corelata cu modernizarea sistemului informatic existent precum si
cresterea performanþei personalului angajat si deservirea cetaþenilor.
Obiectivele specifice ale proiectului
1. Obiectiv specific 1: Definirea politicii locale a municipiului Ploiesti cu concursul tuturor factorilor cu aport în dezvoltarea locala,
concretizata prin adoptarea a 2 documente strategice: Strategiei Integrate de Dezvoltare Urbana pentru perioada 2021-2027 si
PMUD 2014-2030, corelat cu SIDU.
Pentru realizarea obiectivului specific 1 se are in vedere activitatea A2.Elaborarea si implementarea de politici si strategii la nivel
local. Rezultatul 1 si Rezultatul 2 contribuie la atingerea acestui obiectiv.
2. Obiectiv specific 2: Implementarea de masuri de eficientizare a proceselor de lucru specifice domeniului asistentei sociale, atât
din perspectiva back office, cât si din perspectiva front office.
Pentru realizarea obiectivului specific 2 se are in vedere activitatea A3. Simplificarea Procedurilor Administrative si Reducerea
Birocraþiei pentru Cetaþeni. Rezultatul 3 contribuie la atingerea acestui obiectiv.
3. Obiectiv specific 3: Dezvoltarea abilitaþilor personalului din cadrul Primariei Municipiului Ploiesti si al instituþiilor subordonate
Primariei Ploiesti prin asigurarea formarii a 20 persoane din grupul þinta în domeniul SMART CITY MANAGEMENT, inclusiv prin
abordarea temelor de dezvoltare durabila, egalitate de sanse, nediscriminare si egalitate de gen
Pentru realizarea obiectivului specific 3 se are in vedere activitatea A4. Dezvoltarea abilitatilor pe teme specifice. Rezultatul 4
contribuie la atingerea acestuia.</t>
  </si>
  <si>
    <t>Servicii publice partajate eficiente -
Continuarea simplificării procedurilor administrative și reducerea birocrației pentru cetățeni prin
digitalizarea serviciilor publice partajate în Municipiul Caransebeș (SPRE)</t>
  </si>
  <si>
    <t>Obiective proiect
Cresterea calitatii si transparentei procesului administrativ la nivelul Municipiului Caransebes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1. Implementarea unor masuri de simplificare pentru cetateni,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Caransebes din domeniile de
interes asistenta sociala si amenajarea teritoriului si urbanism
2. 2. Cresterea nivelului de pregatire, cunostinþe si abilitaþi ale personalului din cadrul Primariei atat in domenii specifice, cat
si in utilizarea si administrarea sistemelor informatice</t>
  </si>
  <si>
    <t>Acțiuni pentru o administrație publică deschisă și receptivă la soluții inovatoare</t>
  </si>
  <si>
    <t>Municipiul Orșova</t>
  </si>
  <si>
    <t>Obiectivul general al proiectului vizeaza implementarea unui sistem informatic smart-city de digitalizare a proceselor de administrare a
documentelor, simplificarea procedurilor administrative, comunicarea online cu alte sisteme de creare de documente de la alte institutii,
eficientizarea activitatilor de tip back-office si planificare strategica pe termen lung, in vederea imbunatatirii calitatii si eficientei serviciilor
furnizate de administratia publica a Municipiului Orsova, judeþul Mehedinþi, din regiunea mai puþin dezvoltata Sud-Vest Oltenia.
Proiectul este corelat cu obiectivul specific al apelului de proiecte CP13/2019 (POCA/661/2/1) deoarece urmareste, pentru regiunea mai
putin dezvoltata Sud-Vest Oltenia, implementarea masurilor de planificare strategica pe termen lung prin elaborare SIDU pentru
urmatoarea perioada de programare; masuri de simplificare a birocraþiei prin dezvoltarea unor module software specifice domeniilor
partajate ale autoritaþi publice locale (de exemplu: harta interactiva (GIS), asistenta sociala, Politie locala si ordine publica, stare civila,
etc), digitalizarea poceselor de administrare a documentelor, dar si instruirea pe teme specifice de interes.
Proiectul contribuie la realizarea obiectivului general POCA 2014-2020 si susþine Axa prioritara 2 POCA: „Administraþie publica si sistem
judiciar accesibile si transparente”, Obiectivul Specific 2.1. prin dezvoltarea strategiei de dezvoltare Municipiului, coroborata cu
implementarea de masuri de reducere a birocratiei si simplificare pentru cetaþeni, în perioada de implementare a proiectului si pregatirea a
circa 60 de persoane pentru o administratie performanta si eficienta la nivel local. Pe termen lung acestea contribuie la crearea unei
administratii locale performante, capabile sa ofere servicii performante si sa genereze dezvoltare socio-economica la nivelul comunitatii.
Realizarea celor 3 obiective specifice menþionate în secþiunea ”Obiective specifice” vor conduce la îndeplinirea obiectivului general al
proiectului.
Activitaþile prevazute in cadrul acestuia contribuie semnificativ la atingerea obiectivelor programului si ai indicatorilor de realizare si
rezultat, în conformitate cu specificaþiile din Ghidul Solicitantului pentru CP 13/2019 si corelate cu ”Planul integrat pentru simplificarea
procedurilor adminsitrative aplicabile cetaþenilor” si cu ”Ghidul pentru planificarea si fundamentarea procesului decizional din adminsitraþia
publica locala”:
- Elaborarea Strategiei Integrate de Dezvoltare urbana 2021 - 2027 contribuie la atingerea indicatorului de rezultat 5S18 si a
indicatorului de realizare 5S57, prin Activitatea 3
- Dezvoltarea si implementarea sistem informatic smart-city de digitalizare a proceselor de administrare a documentelor , un
portal care ofera acces la servicii online gestionate partajat de catre UAT, din perspectiva back-office si front-office si comunicarea online
cu alte sisteme de creare de documente de la alte institutii, contribuie la atingerea indicatorului de rezultat 5S20 si a indicatorului de
realizare 5S59, prin Activitatea 4
- Participarea la activitati de instruire specifica si certificarea a 60 de persoane din diferite departamente, servicii, contribuie la
atingerea indicatorilor POCA - 5S23 indicator de rezultat si 5S62 indicatorul de realizare si rezultat POCA R5, prin realizarea Activitaþii 5
Proiectul raspunde obiectivului general II 1.5. propus prin Strategia pentru consolidarea administratiei publice 2014 - 2020 (SCAP) ”
Consolidarea transparenþei procesului decizional”, deoarece prin proiect se stimuleaza dezvoltarea de parteneriate între administraþia
publica locala si companiile IT în vederea crearii unor aplicaþii de date deschise (aplicaþii informatice de tip front-office si back-office) prin
care se faciliteaza accesul la servicii online pentru o mai buna implementare a regulilor transparenþei procesului decizional.</t>
  </si>
  <si>
    <t>Orsova</t>
  </si>
  <si>
    <t>Planificare Strategică - Municipiul Vaslui</t>
  </si>
  <si>
    <t>Obiectivul general al proiectului/Scopul proiectului
Obiective proiect
Întocmirea documentaþiilor de planificarea strategica pe termen lung la nivelul UAT Municipiul Vaslui
Obiectivele specifice ale proiectului
1. OS 1: Realizarea Planului Strategic Institutional al Muncipiului Vaslui aferent anilor 2021-2022;
2. OS 2: Realizarea Strategiei integrate de dezvoltare urbana a Municipiului Vaslui 2021-2027;
3. OS 3: Realizarea Planului de Mobilitate Urbana Durabila al Municipiului Vaslui pentru perioada 2021-2027;</t>
  </si>
  <si>
    <t>Planificare strategică și măsuri de simplificare pentru cetățeni la nivelul Municipiului Târgu Mureș</t>
  </si>
  <si>
    <t>Municipiul Târgu Mureș</t>
  </si>
  <si>
    <t>Obiectivul general al proiectului consta in consolidarea capacitatii administrative a Municipiului Tirgu Mures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Tirgu Mures prin
actualizarea Strategiei Integrata de Dezvoltare Urbana, actualizarea Planului de Mobilitate Urbana Durabila si realizarea
Strategiei Smart City
2. OS2 Eficientizarea si simplificarea serviciilor gestionate partajat catre Primaria Muncipiului Tirgu Mures prin implementarea unei
solutii de portal cu servicii digitale si retrodigitalizarea arhivei
3. OS3-Intarirea capacitatii institutionale in cadrul Primariei Municipiului Tirgu Mures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</si>
  <si>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DINAMIC – Dâmbovița – interacțiuni la nivel administrativ între modernizare, interconectivitate, competențe</t>
  </si>
  <si>
    <t>Obiectivul general al proiectului îl constituie Cresterea calitatii actului administrativ la nivelul UAT Judetul DB, prin consolidarea procesului
de planificare strategica si implementarea masurilor de simplificare si modernizare a procedurile administrative
Obiectivele specifice ale proiectului
1. 1. Consolidarea capacitatii de planificare strategica si de îmbunataþire a procesului de fundamentare a deciziilor la nivelul UAT
Judetul DB, prin elaborarea Strategiei de dezvoltare a serviciilor sociale a judeþului DB si a Planului Strategic Instituþional.
2. 2. Simplificarea procedurilor administrative si reducerea birocraþiei pentru cetaþeni prin dezvoltarea si implementarea de soluþii
informatice la nivelul UAT Judetul DB, pentru serviciile partajate din domeniul urbanismului si al serviciilor de asistenþa sociala
pentru copii aflaþi în dificultate.
Solutiile informatice dezvoltate vizeaza inclusiv cresterea gradului de accesibilitate pentru persoanele cu dizabilitati
3. 3. Reducerea timpilor de raspuns la solicitarile adresate UAT Judetul DB, prin digitalizarea si retro-digitalizarea arhivei
electronice pentru documentele cu valoare operationala in prezent
4. 4. Îmbunataþirea abilitaþilor si competentelor angajatilor UAT Judetul DB, prin participarea la sesiuni de instruire pe teme specifice
actiunilor prevazute prin proiect</t>
  </si>
  <si>
    <t>Dambovita</t>
  </si>
  <si>
    <t>Consolidarea capacității administrative prin adoptarea de instrumente ale planificării strategice pentru buna gestiune financiară a proceselor dezvoltării locale în Municipiul Dej</t>
  </si>
  <si>
    <t xml:space="preserve">
Obiectivul general al proiectului: Consolidarea capacitatii administrative a Municipiului Dej prin adoptarea si utilizarea instrumentelor
planificarii strategice conforme cu Strategia pentru Consolidarea Administratiei Publice (SCAP) 2014 – 2020 in vederea optimizarii
proceselor orientate catre beneficiari.
Obiectivele specifice ale proiectului
1. OS 1: Dezvoltarea abilitatilor si cunostintelor factorilor implicati (personal si alesi locali) in domeniile planificarii strategice si
bugetare, a fundamentarii si implementarii politicilor publice locale in acord cu principiile bunei gestiuni financiare.
2. OS 2: Proiectarea si adoptarea Planului Strategic Institutional (PSI) al Municipiului Dej in vederea optimizarii proceselor orientate
catre beneficiari în concordanþa cu SCAP;
3. OS 3: Elaborarea si adoptarea Strategiei Integrate de Dezvoltare Urbana (SIDU 2021 – 2027) ca instrument pentru programarea
bugetara multianuala si gestiunea politicilor publice ale municipiului Dej pentru perioada 2021 – 2027
4. OS 4: Elaborarea si adoptarea Planului de Mobilitate Urbana Durabila (PMUD 2021 – 2027) ca instrument pentru gestiunea
politicilor publice ale municipiului Dej in acord cu Pactul Ecologic European ce prevede obligativitatea atingerii neutralitatii
climatice pana in anul 2050</t>
  </si>
  <si>
    <t>Consolidarea Capacității Administrative a UAT Municipiul Brad</t>
  </si>
  <si>
    <t>Municipiul Brad</t>
  </si>
  <si>
    <t>Obiectivul general al proiectului consta în consolidarea capacitatii institutionale si eficientizarea activitatii la nivelul Municipiului Brad prin
planificare strategica, proceduri simplificate pentru reducerea birocraþiei pentru cetaþeni si formarea personalului.
Obiectivele specifice ale proiectului
1. OS 1: Realizarea de proceduri standard pentru fundamentarea deciziilor si elaborarea documentaþiilor de planificare strategica:
Criterii de prioritare a investiþiilor în sectoarele educaþie, sanatate, asistenta sociala, infrastructura (mediu si transport) pentru
realizarea bugetului aferent anului 2021 sau 2022, politici publice ce necesita resurse financiare din bugetele aferente anilor 2021
si 2022, Strategia integrata de dezvoltare urbana a Municipiului Brad 2021-2027, Planul de Mobilitate Urbana Durabila al
Municipiului Brad pentru perioada 2021-2027, Planul Strategic Instituþional 2021-2022
2. OS 2: Implementarea unor masuri de simplificare pentru cetaþeni, în legatura cu Planul integrat pentru simplificarea procedurilor
administrative aplicabile cetaþenilor prin implementarea si utilizarea GIS în administraþia publica.
3. OS 3. Dezvoltarea cunostinþelor si abilitaþilor personalului din cadrul Municipiului Brad, în vederea sprijinirii masurilor vizate de
proiect.</t>
  </si>
  <si>
    <t>“Consolidarea capacității administrative locale prin planificare strategică eficientă</t>
  </si>
  <si>
    <t>Obiectivul general al proiectului il reprezinta consolidarea capacitatii administrative si eficientizarea activitatii la nivelul autoritatii publice
locale prin fundamentarea deciziilor si planificarea strategica pe termen lung, prin corelarea SIDU si PMUD cu documente strategice
nationale pentru perioada 2021-2027.
Obiectivele specifice ale proiectului
1. Dezvoltarea capacitatii administrative necesare a Municipiului Pitesti in vederea fundamentarii deciziilor si planificarii strategice pe
termen lung urmare a actualizarii Strategiei integrate de dezvoltare urbana si a Planului de mobilitate urbana durabila pentru
urmatorul cadru financiar aferent perioadei 2021 – 2027
2. Imbunatatirea cunostintelor si abilitatilor personalului de conducere si executie din Primaria Municipiului Pitesti, in vederea
sprijinirii masurilor vizate de proiect.</t>
  </si>
  <si>
    <t>BISTRIȚA 2030</t>
  </si>
  <si>
    <t>OBIECTIVE SPECIFICE:                                                                                                                                                                                       1. Actualizarea Strategiei de Dezvoltare Locala (SIDU) si a Planului de Mobilitate Urbana Durabila (PMUD) pentru urmatoarea perioada de programare a fondurilor europene 2021-2027;
2. Realizarea Planului Strategic Institutional (PSI) aferent perioadei 2021-2022;
3. Dezvoltarea abilitatilor unui numar de 40 de angajati/ alesi locali ai Municipiului Bistrita, prin organizarea unui curs de formare in domeniul planificare strategica si unui schimb de experienta la care vor participa 12 persoane</t>
  </si>
  <si>
    <t>Bistrita Năsăud</t>
  </si>
  <si>
    <t>Municipiul Bistrița</t>
  </si>
  <si>
    <t>Digitalizare, eficiență, transparență pentru cetățeni - DETC</t>
  </si>
  <si>
    <t>Obiectivul general al proiectulu
Dezvoltarea si implementarea de masuri de simplificare privind serviciile furnizate catre cetaþenii municipiului Satu Mare în scopul
reducerii birocraþiei, respectiv sprijinirea Primariei municipiului Satu Mare pentru a implementa masuri de simplificare pentru cetaþeni în
corespondenþa cu Planul integrat pentru simplificarea procedurilor administrative aplicabile cetaþenilor. Prin realizarea obiectivului general vor fi îmbunataþite procedurile adminsitrative, respectiv se va facilita accesul la serviciile publice, prin digitalizarea acestora. Prin planul sau de activitati proiectul actioneaza în scopul utilizarii celor mai eficiente instrumente de lucru. Metodologia de implementare are în
vedere interdependenþele dintre activitati, la nivelul diagramei Gantt, precum si interdependenþele raportate la durata de implementare si la capacitatea resurselor alocate.
Obiectivele specifice ale proiectului
1. Digitalizare si implementare solutii soft în vederea simplicarii procedurilor catre cetaþeni prin migrarea serviciilor de tip ”analog”
(hârtie, apel telefonic, deplasare personala) pe platforme digitale: desktop (site) si mobile (app);
2. Dezvoltarea si extinderea sistemelor existente, interconectarea tuturor serviciilor într-o singura platforma de ”self-care” precum si
deschiderea mai larga catre cetaþeni, introducând servicii specifice pentru nevazatori / cetaþeni cu deficienþe de vedere sau de alt
tip;
3. Digitalizarea proceselor de administrare a documentelor necesare prin interconectarea sistemelor de backoffice (sistem de
incasari, managementul documentelor) pentru a facilita funcþionarea platformei publice;</t>
  </si>
  <si>
    <t>Digitalizarea serviciilor sociale și medicale
aflate în competenta Consiliului Județean Brașov</t>
  </si>
  <si>
    <t>DGASPC BRASOV</t>
  </si>
  <si>
    <t>Obiectivul general al proiectului/Scopul proiectului
Cresterea performantei administraþiei publice din judeþul Brasov în domeniul serviciilor medicale si sociale, prin implementarea de masuri
de simplificare a procedurilor administrative cu caracter general de tip front-office si back-office.                                                                                                          OS 1. Optimizarea procedurilor administrative în domeniul serviciilor sociale si medicale în scopul reducerii birocraþiei.
- Se va crea o Platforma integrata (portal web, arhivare electronica, captura documente, fluxuri de lucru cu documente,
registratura electronica si management arhiva fizica de documente) care va furniza digital fluxurile de lucru în domeniul serviciilor
medicale si sociale, în scopul eficientizarii procesarii documentelor, evitarii întreruperilor ce pot aparea în fluxurile informaþionale
ale instituþiilor implicate si în relaþia acestora cu CJ Bv, reducând astfel întârzierile în procesul decizional cu impact asupra
activitaþilor operative. Se vor dezvolta si implementa masuri de simplificare pentru cetaþeni, în corespondenþa cu Planul integrat
pentru simplificarea procedurilor administrative aplicabile cetaþenilor din perspectiva front-office, dar si back-office, care sa
asigure administrarea electronica a documentelor create, primite sau întocmite pentru uz intern, precum si optimizarea
procedurilor si fluxurilor de lucru în domeniul serviciilor medicale si sociale, prin transferul complet în mediu digital a datelor si
informaþiilor care sunt utilizate, optimizarea fluxurilor de lucru si introducerea semnaturii digitale.                                                                                                        OS 2. Retrodigitalizarea arhivei fizice cu valoare operaþionala prezenta de la nivelul D.G.A.S.P.C Brasov
- Se va retro-digitaliza un numar de cca. 1.500.000 pagini aflate în arhiva clasica si cu valoare operaþionala prezenta.</t>
  </si>
  <si>
    <t>Municipiul Câmpulung Moldovenesc</t>
  </si>
  <si>
    <t>Planificare strategică și simplificarea procedurilor administrative la nivelul Municipiului Câmpulung Moldovenesc</t>
  </si>
  <si>
    <t>Obiectivul general al proiectului
Obiectivul general al proiectului consta in consolidarea capacitatii institutionale si eficientizarea activitatii la nivelul Municipiului Câmpulung Moldovenesc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Câmpulung Moldovenesc 2021-2027 in conformitate cu cadrul financiar
multianual 2021-2027, inclusiv Planul de mobilitate urbana durabila.
2. OS2. Implementarea unor masuri de simplificare pentru cetateni conform Planului integrat pentru simplificarea procedurilor
administrative aplicabile cetatenilor din perspectiva front-office si back-office – Sistem informatic integrat pentru simplificarea
procedurilor administrative vizând competenþele partajate, în cadrul Primariei Municipiului Câmpulung Moldovenesc.
3. OS3. Dezvoltarea cunostintelor si abilitatilor personalului din cadrul Municipiului Câmpulung Moldovenesc, in vederea sprijinirii
masurilor vizate de proiect. Este avuta in vedere formarea/ instruirea, evaluarea/ testarea si certificarea competentelor/
cunostintelor dobândite pentru 70 de persoane, din cadrul grupului tinta, in ceea ce priveste utilizarea solutiilor informatice
implementate in cadrul proiectului.</t>
  </si>
  <si>
    <t>Câmpulung Moldovenesc</t>
  </si>
  <si>
    <t>Îmbunătățirea capacității de planificare prin actualizarea documentelor strategice și creșterea calității serviciilor furnizate de Municipiul Iași</t>
  </si>
  <si>
    <t>Municipiul Iași</t>
  </si>
  <si>
    <t>Obiectivul general al proiectului
Imbunatatirea procesului de luare a deciziei la nivelul Municipiului Iasi prin introducerea unor metode si sisteme coerente de fundamentare
a deciziilor, corelarea acestora cu resursele disponibile si pregatirea personalului aparatului de specialitate in vederea utilizarii acestor
instrumente.
Obiectivele specifice ale proiectului
1. Imbunatatirea corelarii intre masurile si planurile de actiune din principalele documente de politici publice si activitatile de
planificare bugetara si alocare a resurselor de catre autoritatea publica locala Municipiul Iasi prin actualizarea Strategiei Integrate
de Dezvoltare Urbana a Municipiului Iasi si a Planului de Mobilitate Urbana Durabila pentru Polul de Crestere Iasi pentru perioada
post 2020.
2. Implementarea unor masuri de simplificare in corespondenta cu Planul Integrat pentru simplificarea procedurilor administrative din
perspectiva back-office (adaptarea procedurilor interne de lucru, digitalizarea arhivelor).
3. Dezvoltarea cunostintelor si abilitatilor personalului din cadrul Primariei Municipiului Iasi, in vederea sprijinirii masurilor vizate de
proiect. Este avuta in vedere formarea si certificarea competentelor/cunostintelor dobândite pentru 30 persoane din cadrul
grupului tinta, in domeniul planificarii strategice si al politicilor publice locale. Obiectivul general al serviciilor de instruire il
constituie familiarizarea persoanelor din grupul tinta cu implicatiile conceptului de planificarea strategica. De asemenea, sunt
vizate dezvoltarea competentele si abilitatilor a 110 persoane angajate in cadrul Directiei Generale Economice si Finante Publice
Locale pentru utilizarea sistemelor informatice aferente sistemului de arhivare digitala a documentelor.</t>
  </si>
  <si>
    <t>Asistență socială integrată in Municipiul Lugoj prin digitalizarea serviciilor publice partajate și continuarea simplificării procedurilor administrative și reducerii birocrației pentru cetățeni - ASIGUR</t>
  </si>
  <si>
    <t>Municipiul Lugoj</t>
  </si>
  <si>
    <t>Consiliul Local Lugoj – Direcția de Asistență Publică Comunitară Lugoj</t>
  </si>
  <si>
    <t>Obiectivul general al proiectului
Cresterea calitatii si transparentei procesului administrativ la nivelul Municipiului Lugoj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de asistenta
sociala ale administraþiei publice locale
Obiectivele specifice ale proiectului
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Lugoj din domeniul de interes asistenta sociala
2. Cresterea nivelului de pregatire, cunostinþe si abilitaþi ale personalului din cadrul Primariei atat in domenii specifice, cat si in
utilizarea si administrarea sistemelor informatice</t>
  </si>
  <si>
    <t>Planificare strategică și simplificarea procedurilor administrative la nivelul Municipiului Fălticeni</t>
  </si>
  <si>
    <t>Municipiul Fălticeni</t>
  </si>
  <si>
    <t>Obiectivul general al proiectului consta in consolidarea capacitaþii instituþionale si eficientizarea activitaþii la nivelul Municipiului Falticeni
prin planificare strategica, simplificarea procedurilor administrative si reducerea birocraþiei pentru cetaþeni, implementând masuri din
perspectiva back-office (optimizarea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Planului de Mobilitate Urbana Durabila.
2. OS2. Implementarea unor masuri de simplificare pentru cetaþeni conform Planului integrat pentru simplificarea procedurilor
administrative aplicabile cetaþenilor din perspectiva front-office si back-office – Sistem informatic integrat pentru simplificarea
procedurilor administrative vizând competenþele partajate, în cadrul Primariei Municipiului Falticeni.
3. OS3. Dezvoltarea cunostinþelor si abilitaþilor personalului din cadrul Municipiului Falticeni, in vederea sprijinirii masurilor vizate de
proiect. Este avuta in vedere formarea/ instruirea, evaluarea/ testarea si certificarea competentelor/ cunostinþelor dobândite
pentru 70 de persoane, din cadrul grupului þinta, in ceea ce priveste utilizarea soluþiilor informatice implementate in cadrul
proiectului.</t>
  </si>
  <si>
    <t>Fălticeni</t>
  </si>
  <si>
    <t>AA1/03.06.2020 prelungire</t>
  </si>
  <si>
    <t>AA4/02.03.2020              AA5/02.06.2020 durata, VTE, FSE, UE, CP</t>
  </si>
  <si>
    <t>Proceduri simplificate de reducere a birocrației pentru cetățeni</t>
  </si>
  <si>
    <t>Municipiul Odorheiu Secuiesc</t>
  </si>
  <si>
    <t>Obiectivul general consta în îmbunatatirea capacitatii administrative, a calitatii si eficientei serviciilor publice furnizate la nivelul Municipiului
Odorheiu Secuiesc, judetul Harghita din regiunea mai putin dezvoltata Centru, prin implementarea unui sistem informatic integrat care
permite comunicarea online cu cetatenii si cu alte institutii pentru domenii gestionate partajat de UAT, eficientizarea activitatilor de tip
back-office si implementarea de masuri pentru îmbunataþirea planificarii strategice.
Prin implementarea unui sistem informatic integrat care ofera acces online la serviciile gestionate partajat de administratia locala si
achizitia unor noi module software cu functionalitati noi si un sistem îmbunatatit fata de cel existent, prin pregatirea a circa 120 de
persoane pentru o administratie performanta si eficienta la nivel local, proiectul contribuie la realizarea obiectivului general POCA 2014-
2020. Pe termen lung implementarea si utilizarea unui sistem informatic care sa permita accesul facil la servicii on-line, instruirea
personalului, contribuie la dezvoltarea unei culturii a calitatii in administratia publica, la crearea unei administratii locale performante,
capabile sa ofere servicii performante si sa genereze dezvoltare socio-economica la nivelul comunitatii.</t>
  </si>
  <si>
    <t>Odorheiu Secuiesc</t>
  </si>
  <si>
    <t>135061</t>
  </si>
  <si>
    <t>Dezvoltare strategică și eficiența administrativă - Județul Dolj</t>
  </si>
  <si>
    <t>Obiectivele specifice ale proiectului
1. Obiectiv specific 1: Imbunatatirea procesului decizional, a planificarii strategice la nivelul Consiliului Judetean Dolj pentru perioada
2021-2027.
2. Obiectiv specific 2 Simplificarea accesului cetatenilor la serviciile gestionate de catre Consiliul Judetean Dolj in domeniul
urbanismului si amenajarii teritoriului - competente partajate.
3. Obiectiv specific 3 Imbunatatirea cunostintelor si abilitatilor personalului din cadrul Consiliului Judetean Dolj, in domeniile:
fundamentarea deciziilor si planificare strategica; instrumente de simplificare a accesului cetatenilor la servicii de urbanism si
amenajarea teritoriului.</t>
  </si>
  <si>
    <t>UNITATEA ADMINISTRATIV TERITORIALĂ JUDETUL DOLJ</t>
  </si>
  <si>
    <t>Management administrativ performant și orientat către cetățeni la nivelul UAT - Județul Suceava</t>
  </si>
  <si>
    <t>Obiectivul general al proiectului vizeaza consolidarea capacitatii administrative la nivelul UAT - Judeþul Suceava, în vederea realizarii
obiectivelor de dezvoltare a judeþului Suceava, în concordanta cu limitele strategice europene, nationale si regionale si crearea de masuri
de simplificare pentru cetateni in concordanta cu SCAP.
Proiectul propus spre finantare se incadreaza in Axa prioritara 2 – Administratie publica si sistem judiciar accesibile si transparente,
obiectivul specific 2.1 – Introducerea de sisteme si standarde comune in administratia publica locala ce optimizeaza procesele orientate
catre beneficiari in concordanta cu SCAP.</t>
  </si>
  <si>
    <t>Judetul Suceava</t>
  </si>
  <si>
    <t>Simplificarea procedurilor administrative la nivelul Municipiului Vatra Dornei</t>
  </si>
  <si>
    <t>Municipiul Vatra Dornei</t>
  </si>
  <si>
    <t>Obiectivul general al proiectului consta in consolidarea capacitatii institutionale si eficientizarea activitatii la nivelul Municipiului Vatra
Dornei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Vatra Dornei 2021-2027 in conformitate cu cadrul financiar multianual
2021-2027.
2. OS2. Implementarea unor masuri de simplificare pentru cetaþeni conform Planului integrat pentru simplificarea procedurilor
administrative aplicabile cetaþenilor din perspectiva front-office si back-office. În acest sens este avuta în vedere achiziþia si
implementarea unei platforme integrate pentru servicii electronice complete vizând competenþele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3. OS3. Dezvoltarea cunostintelor si abilitatilor personalului din cadrul Municipiului Vatra Dornei, in vederea sprijinirii masurilor vizate
de proiect. Este avuta in vedere formarea/instruirea, evaluarea/testarea si certificarea competentelor/cunostinþelor dobândite
pentru 30 de persoane, din cadrul grupului þinta, in ceea ce priveste utilizarea soluþiilor informatice implementate in cadrul
proiectului.</t>
  </si>
  <si>
    <t>Inovare și performanță în administrația publică a Consiliului Județean Vrancea</t>
  </si>
  <si>
    <t>Obiectivul general al proiectului este Cresterea calitatii si a performantei serviciilor publice din cadrul CJ Vrancea, ca urmare a
implementarii de strategii pe termen lung si a aplicarii de masuri de reducere a birocratiei si simplificare a procedurilor pentru cetatenii
Judetului Vrancea.
Modelul reuneste functii complementare necesare (Mecanisme si proceduri standard implementate la nivel local pentru fundamentarea
deciziilor si planificarea strategica pe termen lung, Proceduri simplificate pentru reducerea birocratiei pentru cetateni la nivel local corelate
cu Planul integrat de simplificare a procedurilor administrative pentru cetateni implementate, Cunostinte si abilitati ale personalului din
autoritatile si institutiile publice locale imbunatatite, in vederea sprijinirii masurilor/actiunilor vizate in proiect) pentru a genera un impact pe
termen lung care sa contribuie la o mai buna functionare a administratiei publice locale, astfel incat sa se alinieze la nivelul standardelor
europene din punct de vedere al calitatii si managementului serviciilor publice.</t>
  </si>
  <si>
    <t>Judetul Vrancea</t>
  </si>
  <si>
    <t>Simplificarea procedurilor administrative la nivelul Municipiului Gherla</t>
  </si>
  <si>
    <t>Municipiul Gherla</t>
  </si>
  <si>
    <t>Gherla</t>
  </si>
  <si>
    <t>Obiectivul general al proiectului consta in consolidarea capacitatii institutionale si eficientizarea activitatii la nivelul Municipiului Gherla prin simplificarea procedurilor administrative si reducerea birocraþiei pentru cetaþeni, implementând masuri din perspectiva back-office si frontoffice.
Obiectivele specifice ale proiectului
1. OS1. Implementarea unor masuri de simplificare pentru cetateni, în corespondenþa cu Planul integrat pentru simplificarea
procedurilor administrative aplicabile cetaþenilor, atât din perspectiva back-office, cât si front-office. În acest sens este avuta în
vedere achizitia si implementarea unei platforme integrate pentru servicii electronice complete vizând competentele partajate ale
primariei. Platforma integrata include atat solutii front-office, cât si back-office.
- prin obiectivul specific OS1 vor fi achiziþionate o serie de echipamente IT, respectiv software, o parte din acestea fiind
identificate si descrise la sectiunea ,,Rezultate asteptate” din cadrul prezentei Cereri de finanþare.
2. OS2. Dezvoltarea cunostintelor si abilitatilor personalului din cadrul Municipiului Gherla, in vederea sprijinirii masurilor vizate de
proiect. Este avuta in vedere formarea/instruirea, evaluarea/testarea si certificarea competentelor/cunostinþelor dobândite pentru
30 de persoane, din cadrul grupului tinta, in ceea ce priveste utilizarea solutiilor informatice implementate in cadrul proiectului.</t>
  </si>
  <si>
    <t>Accesul direct al cetățeanului la serviciile socio-medicale ale Municipiului Baia Mare</t>
  </si>
  <si>
    <t>Obiectivul general al proiectului
Îmbunataþirea proceselor si implementarea de masuri de simplificare a procedurilor administrative pentru cetaþeni în domeniul sociomedical.
Obiectivele specifice ale proiectului
1. OS 1. Furnizarea instrumentelor software de interacþiune cu cetaþeanul în domeniul social si socio-medical
2. OS 2. Retrodigitizarea arhivei Municipiului Baia Mare
3. OS 3. Cresterea capacitaþii administrative si facilitarea importului de bune practici în domeniul social si socio-medical</t>
  </si>
  <si>
    <t>Planificare strategică și simplificare administrativă pentru cetățenii municipiului Codlea</t>
  </si>
  <si>
    <t>Obiectivul general al proiectului vizeaza imbunatatirea performantei administrative a Municipiului Codlea in ceea ce priveste planificarea
strategica si implementarea masurilor de simplificare administrativa de tip front-office si back-office in baza competentelor sale partajate.
Obiectivele specifice ale proiectului
1. Fundamentarea deciziilor si planificare strategica pe termen mediu si lung prin elaborarea Strategiei de Dezvoltare Locala a
Municipiului Codlea pentru perioada 2021-2027.
2. Imbunatatirea procesului decizional si planificarii strategice la nivelul autoritaþii publice locale prin elaborarea Planului strategic
instituþional pentru perioada 2021-2022.
3. Susþinerea de masuri de simplificare atât din perspectiva back-office cât si front-office prin implementarea unui ecosistem digital
interinstitutional interconectat si interoperabil de lucru.
4. Optimizarea proceselor administrative in raport cu cetatenii prin digitalizarea a 11 formulare de beneficiilor sociale furnizate de
solicitant in baza competentelor sale partajate.
5. OS5. Îmbunatairea cunostinelor si abilitailor personalului din cadrul Consiliului Local si Primariei Codlea prin derularea unui
program de instruire adresat unui numar de 60 de functionari alesi locali si personal de conducere si de executie.</t>
  </si>
  <si>
    <t>Performanță, transparență și eficiență în slujba cetățeanului în administrația locală Dorohoi</t>
  </si>
  <si>
    <t>Municipiul Dorohoi</t>
  </si>
  <si>
    <t>Asociația Centrul de Resurse în domeniul Științelor Socio-Umane</t>
  </si>
  <si>
    <t>Consolidarea capacitatii administrative si cresterea calitatii si eficientei serviciilor publice gestionate partajat de catre Municipiul Dorohoi
prin investitii integrate de simplificare a procedurilor institutionale si de reducere a birocratiei pentru cetateni, corelate cu dezvoltarea
capacitatii de planificare strategica pe termen lung.
Obiectivele specifice ale proiectului
1. OS1. Implementarea unui sistem informatic integrat, care sa sustina simplificarea si optimizarea procedurilor administrative pentru
cetateni la nivelul municipiului Dorohoi atât din perspectiva back-office, cât si front-office, inclusiv digitalizarea partiala a arhivei;
2. OS2. Îmbunatatirea procesului decizional si a capacitatii de planificare strategica din cadrul UAT Dorohoi prin elaborarea
Strategiei integrate de dezvoltare urbana (SIDU) si a Planului de mobilitate urbana durabila (PMUD), documente strategice care
sa raspunda nevoilor si exigentelor de finantare pentru urmatoarea perioada de programare a fondurilor europene 2021 – 2027;</t>
  </si>
  <si>
    <t>Dorohoi</t>
  </si>
  <si>
    <t>AA2/19.02.2020, I3 - durata , AA4/16.06.2020</t>
  </si>
  <si>
    <t>Act aditional nr. 1/13.09.2018 , AA2/16.06.2020 - durata</t>
  </si>
  <si>
    <t>Educația - un pas înainte!</t>
  </si>
  <si>
    <t>Obiectivul general al proiectului
Obiectivul general al proiectului consta in consolidarea capacitaþii instituþionale si eficientizarea activitaþii la nivelul Municipiului Aiud prin
continuarea simplificarii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asistenþei sociale si
siguranþei si ordinii publice.
2. OS2: Dezvoltarea cunostinþelor si abilitaþilor personalului din cadrul Municipiului Aiud,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</si>
  <si>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Planificare strategică și digitalizare urbană
pentru municipiul Roman</t>
  </si>
  <si>
    <t>Obiectivul general al proiectului vizeaza consolidarea capacitatii institutionale si eficientizarea activitaþii la nivelul Municipiului Roman prin
dezvoltarea capacitatii de planificare strategica si prin continuarea procesului de simplificare a procedurilor administrative si reducerea
birocraþiei pentru cetateni, implementând masuri din perspectiva back-office si front-office pentru serviciile publice furnizate aferente
competenþelor partajate ale administraþiei publice locale.
Obiectivele specifice ale proiectului
1. Dezvoltarea capacitatii necesare in vederea fundamentarii deciziilor si planificarii strategice pe termen lung, prin implementarea
de masuri si instrumente pentru planificare strategica, inclusiv elaborarea Planului strategic instituþional pentru perioada 2021-
2023 si a Planului de mobilitate urbana durabila.
2.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Roman aferente competenþelor partajate ale
administratiei publice locale.
3. Promovarea modernizarii administraþiei Municipiului Roman prin specializarea angajatilor institutiei pe teme specifice proiectului
(management strategic si managementul schimbarii din perspectiva e-guvernare) ceea ce va determina motivarea si mobilizarea
acestora in directia inovatiei si in oferirea de servicii publice de calitate catre cetateni.</t>
  </si>
  <si>
    <t>Acțiuni de simplificare a procedurilor administrative și de planificare strategică pentru cetățenii din municipiul Oradea și zona metropolitană</t>
  </si>
  <si>
    <t>Obiectivul general al proiectului
Consolidarea capacitatii administrative la nivelul administratiei publice locale din Municipiul Oradea si Zona Metropolitana prin dezvoltarea
de mecanisme si documente de planificare stategica, precum si simplificarea administrativa a serviciilor publice orientate catre cetateni.
Acestea vor viza procesul de planificare strategica de durata, imbunatatirea abilitatilor personalului Primariei Municipiului Oradea si
continuarea implementarii masurilor de reducere a birocratiei pentru cetateni.
Obiectivele specifice ale proiectului
1. Imbunatatirea, integrarea si extinderea procesului de planificare strategica pentru perioada 2021-2027 la nivelul Municipiului
Oradea si Zonei Metropolitana Oradea.
2. Simplificarea procedurilor administrative in vederea reducerii birocratiei pentru cetatenii din Municipiul Oradea.
3. Imbunatatirea cunostintelor si abilitatilor personalului din cadrul Primariei Municipiului Oradea in domenii-cheie privind dezvoltarea
teritoriala integrata.</t>
  </si>
  <si>
    <t>Eficiență și performanță în administrația publică locală a municipiului Botoșani</t>
  </si>
  <si>
    <t>Obiectivul general: Imbunatatirea planificarii strategice, simplificarea procedurilor administrative si reducerea birocratiei, prin dezvoltarea si
implementarea urmatoarelor masuri: actualizarea si implementarea unor strategii de dezvoltare in plan local, o solutie informatica unitara,
cat si dezvoltarea cunostintelor personalului de la nivelul UAT Mun.Botosani in scopul implementarii si utilizarii optime a masurilor realizate
in proiect.
Obiectivele specifice ale proiectului
1. Obiectiv specific 1.Imbunatatirea procesului de planificare strategica la nivelul UAT Mun. Botosani prin actualizarea si
implementarea unei Strategii integrate de dezvoltare urbana (SIDU) si a unui Plan de mobilitate urbana durabila (PMUD) a
Municipiului Botosani aferente perioadei 2021-2027.
2. Obiectiv specific 2. Dezvoltarea si implementarea unei solutii informatice unitare care sa sustina simplificarea procedurilor
administrative si reducerea birocratiei in Municipiului Botosani.
3. Obiectiv specific 3. Instruirea personalului din cadrul UAT Municipiului Botosani pentru planificare strategica si utilizarea optima a
solutiei informatice unitare prin proiect.</t>
  </si>
  <si>
    <t>BI Smart Alba Iulia”</t>
  </si>
  <si>
    <t>Municipiul Alba Iulia</t>
  </si>
  <si>
    <t>Cresterea calitatii procesului decizional la nivelul UAT Alba Iulia pentru a raspunde in mod fundamentat si coerent nevoilor comunitatii
locale.
Obiectivele specifice ale proiectului
1. OS1 Dezvoltarea de instrumente de fundamentare si planificare a deciziilor la nivelul UAT Alba Iulia prin actualizarea PMUD pe
parcursul a 18 luni
2. OS2 Dezvoltarea si implementarea unei platforme de date deschise orientate catre publicul larg in vederea reducerii birocratiei
pentru cetatenii UAT Alba Iulia pe parcursul a 18 luni
3. OS3 Dezvoltarea cunostintelor si abilitatilor personalului din cadrul UAT Alba Iulia in vederea sprijinirii masurilor si actiunilor vizate
de proiect pentru 28 persoane</t>
  </si>
  <si>
    <t>AA nr.1/18.11.2019                  Nota suspendare 2 luni, IL4/29.04.2020</t>
  </si>
  <si>
    <t>Planificare strategică și simplificarea procedurilor administrative în Municipiul Râmnicu Sărat</t>
  </si>
  <si>
    <t>Obiectivul general al proiectului consta in consolidarea capacitatii institutionale si eficientizarea activitatii la nivelul Municipiului Râmnicu
Sarat prin planificare strategica si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administraþiei publice locale.
Obiectivele specifice ale proiectului
1. OS1: Implementarea unor masuri de simplificare pentru cetaþeteni,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urbanismului si
asistentei sociale
2. OS2: Dezvoltarea cunostintelor si abilitatilor personalului din cadrul Municipiului, in vederea sprijinirii masurilor vizate de proiect.
Este avuta in vedere formarea/instruirea, evaluarea/testarea si certificarea competentelor/cunostinþelor dobândite pentru 45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Integrate de dezvoltare urbana a
Municipiului Râmnicu Sarat 2021-2027</t>
  </si>
  <si>
    <t>AA6 /16.07.19   AA8/26.26.2020 Fonduri EU si CB</t>
  </si>
  <si>
    <t>Planificare strategica si accesibilizare a serviciilor oferite de administrația locală în municipiul Carei</t>
  </si>
  <si>
    <t>Obiectivul general al proiectului consta in consolidarea capacitaþii institutionale si eficientizarea activitatii la nivelul Municipiului Carei prin
planificare strategica si continuarea simplificarii procedurilor administrative si reducerea birocratiei pentru cetateni,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Dezvoltarea capacitaþii necesare in vederea fundamentarii deciziilor si planificarii strategice pe termen lung, prin elaborarea
Strategiei Integrate de Dezvoltare Urbana a Municipiului Carei 2021-2027 si a Planului de Mobilitate Urbana Durabila 2021-2027
2. OS2: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cetaþenilor si asigurarea accesului online la serviciile publice gestionate de Municipiul Carei din domeniul urbanismului si
asistenþei sociale.
3. OS3: Dezvoltarea cunostintelor si abilitatilor personalului din cadrul Municipiului Carei,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</si>
  <si>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Bacău Smart County</t>
  </si>
  <si>
    <t>Proiectul vizeaza consolidarea capacitatii administrative a Judetului Bacau prin fundamentarea deciziilor, planificarea strategica pe termen
lung, simplificarea procedurilor administrative si reducerea, in acelasi timp, a birocratiei pentru cetatenii judetului Bacau.
Obiectivele specifice ale proiectului
1. OS1.Introducerea de sisteme si standarde comune în administratia publica locala ce optimizeaza procesele orientate catre
beneficiari în concordanþa cu SCAP.
OS1.1 Prin realizarea profilului monografic al judetului Bacau, document ce va sta la baza elaborarii „Strategiei de dezvoltare
durabila a judetului Bacau, perioada 2021–2029”, precum si a instrumentului de monitorizare a strategiei, se urmareste atingerea
indicatorului de rezultat 5S18 – Autoritati si institutii publice care au implementat mecanisme si proceduri standard pentru
fundamentarea deciziilor si a planificarii strategice pe termen lung. (R1)
OS1.2. Prin extinderea functionalitatilor portalului web cu servicii aferente competentelor partajate ale CJ Bacau (urbanism si
amenajarea teritoriului), proiectul va contribui la realizarea indicatorului de rezultat 5S20 - Autoritati si institutii publice locale în
care s-au implementat masurile de simplificare a procedurilor pentru cetaþeni în conformitate cu Planul integrat pentru
simplificarea procedurilor administrative pentru cetaþeni elaborat la nivel national.(R3)
OS1.3. Activitatea de instruire a 173 de persoane din cadrul grupulu tinta urmareste cresterea competentelor de utilizare a
sistemelor informatice realizate si implementate prin proiect, ceea ce va contribui la atingerea R 5 - Personal din administraþia
publica locala care participa la activitati de instruire legata de OS 2.1 .</t>
  </si>
  <si>
    <t>Autoritatea Națională de Reglementare în Domeniul Energiei</t>
  </si>
  <si>
    <t>Dezvoltarea capacității instituționale a Autorității Naționale de Reglementare în Domeniul Energiei pentru simplificarea procesului de schimbare a furnizorului de energie electrica si de gaze naturale</t>
  </si>
  <si>
    <t>Obiectivul general al proiectului este adoptarea unor masuri de simplificare a procedurilor In scopul reducerii poverii administrative pentru
cetateni (consumatori) si mediul de afaceri implicati in procesul de schimbare a furnizorului de energie electrica si gaze naturale prin
implementarea unei solutii informatice inovative.
Obiectivele specifice ale proiectului
1. Obiectivul specific nr. 1: Simplificarea si sistematizarea fondului activ al legislaþiei din domeniul de activitate al ANRE in vederea
asigurarii aderarii tuturor participantilor din piaþa la platforma integrata dezvoltata prin proiect prin elaborarea si adoptarea unui act
normativ in domeniul energiei in domeniul specific al schimbarii furnizorului.
2. Obiectivul specific nr. 2: Optimizarea proceselor operaþionale din piata de energie generate de solicitarile de schimbare a
furnizorului prin dezvoltarea si implementarea unei platforme online.
3. Obiectivul specific nr. 3: Imbunatatirea nivelului de pregatire prin acumularea de cunostinþe si abilitati pentru 40 de persoane,
personal din cadrul A.N.R.E. prin participarea la activitati de formare</t>
  </si>
  <si>
    <t>Măsuri și instrumente pentru planificare strategica si simplificare a procedurilor administrative în Municipiul Câmpia Turzii</t>
  </si>
  <si>
    <t>Municipiul Câmpia Turzii</t>
  </si>
  <si>
    <t>Obiectivul general al proiectului consta in consolidarea capacitatii institutionale si eficientizarea activitaþii la nivelul Municipiului Câmpia
Turzii prin planificare strategica si simplificarea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urbanism si siguranþa si ordine publica.
2. OS2: Dezvoltarea cunostintelor si abilitatilor personalului din cadrul Municipiului, in vederea sprijinirii masurilor vizate de proiect.
Este avuta in vedere formarea/instruirea, evaluarea/testarea si certificarea competentelor/cunostintelor dobândite pentru 32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Câmpia Turzii 2021-2027</t>
  </si>
  <si>
    <t>Câmpia Turzii</t>
  </si>
  <si>
    <t>eTurda – Debirocratizare prin digitalizare în administrația publică</t>
  </si>
  <si>
    <t>Obiectivul general al proiectului consta in consolidarea capacitatii institutionale si eficientizarea activitatii la nivelul Municipiului Turda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competenþelor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Turda din domeniul asistentei
sociale si siguranta si ordine publica.
2. OS2: Dezvoltarea cunostintelor si abilitatilor personalului din cadrul Municipiului,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</si>
  <si>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Continuarea simplificării procedurilor administrative și reducerea birocrației pentru cetățeni prin digitalizarea serviciilor publice</t>
  </si>
  <si>
    <t>Obiectivul general al proiectului consta in consolidarea capacitatii institutionale si eficientizarea activitaþii la nivelul Municipiului Târnaveni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si
urbanismului.
2. OS2: Dezvoltarea cunostinþelor si abilitaþilor personalului din cadrul Municipiului, in vederea sprijinirii masurilor vizate de proiect.
Este avuta in vedere formarea/instruirea, evaluarea/testarea si certificarea competentelor/cunostinþelor dobândite pentru 32
persoane din cadrul grupului þinta, in ceea ce priveste utilizarea soluþiilor informatice implementate in cadrul proiectului</t>
  </si>
  <si>
    <t>Planificarea strategică teritorială și soluții integrate pentru simplificarea procedurilor administrative la nivelul Municipiului Orăștie</t>
  </si>
  <si>
    <t>Obiectivul general al proiectului consta in consolidarea capacitatii institutionale a UAT Orastie si eficientizarea activitatii la nivelul
Municipiului Orastie si a domeniilor ce sunt gestionate partajat de aceasta autoritate prin introducerea de mecanisme si proceduri standard
pentru fundamentarea deciziilor si planificarea strategica pe termen lung, respectiv prin simplificarea procedurilor administrative in vederea reducerii birocratiei pentru cetateni si cresterea gradului de cunostinte si abilitati ale personalului din administratia publica locala.
In esenta, obiectivul general al proiectului este o consecinta a îndeplinirii obiectivelor specifice ale proiectului ce vor fi atinse ca urmare a
obþinerii rezultatelor asteptate.
Obiectivele specifice ale proiectului
1. OS1. Îmbunatatirea procesului decizional, de planificare strategica si alocare a resurselor în cadrul Primariei Municipiului Orastie
prin introducerea unui sistem de control intern managerial (SCIM), elaborarea strategiei integrate de dezvoltare urbana (SIDU)
2021 - 2027, plan de mobilitate urbana durabila (PMUD) 2021 - 2023.
2. OS2. Implementarea unor masuri de simplificare pentru cetaþeni, in corespondenta cu Planul integrat pentru simplificarea
procedurilor administrative aplicabile cetaþenilor din perspectiva back-office: adaptarea procedurilor interne de lucru, digitalizarea
arhivelor, cat si din perspectiva front-office, luand in considerare competentele partajate ale autoritatilor administratie publice
locale care vizeaza: Spitalul Municipal Orastie siServiciul Public de Asistenta Sociala Orastie.
3. OS3. Dezvoltarea cunostintelor si abilitatilor personalului din cadrul UAT Orastie si a domeniilor partajate: Spitalul Municipal
Orastie si Serviciul Public de Asistenta Sociala, in vederea sprijinirii masurilor vizate de proiect. Este avuta in vedere
formarea/instruirea, evaluarea/testarea si certificarea competentelor/cunostintelor dobândite pentru 70 persoane din cadrul
grupului tinta cu privire la implicatiile conceptului de planificare strategica si evaluare a deciziilor la nivelul administratiei publice
locale si prin efectuarea de schimburi de experienta si networking cu autoritati/institutii/organisme ale administratiilor publice
nationale/internationale pentru 12 persoane.</t>
  </si>
  <si>
    <t>Sistem integrat de management al fluxurilor interne si furnizarea de servicii partajate către cetățeni</t>
  </si>
  <si>
    <t>Obiectivul general al proiectului consta in consolidarea capacitatii institutionale a Consiliul Judetean Braila si a unor institutii subordonate
cu atributii in domeniile ce sunt gestionate partajat de aceasta autoritate prin introducerea de masuri de simplificare a procedurilor pentru
cetateni în conformitate cu Planul integrat de simplificare a procedurilor pentru cetaþeni elaborat la nivel national.
Obiectivele specifice ale proiectului
1. Implementarea unor masuri de simplificare pentru cetateni, în corespondenþa cu Planul integrat pentru simplificarea procedurilor
administrative aplicabile cetatenilor din perspectiva front-office, dar si back-office prin achizitia si implementarea unei platforme
integrate(portal de servicii electronice pentru cetateni, sistem informatic de management documente, arhivare electronica, retrodigitalizarea
documentelor din arhiva)
2. Dezvoltarea cunostintelor si abilitatilor personalului din cadrul aparatului de specialitate al Consiliului Judetean Braila si a unor
institutii subordonate, în vederea sprijinirii masurilor vizate de proiect. Este avuta în vedere formarea/instruirea,
evaluarea/testarea si certificarea competenþelor/cunostintelor dobândite pentru 60 de persoane din cadrul grupului þinta, în ceea
ce priveste utilizarea/administrarea soluþiilor informatice implementate în cadrul proiectului.</t>
  </si>
  <si>
    <t>Implementare soluții informatice integrate pentru simplificarea procedurilor administrative vizând competențele partajate, în cadrul Primăriei Municipiului Huși</t>
  </si>
  <si>
    <t>Obiectivul general al proiectului consta in consolidarea capacitatii instituþionale si eficientizarea activitaþii la nivelul Municipiului Husi, prin
simplificarea procedurilor administrative si reducerea birocratiei pentru cetateni, implementând noi masuri din perspectiva back-office
(adaptarea procedurilor interne de lucru) si front-office pentru serviciile publice aferente competenþelor partajate ale UAT.
Obiectivele specifice ale proiectului
1. OS1. Implementarea unor masuri de simplificare pentru cetateni conform Planului integrat pentru simplificarea procedurilor
administrative aplicabile cetatenilor din perspectiva front-office si back-office vizând competentele partajate ale Primariei. În acest
sens este avuta în vedere achiziþia si implementarea de noi solutii integrate pentru oferirea de servicii electronice - atat solutii
front-office (servicii electronice furnizate direct cetatenilor), cât si back-office (solutii care faciliteaza exercitarea competentelor
partajate vizate de prezentul proiect). Soluþiile integrate pentru servicii electronice se vor baza pe implementarea urmatoarelor
principii: one stop shop pentru livrarea de servicii publice electronice; utilizarea inteligenta a informaþiilor disponibile prin aplicarea
principiului înregistrarii "o singura data" a datelor – conceptul de identitate electronica a cetaþeanului; spaþiul privat virtual al
cetaþeanului în relaþia cu primaria.
2. OS2. Dezvoltarea cunostinþelor si abilitatilor personalului din cadrul Municipiului Husi, in vederea sprijinirii masurilor vizate de
proiect. Este avuta in vedere formarea/instruirea, evaluarea/testarea si certificarea competentelor/cunostintelor dobândite pentru
78 de persoane, din cadrul grupului þinta, in ceea ce priveste utilizarea soluþiilor informatice implementate in cadrul proiectului.</t>
  </si>
  <si>
    <t>Municipiul Pașcani</t>
  </si>
  <si>
    <t>Soluții integrate, mecanisme și procedure pentru fundamentarea deciziilor, planificarea strategică și simplificarea procedurilor administrative la nivelul Municipiului Pașcani</t>
  </si>
  <si>
    <t>Obiectivul general al proiectului consta in consolidarea capacitatii institutionale si eficientizarea activitatii la nivelul Municipiului PASCANI
prin simplificarea procedurilor administrative si reducerea birocraþiei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2.4: Cresterea nivelului de Cunostinte si abilitati ale personalului UAT Pascani, în vederea sprijinirii masurilor/actiunilor vizate
de acest obiectiv specific</t>
  </si>
  <si>
    <t>AA1/02.07.2020 prelungire durata</t>
  </si>
  <si>
    <t>Județul Vâlcea – ORIZONT 2030</t>
  </si>
  <si>
    <t>Vâlcea</t>
  </si>
  <si>
    <t>Inovare prin Informatizare la nivelul Consiliului Județean Sibiu</t>
  </si>
  <si>
    <t>Judetul Sibiu</t>
  </si>
  <si>
    <t>AA1/08.07.2020, diminuare buget</t>
  </si>
  <si>
    <t>O administrație eficientă și servicii de calitate la nivelul municipiului</t>
  </si>
  <si>
    <t>Implementarea unui sistem informatic de digitalizare a proceselor de administrare a informatiei si documentelor si simplificarea relatiei cu
cetatenii prin comunicare online pentru competente partajate ale UAT-ului, eficientizarea activitatilor de tip back-office si front-office si
îmbunatatirea planificarii strategice, contribuie la cresterea calitatii si eficientei serviciilor furnizate de administratia publica la nivelul
Municipiului Fetesti.
Obiectivele specifice ale proiectului
1. OS 1: Implementarea unor mecanisme noi pentru planificare strategica pe termen lung - Strategia de Dezvoltare urbana 2021 –
2027, a Planului de Mobilitate Urbana 2021 – 2027 si elaborarea Planului Strategic Institutional 2021 – 2022, pentru a creste
eficienta actiunilor adimintrative la nivelul Municipiului Fetesti.
OS 1 se va îndeplini prin activitatea 3 si va conduce la atingerea rezultatului de program POCA R1.
2. OS 2: Configurarea si implementarea unui sistem informatic de digitalizare a proceselor de administrare a informatiei si
documentelor si simplificarea relatiei cu cetatenii luand in cinsiderare competente partajate si retro-digitalizarea documentelor din
arhiva institutiei.
OS 2 se va îndeplini prin activitatea 4 si va conduce la atingerea rezultatului de program POCA R3.
3. OS 3: Îmbunatatirea abilitatilor si cunostintelor personalului Municipiului Fetesti - 65 de persoane din diferite niveluri ierarhice
(personal de conducere si de executie) din cadrul Municipiului pe teme specifice (ex. planificare strategica, planificare bugetara,
politici locale, fundamentare, elaborare, implementare, monitorizare si evaluare a deciziilor la nivelul administratiei publice locale,
etc).
OS 3 se va îndeplini prin activitatea 5 si va conduce la atingerea rezultatului de program POCA R5.</t>
  </si>
  <si>
    <t>PAC: Implicarea comunității și planificare strategică - O primărie mai aproape de cetățeni!</t>
  </si>
  <si>
    <t>Municipiul Alexandria</t>
  </si>
  <si>
    <t>Obiectivul general al proiectului vizeaza imbunatatirea procesului decizional, a planificarii strategice si executiei bugetare si crearea de
masuri de simplificare pentru cetateni in concordanta cu SCAP, la nivelul Primariei Municipiului Alexandria.
Astfel, proiectul propus spre finantare urmareste consolidarea capacitatii administrative a institutiei in vederea formularii de politici publice
si planificarii strategice institutionale, pe de-o parte si pe de alta parte,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administratiei publice) si II.5 (Imbunatatirea proceselor interne la nivelul institutiilor publice), III.1
(Reducerea birocratiei pentru cetateni) si III.2. (Reducerea birocratiei pentru mediul de afaceri), IV. (Consolidarea capacitatii administratiei
publice de a asigura calitatea si accesul la serviciile publice).
Obiectivele specifice ale proiectului
1. OS 1. Imbunatatirea procesului decizional, a planificarii strategice si a executiei bugetare la nivelul Primariei Municipiului
Alexandria. In vederea atingerii acestui obiectiv specific in cadrul proiectului vor fi dezvoltate: un set de criterii de prioritizare a
investitiilor in sectoare precum educatie, sanatate, asistenta sociala si infrastructura; 4 politici publice ce necesita resurse
financiare din bugetele institutiei aferente anilor 2021 - 2022; Planul strategic institutional aferent institutiei (PSI), Strategia de
dezvoltare locala a Municipiului Alexandria, si totodata, actualizat Planul de Mobilitate Urbana Durabila. OS 1 corespunde
rezultatului de program R1 – Mecanisme si proceduri standard implementate la nivel local pentru fundamentarea deciziilor si
planificarea strategica pe termen lung.
2. OS 2.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OS 2 corespunde rezultatului de program R3 - Proceduri simplificate pentru reducerea birocratiei
pentru cetateni la nivel local corelate cu Planul integrat de simplificare a procedurilor administrative pentru cetateni implementate.
3. OS 3. Imbunatatirea abilitatilor si constintelor personalului din cadrul Primariei municipiului Alexandria pentru utilizarea sistemelor
informatice dezvoltate prin proiect si pentru gestionarea documentelor electronice. OS 3 corespunde rezultatului de program R5 -
Cunostinte si abilitati ale personalului din autoritatile si institutiile publice locale imbunatatite, in vederea sprijinirii
masurilor/actiunilor vizate de acest obiectiv specific.</t>
  </si>
  <si>
    <t>Planificare Strategică și Management Educațional Modern în Municipiul Zalău</t>
  </si>
  <si>
    <t>Cresterea calitatii procesului decizional la nivelul Municipiului Zalau în ceea ce priveste mobilitatea urbana si îmbunatatirea serviciilor
publice oferite prin formare profesionala.
Obiectivele specifice ale proiectului
1. Elaborarea Planului de Mobilitate Urbana Durabila la nivelul mun. Zalau si a zonei functionale, pentru perioada de programare
2021 - 2027
2. Formare profesionala pentru 90 persoane - alesi locali si angajati ai Primariei Mun. Zalau</t>
  </si>
  <si>
    <t>Soluții informatice integrate pentru simplificarea procedurilor administrative, reducerea birocrației si îmbunătățirea organizării instituționale</t>
  </si>
  <si>
    <t>Obiectivul general al proiectului propus spre finantare este consolidarea capacitatii instituþionale a beneficiarului de a asigura calitatea si
accesul la serviciile publice oferite partajat de Primarie prin simplificarea procedurilor administraþiei locale, reducerea birocratiei pentru
cetateni si eficientizarea activitatii personalului de specialitate si a alesilor locali.
Obiectivul general al proiectului este în concordanta cu obiectivul specific 2.1 al POCA, respectiv: "Introducerea de sisteme si standarde
comune în administratia publica locala ce optimizeaza procesele orientate catre beneficiari în concordanþa cu SCAP".
Implementarea proiectului va contribui la atingerea obiectivului general II al SCAP: „Implementarea unui management performant în
administratia publica”, respectiv a Obiectivului specific II.1 – Cresterea coerentei, eficientei, predictibilitatii si transparentei procesului
decizional în administratia publica.
Proiectul va contribui la asigurarea de instrumente care sa contribuie la abordarea coerenta si coordonata a aspectelor referitoare la
procesul decizional, resursele umane, tehnologia informatiei, procesele interne, asigurarea calitatii si cercetarea si inovarea, ca premise
ale dezvoltarii viitoare, având un rol important în atingerea obiectivului specific II.1.4 – Cresterea calitatii procesului decizional la nivelul
administratiei publice locale, pentru a raspunde în mod fundamentat si coerent nevoilor comunitatii locale.
Obiectivele specifice ale proiectului
1. OS 2 Realizarea unor seturi de Proceduri simplificate pentru reducerea birocratiei pentru cetateni la nivel local corelate cu Planul
integrat de simplificare a procedurilor administrative pentru cetateni implementate
2. OS 2.4: Cresterea nivelului de Cunostinte si abilitati ale personalului UAT Medias, în vederea sprijinirii masurilor/actiunilor vizate
de acest obiectiv specific.</t>
  </si>
  <si>
    <t>Mediaș</t>
  </si>
  <si>
    <t>Administrație deschisă pentru cetățenii municipiului Sebeș</t>
  </si>
  <si>
    <t>Obiectivul general consta in simplificarea accesului la servicii pentru cetateni la nivelul administratiei publice locale si in cresterea calitatii
si eficientei serviciilor publice furnizate la nivelul UAT Municipiul Sebes, judetul Alba, din Regiunea Centru, prin investitii integrate si
complementare conform reglementarilor europene si nationale.
Obiectivele specifice ale proiectului
1. OS 2. Masuri de simplificare a procedurilor administrative si reducerea birocratiei prin digitizarea arhivelor si implementarea unor
sisteme informatice pentru eficientizarea serviciilor de baza de la nivelul Municipiului Sebes.
2. OS 3. Imbunatatirea competentelor profesionale a unui numar de 30 persoane din toate nivelurile ierarhice din cadrul UAT
Municipiul Sebes pe teme specifice, stabilite în urma unei analize de nevoi.</t>
  </si>
  <si>
    <t>Dezvoltarea sistemului informatic național integrat de evidență a creanțelor provenite din infracțiuni</t>
  </si>
  <si>
    <t>Obiectivul general al proiectului
Consolidarea capacitatii institutionale a Agentiei Nationala de Administrare a Bunurilor Indisponibilizate, precum si a cooperarii între
institutiile cu atributii în domeniul sechestrarii, administrarii, confiscarii, valorificarii si reutilizarii creantelor provenite din infractiuni, prin
modernizarea si eficientizarea proceselor de lucru si fluxurilor aferente
Obiectivele specifice ale proiectului
1. Dezvoltarea sistemului informatic national integrat de evidenþa a creantelor provenite din infracþiuni</t>
  </si>
  <si>
    <t xml:space="preserve">PARCHETUL DE PE LINGA INALTA CURTE DE CASATIE SI JUSTITIE     </t>
  </si>
  <si>
    <t>AA2/13.07.2020 durata, buget (0,01)</t>
  </si>
  <si>
    <t>Planificare strategică și simplificare proceduri administrative în municipiul Mangalia</t>
  </si>
  <si>
    <t>Obiectivul general al proiectului consta in consolidarea capacitaþii instituþionale si eficientizarea activitaþii la nivelul Municipiului Mangalia
prin planificare strategica si simplificarea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siguranþei si ordinii
publice si urbanismului
2. OS2: Dezvoltarea cunostinþelor si abilitaþilor personalului din cadrul Municipiului, in vederea sprijinirii masurilor vizate de proiect.
Este avuta in vedere formarea/instruirea, evaluarea/testarea si certificarea competentelor/cunostinþelor dobândite pentru 60
persoane din cadrul grupului þinta, in ceea ce priveste managementul strategic si utilizarea soluþiilor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Mangalia 2022-2027</t>
  </si>
  <si>
    <t>AA2/24.10.2019, I3,            AA3/14.07.2020 ue, bn, cb, cp</t>
  </si>
  <si>
    <t>AA1/14.07.2020 prelungire, diminuare</t>
  </si>
  <si>
    <t xml:space="preserve">AA nr.1/13.02.2020          AA nr. 2/14.05.2020 durata              </t>
  </si>
  <si>
    <t>Municipiul Constanța</t>
  </si>
  <si>
    <t>Planificare Strategică Integrată și administrație publică eficientă la nivelul Polului de Creștere Zona Metropolitană Constanța”,</t>
  </si>
  <si>
    <t>Asociația de Dezvoltare Intercomunitară Zona Metropolitană Constanța</t>
  </si>
  <si>
    <t>Obiectivul general al proiectului consta în îmbunatatirea capacitatii administrative la nivelul UAT municipiul Constanta si a întregii sale
Zone Urbane Functionale prin dezvoltatea capacitatii de planificare strategica integrata, eficientizarea proceselor de management si
simplificarea procedurilor administrative, pentru a raspunde în mod fundamentat si coerent nevoilor comunitaþilor locale.
Obiectivele specifice ale proiectului
1. OS 1 Dezvoltarea capacitatii de planificare strategica la nivelul UAT municipiul Constanþa si a Zonei Metropolitane Constanþa prin
actualizarea Strategiei Integrate de Dezvoltare Urbana si a portofoliului de proiecte prioritare al Zonei Metropolitane Constanta
2. OS 2 Eficientizarea si simplificarea serviciilor furnizate cetatenilor de catre UAT municipiul Constanta printr-un sistem informatic
competente partajate si continuare retro-digitalizare arhiva
3. OS 3 Întarirea capacitatii institutionale a UAT municipiul Constanþa si a celorlalte autoritati publice locale din Zona Metropolitana
Constanta prin pregatirea adecvata a personalului în domeniul planificarii strategice si a managementului public eficient</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</si>
  <si>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1.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</si>
  <si>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Judetul Caraș-Severin</t>
  </si>
  <si>
    <t>Dezvoltare durabilă, eficiență și reducere a birocrației în județul Caraș-Severin</t>
  </si>
  <si>
    <t>Consolidarea capacitatii de planificare strategica pe termen lung si de asigurarea calitatii serviciile publice prin simplificarea procedurilor administrative pentru reducerea birocraþiei la nivelul Consiliului Judetean Caras-Severin.
Obiectivele specifice ale proiectului
1. OS 1 Imbunatatirea capacitatii de planificare strategica la nivelul Consiliului Judetean Caras-Severin prin elaborarea Strategiei de
dezvoltare durabila a judetului pentru perioda 2021-2027, pentru gestionarea eficienta a resurselor financiare proprii si atragerea
de finantari UE
2. OS 2 Implementarea unor masuri de simplificare, în corespondenþa cu Planul Integrat pentru simplificarea procedurilor
administrative aplicabile cetaþenilor, din perspectiva back-office adaptarea procedurilor interne de lucru, digitalizarea arhivelor
3. OS 3 Dezvoltarea cunostinþelor si abilitaþilor personalului din cadrul Consiliului Judetean Caras-Severin (inclusiv a factorilor de
decizie), în domeniul planificarii strategice si planificarii bugetare, prin schimburi de experienta/networking cu
autoritatii/institutii/organisme ale administratiei publice internationale dintr-o tara UE</t>
  </si>
  <si>
    <t>AA1/23.07.2020 buget</t>
  </si>
  <si>
    <t>AA1/24.12.2019    AA2/27.07.2020 fse, bn</t>
  </si>
  <si>
    <t>COMPAS - Competitivitate si Operativitate prin investiții în Măsuri pentru Proceduri Administrative Simplificate</t>
  </si>
  <si>
    <t>Obiectivul general consta in consolidarea capacitaþii instituþionale, eficientizarea activitaþii prin simplificarea procedurilor administrative si reducerea birocrației pentru cetațeni, implementând masuri din perspectiva back-office si front-office pentru serviciile publice furnizate în
domeniile de competenta partajata si implementarea unor mecanisme si proceduri standard la nivel local (elaborare PMUD si SIDU).
Obiectivele specifice ale proiectului
1. OS1. Implementarea unor mecanisme si proceduri standard la nivel local pentru fundamentarea deciziilor si planificarea
strategica pe termen lung prin elaborarea documentelor strategice ce vor sta la baza obþinerii finanțarilor din politica de coeziune aferenta perioadei 2021 - 2027, respectiv Strategia integrata de dezvoltare urbana si a Planului de Mobilitate Urbana Durabila.
2. OS 2. Implementarea unor masuri de simplificare pentru cetațeni, în corespondența cu Planul integrat pentru simplificarea
procedurilor administrative aplicabile cetaþenilor, atât din perspectiva back-office (adaptarea procedurilor interne de lucru,
digitalizarea arhivelor), cât si front-office.
Extinderea portalului actual de servicii electronice cu urmatoarele componente front-office: servicii electronice vizând
competenþele partajate exercitate de instituþie, soluþie de portal extranet pentru colaborare inter-instituþionala în domeniul
competenþelor partajate, soluþie de publicare a datelor deschise (open data) relativ la serviciile publice partajate. Implementarea unor solutii back-office care asigura funcþionalitaþile necesare pentru furnizarea de servicii electronice din domeniile în care institutia exercita competente partajate.</t>
  </si>
  <si>
    <t>Dezvoltarea capacitatii institutionale a Consiliului Judetean Vâlcea de a furniza servicii publice de calitate pentru cetateni, prin masuri concrete ce vizeaza îmbunatatirea procesului decizional si de planificare strategica, digitalizarea proceselor privind managementul documentelor si crearea de facilitaþi de acces online la servicii publice, în concordanþa cu Strategia pentru Consolidarea Administratiei Publice 2014 -2020.
Obiectivele specifice ale proiectului
1. Consolidarea capacitatii de planificare strategica si de fundamentare a deciziilor la nivelul Consiliului Judeþean Vâlcea, prin
dezvoltarea de mecanisme de participare publica si îmbunataþirea cunostinþelor si abilitaþilor personalului din aparatul propriu si alesilor locali.
2. Crearea unui cadru strategic de referinta pentru dezvoltarea judetului Vâlcea în perioada urmatoare de programare, prin
elaborarea si aprobarea a doua documente de planificare strategica.
3. Simplificarea procedurilor administrative si reducerea birocraþiei pentru cetateni, în cadrul Consiliului Judetean Vâlcea, prin digitalizarea proceselor privind managementul documentelor si crearea de facilitati de acces online la servicii publice.</t>
  </si>
  <si>
    <t>Obiectivul general al proiectului este optimizarea procedurilor administrative prin modernizarea si completarea sistemului informatic
existent si îmbunataþirea competenþelor funcþionarilor, pentru cresterea performanþei personalului angajat si deservire a cetaþenilor, în
ceea ce priveste urmatoarele competente partajate: ordine si siguranta publica, serviciul public comunitar pentru evidenta persoanelor si învatamântul preuniversitar de stat.
Obiectivele specifice ale proiectului
1. Obiectiv specific 1: Reducerea birocraþiei pentru cetaþeni la nivel local corelate cu planul integrat de simplificare a procedurilor administrative pentru cetateni - prin implementarea sistemului informatic modernizat pentru cooperarea informaþionala cu institutiile subordonate, pentru cresterea performanþei personalului angajat si deservirea online a cetaþenilor si a mediului de afaceri, prin implementarea de masuri de eficientizare a proceselor de lucru specifice domeniului.
Pentru realizarea obiectivului specific 1 se are in vedere activitatea A3.2. Modernizarea sistemului informatic existent pentru
cooperarea informaþionala cu instituþiile subordonate. Rezultatul 1 contribuie la atingerea acestui obiectiv.
2. Obiectiv specific 2: Dezvoltarea cunostinþelor, competenþelor si abilitaþilor personalului din cadrul Primariei Dragasani si institutiilor subordonate (50 persoane), prin participarea la programe de instruire, inclusiv prin abordarea temelor de dezvoltare durabila, egalitate de sanse, nediscriminare si egalitate de gen, în vederea utilizarii si administrarii soluþiilor informatice implementate. Pentru realizarea obiectivului specific 2 se are in vedere activitatea A3.2. Modernizarea sistemului informatic existent pentru cooperarea informaþionala cu institutiile subordonate (Instruirea utilizatorilor si administratorilor soluþiilor informatice implementate). Rezultatul 2 contribuie la atingerea acestuia.
3. Obiectiv specific 3: Dezvoltarea abilitaþilor personalului din cadrul Primariei Municipiului Dragasani si al instituþiilor subordonate Primariei Dragasani, prin asigurarea formarii profesionale a 40 persoane din grupul þinta în competenþelor de comunicare. Pentru realizarea obiectivului specific 3 se are in vedere activitatea A.4.1. Instruirea personalului de conducere si executie din Primaria Dragasani si din 4 institutii subordonate privind tehnici de comunicare si prezentare. Rezultatul 3 contribuie la atingerea acestuia.</t>
  </si>
  <si>
    <t>AA1/28.07.2020 durata, UE+bn</t>
  </si>
  <si>
    <t>AA2/29.01.2020        AA3/28.07.2020 durata</t>
  </si>
  <si>
    <t>Analiza funcțională și strategia de dezvoltare a sistemului judiciar post 2020 (ASJ)</t>
  </si>
  <si>
    <t>Consolidarea capacitatii sistemului judiciar de a furniza servicii eficiente, de calitate, si accesibile
Obiectivele specifice ale proiectului
1. Eficientizarea administrarii justitiei prin elaborarea unor instrumente moderne de management care sa fundamenteze deciziile cheie la nivelul sistemului judiciar</t>
  </si>
  <si>
    <t>Elaborarea Strategiei integrate de
dezvoltare urbana a zonei metropolitane
Cluj pe perioada 2021-2030, prin actualizare
SIDU existent</t>
  </si>
  <si>
    <t>Obiectivele specifice ale proiectului
1. Intarirea capacitatii de planificare strategica si a capacitatii de planificare si gestionare a investiþiilor, pentru o dezvoltare
eficienta si durabila a Municipiului Cluj-Napoca si a zonei metropolitane aferente.
2. Implementarea de solutii pentru simplificarea procedurilor de furnizare a serviciilor sociale (titluri de calatorie subventionate) oferite cetatenilor municipiului Cluj-Napoca.
3. Formarea/instruirea functionarilor publici si contractuali, în planificare strategica si utilizarea instrumentelor digitale
implementate prin proiect.</t>
  </si>
  <si>
    <t>Consolidarea capacității organizaționale și administrative a Consiliului Superior al Magistraturii</t>
  </si>
  <si>
    <t>Obiectivele specifice ale proiectului
1. Dezvoltarea capacitații instituționale a Consiliului Superior al Magistraturii, prin implementarea unei soluții informatice de
gestionare a activitații aparatului tehnic si de relaționare cu alte instituții/organizații din interiorul si din afara sistemului judiciar.
2. Dezvoltarea profesionala si a abilitaților manageriale ale personalului din cadrul Consiliului Superior al Magistraturii, prin
achiziționarea de servicii de formare profesionala</t>
  </si>
  <si>
    <t>Optimizarea managementului la nivelul sistemului judiciar. Componenta de parchete</t>
  </si>
  <si>
    <t>Obiectivul general al acestui proiect este imbunatatirea capacitatii manageriale a Ministerului Public, ca parte esentiala a sistemului de
justitie in materie penala, prin implementarea unor instrumente standard de management integrat la nivelul unitatilor teritoriale ale
parchetelor, cu scopul de a crea premisele necesare pentru un proces predictibil de luare a deciziilor manageriale, in special in privinta
componentelor de resursa umana, capacitate de gestionare a volumului de munca, estimare corecta a necesarului de resursa umana si
distribuire a sarcinilor la nivelul procurorilor din cadrul aceleiasi unitati teritoriale.
Obiectivele specifice ale proiectului
1. Redimensionarea strategiei organizationale la nivelul Ministerului Public prin elaborarea unui instrument unitar de management
axat indeosebi pe cuantificarea volumului si complexitatii muncii si sarcinilor specifice ce cad in sarcina magistratilor din cadrul
parchetelor.
2. Consolidarea instrumentelor de gestiune manageriala la nivel micro si macro in cadrul parchetelor, prin dezvoltarea si
implementarea unei solutii informatice de calcul dinamic al volumului si complexitatii activitatii procurorilor.
3. Imbunatatirea strategiei de administrare a resurselor umane la nivelul parchetelor, prin identificarea unor solutii optime de
imbunatatire a legislatiei primare si secundare aplicabile.</t>
  </si>
  <si>
    <t>CPCI – Creșterea performanței și calității instituționale prin îmbunătățirea sistemului de evaluare și asistență psihologică la nivelul sistemului judiciar</t>
  </si>
  <si>
    <t xml:space="preserve">1. PARCHETUL DE PE LINGA INALTA CURTE DE CASATIE SI JUSTITIE                2. INSTITUTUL NATIONAL AL MAGISTRATURII  </t>
  </si>
  <si>
    <t>Obiectivul general al acestui proiect este imbunatatirea sistemelor de recrutare a judecatorilor si procurorilor si de asistenta si evaluare
psihologica a acestora pe intreg parcursul evolutiei profesionale, inclusiv sub aspectul accesului in functii de conducere, in scopul final al
cresterii calitatii actului de justitie si imbunatatirii performantei profesionale a sistemului judiciar in ansambul sau.
Obiectivele specifice ale proiectului
1. Perfectionarea sistemelor de evaluare psihologica a judecatorilor si procurorilor
2. Modernizarea procedurilor de evaluare prin implementarea unei solutii informatice integrate
3. Optimizarea mecanismului de asistenta psihologica a judecatorilor si procurorilor</t>
  </si>
  <si>
    <t>Omdrapfe nr.  1227/28.02.2019 , Omdlpl/06.08.2020 durata si buget si renuntare la partener</t>
  </si>
  <si>
    <t>AA1/27.11.2019 FSE SI CP                         AA2/08.05.2020 durata, FSE, BN si CP                               AA3/06.08.2020 durata</t>
  </si>
  <si>
    <t>Întărirea capacității de procesare și analiză a datelor referitoare la criminalitatea organizată și creșterea capacității administrative a Ministerului Public</t>
  </si>
  <si>
    <t>Întarirea capacitatii de colectare, procesare si analiza a datelor referitoare la criminalitatea organizata si cresterea capacitatii
administrative a Ministerului Public.
Obiectivele specifice ale proiectului
1. Realizarea si implementarea unui sistem informatic de colectare integrata si transfer eficient al datelor referitoare la criminalitatea
organizata
2. Întocmirea Analizei Naþionale de Riscuri si Amenintari privind criminalitatea organizata (ANRA) si elaborarea unui proiect de
strategie nationala pentru combaterea criminalitatii organizate
3. Realizarea si implementarea unui/unei portal/platforme web securizat(a) accesibil(a) angajatilor Ministerului Public care sa
întareasca capacitatea administrativa a Ministerului Public.</t>
  </si>
  <si>
    <t xml:space="preserve">1. IGPR                                        2. Ministerul Justitiei 3. Institutul National de Statistica                       4. IGPF </t>
  </si>
  <si>
    <t>Creșterea performanței în administrația publică a Municipiului Medgidia prin crearea și implementarea de instrumente, mecanisme si politici publice adecvate</t>
  </si>
  <si>
    <t>Municipiul Medgidia</t>
  </si>
  <si>
    <t>CRSSU</t>
  </si>
  <si>
    <t>Consolidarea capacitatii administrative si cresterea calitatii si eficientei serviciilor publice gestionate partajat de catre Municipiul Medgidia
prin dezvoltarea capacitatii de planificare strategica pe termen lung, corelata cu investitii integrate si complementare de simplificare a
procedurilor institutionale, precum si cu dezvoltarea competentelor profesionale ale personalului UAT, în scopul implementarii optime a
sistemului informatic propus prin proiect.
Obiectivele specifice ale proiectului
1. OS1. Implementarea unui sistem informatic integrat, care sa sustina simplificarea si optimizarea procedurilor administrative pentru
cetateni la nivelul municipiului Medgidia atât din perspectiva back-office, cât si front-office, inclusiv digitalizarea partiala a arhivei;
2. OS2. Îmbunatatirea procesului decizional si a capacitatii de planificare strategica din cadrul UAT Medgidia prin elaborarea
Strategiei integrate de dezvoltare urbana (SIDU) si a Planului de mobilitate urbana durabila (PMUD), documente strategice care
sa raspunda nevoilor si exigentelor de finantare pentru urmatoarea perioada de programare a fondurilor europene 2021 – 2027;
3. OS3. Îmbunatatirea competentelor profesionale a personalului din toate nivelurile ierarhice din cadrul administratiei publice locale,
în vederea sprijinirii masurilor vizate de proiect.</t>
  </si>
  <si>
    <t>Medgidia</t>
  </si>
  <si>
    <t>Politici sociale performante – strategie națională pentru implementarea performantă a politicilor familiale</t>
  </si>
  <si>
    <t>Obiectivul general proiectului este de a consolida parteneriatul dintre MMJS - ANPIS - cetatean, promovând principiile unei bune guvernari
prin cresterea gradului de transparenta a politicilor implementate de catre MMJS (inclusiv ANPIS) prin realizarea de instrumente moderne
si canale eficiente, accesibile si accesibilizate de comunicare, adaptate la progresele tehnologiei moderne.
Obiectivele specifice ale proiectului
1. Se va realiza un cadrul strategic de implementare a unor politici familiale performante, inclusiv dezvoltarea un mecanism unitar de
colectare, raportare, centralizare si interpretare a indicatorilor de performanþa în domeniul politicilor familiale între MMJS-ANPISAJPIS;
2. Simplificarea accesarii serviciilor din domeniul politicilor familiale prin dezvoltarea unei interfeþe prietenoase de comunicare,
directe, usor de accesat si accesibilizate pentru cetateni, precum si prin dezvoltarea unei strategii la nivel naþional în domeniu,
astfel încât „nimeni sa nu fie lasat în urma”.</t>
  </si>
  <si>
    <t>AGENTIA NATIONALA PENTRU PLATI SI INSPECTIE SOCIALA</t>
  </si>
  <si>
    <t>Casa Națională de Pensii Publice</t>
  </si>
  <si>
    <t>Eficientizarea activității CNPP pentru determinarea legislației aplicabile lucrătorilor migranți, la nivelul sistemului public de pensii din România</t>
  </si>
  <si>
    <t>Obiectivul general al proiectului consta in cresterea capacitatii administrative a Casei Naþionale de Pensii Publice (”CNPP”) în vederea
optimizarii proceselor administrative de determinare a legislatiei aplicabile lucratorilor migranti si adoptarea unor masuri de simplificare a
furnizarii serviciului de eliberare a documentului portabil A1 catre beneficiari, prin implementarea unor sisteme informatice inovative.
Obiectivele specifice ale proiectului
1. OS1. Optimizarea si simplificarea proceselor operationale la nivelul CNPP pentru reducerea cu cel putin 15% a duratei pentru
parcurgerea procedurilor administrative procedurilor de eliberare a documentului portabil A1, prin digitalizarea fluxurilor de lucru
din cadrul institutiei.
2. OS2. Îmbunatatirea abilitatilor si cunostinþelor personalului CNPP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competentelor/cunostinþelor dobândite pentru 50 de
persoane din cadrul grupului þinta, in ceea ce priveste susþinerea masurilor implementate in cadrul proiectului.</t>
  </si>
  <si>
    <t>Stabilirea de Valori Limita de Emisie
diferențiate (VLE) pentru apele uzate din surse industriale și agro-zootehnice din România</t>
  </si>
  <si>
    <t>Dezvoltarea si sprijinirea de masuri ce vizeaza consolidarea cadrului institutional al administratiei publice centrale in domeniul apelor,
optimizarea, simplificarea si sistematizarea legislatiei si normelor metodologice de aplicare pentru implementarea prevederilor legale
adecvate si transparente privind apele uzate provenite din intreg sectorul economic de productie national, respectiv din domeniile
industriale si agro-zootehnice din Romania care ajung in resursele de apa de suprafata din Romania – rauri, ape marine, in unele cazuri,
situatie care trebuie sa asigure dezvoltarea durabila a resurselor de apa si managementul corespunzator al bazinelor hidrografice,
respectiv mentinerea unui echilibru intre evacuarea acestor ape uzate cu o anumita incarcatura de poluare care poate afecta capacitatea
de suportabilitate si de refacere a resurselor de apa care sunt impactate de aceasta poluare. Proiectul contribuie la fundamentarea si
sustinerea tehnica a deciziilor de modificare si completare a unor acte normative in vigoare referitoare la apele uzate industriale si agrozootehnice si, subsecvent, la autorizarea evacuarii acestora din punct de vedere al gospodaririi apelor, cu aplicarea adecvata a principiului ,,poluatorul plateste” fata de dimensiunea poluarii.
Obiectivele specifice ale proiectului
1. Modificarea si completarea legislatiei nationale referitoare la apele uzate industriale reglementate prin Legea apelor nr. 107/1996
si HG 188/2002. Legislaþia noua va completa legislatia privind apele uzate din activitaþile industriale si agro-zootehnice in
functiune sau in conservare/inchise, pe baza principiului „poluatorul plateste”. Legislaþia noua nu se suprapune cu cea din
domeniul mediului si nici cu cea din domeniul apelor uzate urbane dar se coreleaza cu aceasta.
2. Simplificarea si sistematizarea legislaþiei specifice în domeniul prevenirii si controlului poluarii apelor nationale de la ape uzate
evacuate din 26 de activitaþi industriale si agro-zootehnice principale din Romania, incluzand si activitatea oraselor care au
platforma industriala, pentru oricare din cele 26 de domenii, prin adoptarea legala de noi acte normative - metodologii, norme si
standarde transparente de aplicare si autorizare a nivelului de poluare admis, contribuind la sprijinirea sectorului privat productiv
prin cresterea calitaþii reglementarilor, respectiv:
a. elaborarea de Valori Limita de Emisie (VLE) diferenþiate pentru apele uzate din activitaþile industriale si agro-zootehnice
în funcþiune sau în conservare inclusiv apele uzate municipale, aferente documentelor europene BFEF/BAT pentru activitatile din
anexa nr. 1 la cererea de finantare.
b. Elaborarea de Metodologie de calcul si model matematic de stabilire a VLE locale specifice în vederea respectarii
principiului de nedeteriorare faþa de starea apei si fondul natural.
c. Metodologie de calcul a “zonei de amestec"
d. Consultarea cu sectorul economic vizat de schimbarile legislative aparute ca urmare a adoptarii de noi prevederi legale
pentru apele uzate.</t>
  </si>
  <si>
    <t>AA1/12.08.2020 pelungire si diminuare buget</t>
  </si>
  <si>
    <t>AA8 /03.09.2018 prel. Proiect 45L               AA9/11.02.2019 realoc.sume                 AA 10/03.07.2019 prel. 50 L  AA11/14.02.2020, fse, bn               AA12/18.05.2020 prelundire cu 2 luni, fse, cp AA13/12.08.2020 durata</t>
  </si>
  <si>
    <t>IP 17/2019 (MySMIS:POCA/627/1/1)</t>
  </si>
  <si>
    <t>AA1/19.08.2019       AA2/14.08.2020 durata</t>
  </si>
  <si>
    <t>Optimizarea Planului Național de Cancer</t>
  </si>
  <si>
    <t>Obiectivul general al proiectului il reprezinta dezvoltarea si introducerea de sisteme si standarde comune în domeniul cancerului menite sa
optimizeze procesele decizionale - reprezentate de reglementari (acte normative, proceduri, ghiduri, etc.)
Obiectivele specifice ale proiectului
1. OS 1: Actualizarea Planului National de Cancer si adoptarea acestuia avand la baza imbunatatirea politicilor publice si cresterea
calitatii reglementarilor in domeniul sanatatii intr- o perioada de 25 de luni de la semnarea contractului de finantare.
2. OBS 3. Dezvoltarea abilitatilor si cunostinelor unui numar de numar de 50 persoane, personal din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 intr-o
perioada de 25 de luni de la semnarea contractului de finantare</t>
  </si>
  <si>
    <t>Ministerul Afacerilor Interne prin Direcția Generală de Protecție Internă</t>
  </si>
  <si>
    <t>Extinderea capabilităților investigative ale sistemului de apărare cibernetică de la nivelul Ministerului Afacerilor Interne CYBINT</t>
  </si>
  <si>
    <t>Inspectoratul General pentru Situații de Urgență</t>
  </si>
  <si>
    <t>Consolidarea cadrului de reducere a riscului de dezastre și a sistemului de apărare împotriva incendiilor la nivel național</t>
  </si>
  <si>
    <t>Obiectivul general al proiectului
1.Dezvoltarea capacitatilor nationale de management al riscului în domeniul securitaþii cibernetice si de reacþie la incidente cibernetice în
baza unui program national, vizând consolidarea, la nivelul autoritatilor competente potrivit legii, a potenþialului de cunoastere, prevenire si contracarare a ameninþarilor si minimizarea riscurilor asociate utilizarii spaþiului cibernetic.
2.Promovarea si consolidarea culturii de securitate în domeniul cibernetic prin formarea profesionala adecvata a persoanelor care îsi
desfasoara activitatea în acest domeniu.
Obiectivele specifice ale proiectului
1. Cresterea capacitaþii de management al securitaþii cibernetice la nivelul MAI prin dezvoltarea si extinderea capabilitatilor de
investigare, reactie si raspuns la incidentele de securitate, precum si prin pregatirea personalului în vederea gestionarii oprime a
incidentelor de securitate.
2. Crearea unui cadru strategic de coordonare si control la nivelul MAI al activitatilor privind securitate cibernetica, prin elaborarea si
diseminarea unei Strategii sectoriale de diminuare a vulnerabilitatilor si factorilor de risc cibernetic, care pot afecta capacitatea
operationala a structurilor MAI</t>
  </si>
  <si>
    <t>Obiective proiect
Îmbunatatirea cadrului de planificare strategica pe linia reducerii riscului de dezastre prin dezvoltarea de instrumente legislative si sisteme
informatice, care sa asigure abordarea unitara la nivelul tuturor autoritatilor cu atributii în domeniul managementului riscurilor de dezastre
si pentru toate tipurile de riscuri, si prin pregatirea personalului responsabil pe domeniile specifice.
Obiectivele specifice ale proiectului
1. asigurarea cadrului strategic pentru reducerea riscurilor, în concordanta cu orientarile internationale si comunitare, în linie cu
angajamentele asumate de România si ancorat în specificul naþional
2. elaborarea a doua strategii – strategia naþionala de reducere a riscurilor de dezastre, respectiv strategia nationala de aparare
împotriva incendiilor
3. optimizarea proceselor decizionale de la nivelul autoritaþilor publice centrale si locale pentru utilizarea eficienta a fondurilor publice
în programe si proiecte pe linia reducerii riscurilor de dezastre
4. elaborarea unei proceduri /a unui mecanism de culegere, procesare de date si raportare pentru îndeplinirea obligatiilor de stat
membru UE ce revine României în raport cu problematica evaluarii capabilitaþilor de management a riscurilor, precum si a
obligaþiilor privind tintele stabilite prin cadrul de la Sendai de reducere a riscului de dezastre
5. realizarea unor instrumente software (baze de date on-line, site web, aplicaþii etc) pentru integrarea si raportarea datelor si
indicatorilor Sendai, precum si pentru înregistrarea si evidenþa efectelor dezastrelor în România
6. formarea unui aparat administrativ eficient care sa se bazeze pe instrumente obiective, cuantificabile si usor de monitorizat si
actualizat pentru implementarea prevederilor legislaþiei comunitare privind managementul si reducerea riscurilor
7. asigurarea unor instrumente de informare si comunicare pentru aplicarea strategiei si legislaþiei pe linia reducerii riscurilor de
dezastre</t>
  </si>
  <si>
    <t>AA1/19.08.2020 prelungire 3 luni</t>
  </si>
  <si>
    <t>AA1/18.08.2020 prelungire durata</t>
  </si>
  <si>
    <t>AA1/18.08.2020 diminuare buget</t>
  </si>
  <si>
    <t>AA2/21.08.2020 durata si ue si cb</t>
  </si>
  <si>
    <t>AA1/24.08.2020 durata</t>
  </si>
  <si>
    <t>AA1/21.08.2020 durata</t>
  </si>
  <si>
    <t>AA1/27.08.2020 durata</t>
  </si>
  <si>
    <t>AA1/08.04.2019
AA2/06.01.2020                         AA3/27.08.2020 durata si ue, cb</t>
  </si>
  <si>
    <t>Servicii de consiliere juridica pentru victime ale unor abuzuri sau nereguli din administratie si justitie</t>
  </si>
  <si>
    <t>AA1/2.09.2020 durata</t>
  </si>
  <si>
    <t>Aplicarea sistemului de politici bazate pe dovezi în Ministerul Mediului, Apelor și Pădurilor pentru sistematizarea si simplificarea legislației din domeniul deșeurilor si realizarea unor proceduri simplificate pentru reducerea poverii administrative pentru mediul de afaceri în domeniul schimbărilor climatice</t>
  </si>
  <si>
    <t>„Pro-Abil”- Consolidarea capacității Agenției Naționale
pentru Plăți și Inspecție Socială de implementare prevederilor legislative din domeniul protecției
sociale</t>
  </si>
  <si>
    <t>ANPIS</t>
  </si>
  <si>
    <t>Introducerea si dezvoltarea sisteme de optimizare a modalitatilor de aplicarea unitara la nivel national a sistemului de politici publice - din
domeniul de competenta al Agentiei Nationale pentru Plati si Inspectie Sociala din perspectiva Directiei de Inspectie Sociala (DIS) si a
Serviciului Juridic si Contencios (SJC).
Obiectivele specifice ale proiectului
1. • OB.1 - Optimizarea proceselor decizionale cu privire la aplicarea unitara a legislatiei specifice activitatii ANPIS (DIS si
SJC) la nivel national, în vederea implementarii politicilor publice din domeniul protecþiei sociale.
2. • OB.2 - Dezvoltarea abilitatilor si cunostintelor angajatilor ANPIS/AJPIS/APISMB (inspectori sociali si consilieri juridici)
pentru utilizarea instrumentelor specifice de politica publica.
3. • OB.3 – Dezvoltarea unor metodologii de explicitare a cadrului legislativ pentru beneficiarii din domeniul de protectie
sociala aplicabile pentru cetateni la nivelul Direcþiilor Generale de Asistenta Sociala si a Serviciilor Publice de Asistenta Sociala
de la nivel local.</t>
  </si>
  <si>
    <t>AA1/9.09.2020 UE, CB, CP</t>
  </si>
  <si>
    <t>Creșterea capacității administrative a MFP și a instituțiilor subordonate în vederea îmbunătățirii interacțiunii cetățenilor și mediului de afaceri pentru obținerea de documente din arhiva instituției</t>
  </si>
  <si>
    <t>Obiectivul general al proiectului consta în cresterea capacitaþii administrative a Ministerului Finanþelor Publice (MFP) si a instituþiilor
subordonate în vederea îmbunataþirii interacþiunii cetaþenilor si mediului de afaceri cu administraþia publica, pentru obþinerea de
documente din arhiva instituþiei.
Obiectivele specifice ale proiectului
1. OS1. Optimizarea si simplificarea serviciului de eliberare a documentelor din arhiva instituþiei prin intermediul portalului Spaþiului
privat virtual (SPV).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</si>
  <si>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Creșterea capacității administrative a MFP și a instituțiilor subordonate în vederea îmbunătățirii interacțiunii cetățenilor și mediului de afaceri pentru obținerea de servicii electronice extinse prin portalul ANAF</t>
  </si>
  <si>
    <t>Obiectivul general al proiectului consta în cresterea capacitaþii administrative a Ministerului Finanþelor Publice (MFP) si a instituþiilor
subordonate în vederea îmbunataþirii interacþiunii cetaþenilor si mediului de afaceri cu administraþia publica si obþinerii de servicii
electronice extinse prin portalul ANAF.
Obiectivele specifice ale proiectului
1. OS1. Optimizarea si simplificarea serviciilor aferente obligaþiilor fiscale si nefiscale si plaþii taxelor oferite în cadrul Spaþiului privat
virtual (SPV) prin portalul ANAF.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</si>
  <si>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AP2/11i/2.1</t>
  </si>
  <si>
    <t>AP2/11i/2.2</t>
  </si>
  <si>
    <t>Integritatea - conditie esenþiala pentru o
administratie eficienta</t>
  </si>
  <si>
    <t>AP2/11i/2.3</t>
  </si>
  <si>
    <t>AA1/14.09.2020 durata</t>
  </si>
  <si>
    <t>Dezvoltarea unor instrumentate de analiză și intervenție la nivel comunitar pentru perioada de programare 2021-2027</t>
  </si>
  <si>
    <t>Școala Națională de Studii Politice și Administrative</t>
  </si>
  <si>
    <t>Elaborarea si operationalizarea unor instrumente de analiza de date viabile, dinamice si fundamente in vederea prioritizarii interventiilor la
nivel comunitar in perioada 2021-2027.
Obiectivele specifice ale proiectului
1. Dezvoltarea unor instrumente standardizate prin care sunt indexate si clasificate, în functie de nevoile socio-economice si
necesitaþile de intervenþie localitaþile/unitaþile administrativ teritoriale din România.
2. Operationalizarea unui sistem uniform ce optimizeaza procesele decizionale la nivelul administraþiei publice</t>
  </si>
  <si>
    <t>AA1/17.07.2020 durata, ue, cb                                              AA2/21.09.2020 durata</t>
  </si>
  <si>
    <t>AA3/27.09.2019                                     AA4/22.09.2020 durata</t>
  </si>
  <si>
    <t xml:space="preserve">AA1/02.07.2020 prelungire durata                  AA2/22.09.2020 durata </t>
  </si>
  <si>
    <t>AA1/22.09.2020 buget</t>
  </si>
  <si>
    <t>Cresterea capacitații administrative de la nivelul Consiliului județean Sibiu prin introducerea de sisteme informatice menite sa duca la
simplificarea proceselor interne, inclusiv în relația cu cetatenii județului, in concordanta cu SCAP
Obiectivele specifice ale proiectului
1. Gestionarea eficienta a datelor de la nivel judetean prin implementarea soluþiei Geographical Information System, cu precadere în
vederea eficientizarii furnizarii de servicii urbanistice de calitate de catre Consiliul Judetean Sibiu</t>
  </si>
  <si>
    <t xml:space="preserve"> Municipiul Codlea</t>
  </si>
  <si>
    <t>Sector 6 București</t>
  </si>
  <si>
    <t>Sector 5 București</t>
  </si>
  <si>
    <t>Sector 1 București</t>
  </si>
  <si>
    <t>Sector 3 București</t>
  </si>
  <si>
    <t>Municipiul Oltenița</t>
  </si>
  <si>
    <t>Municipiul Cluj-Napoca</t>
  </si>
  <si>
    <t>Județul Cluj</t>
  </si>
  <si>
    <t>Județul Constanța</t>
  </si>
  <si>
    <r>
      <t xml:space="preserve">Municipiul </t>
    </r>
    <r>
      <rPr>
        <sz val="12"/>
        <color theme="1"/>
        <rFont val="Calibri"/>
        <family val="2"/>
        <scheme val="minor"/>
      </rPr>
      <t>Galați</t>
    </r>
  </si>
  <si>
    <t>Județul Gorj</t>
  </si>
  <si>
    <t>Municipiul Târnăveni</t>
  </si>
  <si>
    <t xml:space="preserve">Municipiul Câmpina
</t>
  </si>
  <si>
    <t>Municipiul Roșiorii de Vede</t>
  </si>
  <si>
    <t>Municipiul Caransebeș</t>
  </si>
  <si>
    <t>Municipiul Focșani</t>
  </si>
  <si>
    <t>Implementarea / consolidarea si susþinerea unui management performant la nivelul Primariei Municipiului Sebes si al instituțiilor
subordonate, realizate prin aplicarea CAF ca instrument de îmbunatațire a performanțelor Sistemului de Management al Calitații al
Primariei Sebes, pentru crearea unei administrații publice moderne, capabila sa faciliteze dezvoltarea socio-economica prin intermediul
unor servicii publice competitive.
Obiectivele specifice ale proiectului
1. OS 1 – Implementarea de sisteme unitare de management al calitații aplicabile administrației publice, prin utilizarea instrumentului
CAF, inclusiv formarea/ instruirea specifica a personalului Primariei Municipiului Sebes pentru implementarea instrumentului CAF
2. OS 2 – Consolidarea SMC prin acțiuni de îmbunatațire rezultate în urma evaluarii pe baza criteriilor modelului CAF
3. OS 3 – Dezvoltarea abilitaților personalului din cadrul Primariei Municipiului Sdebes si al instituțiilor subordonate Primariei Sebes
prin:
• asigurarea formarii profesionale a 10 persoane din cadrul primariei Municpiului Sebes pentru efectuarea autoevaluarii
SMC utilizând modelul CAF;
• asigurarea formarii profesionale a 46 persoane din grupul ținta, pentru implementarea Sistemului de Mangement al
Calitații, integrarea SMC cu SCIM si monitorizarea acestuia cu ajutorul instrumentului CAF.
• dezvoltarea unui Ghid de buna practica privind integrarea SMC cu SCIM în cadrul UAT si evaluarea performanțelor
SMC pe baza Modelului CAF
4. OS 4 – Asigurarea unui instrument suport pentru SMC prin proiectarea si implementarea unui sistem informatic.
5. OS 5 – Promovarea standardelor si instrumentelor managementului calitații prin Organizarea si derularea unei conferințe de
informare/ constientizare privind principiile si instrumentele managementului calitații</t>
  </si>
  <si>
    <t>AA2/30.09.2020 durata, ue, cb</t>
  </si>
  <si>
    <t xml:space="preserve">AA1/2.10.2020 durata </t>
  </si>
  <si>
    <t>AA 1/18.05.2020 prelungire 3 luni  AA2/5.10.2020 durata</t>
  </si>
  <si>
    <t>Management de calitate si performanță în cadrul MEEMA, pentru reducerea poverii administrative si dezvoltarea imm-urilor inovatoare</t>
  </si>
  <si>
    <t>Obiectivele specifice ale proiectului
Obiectivul specific II.1: “Cresterea coerentei, eficientei, predictibilitatii si transparentei procesului decizional în administratia publica” - Actiunea II.1.4: Îmbunatatirea procesului de evaluare a impactului reglementarilor, a procesului de consultare publica, concomitent cu sistematizarea si simplificarea legislatiei; - Acþiunea II.1.6: “Consolidarea transparentei procesului decizional” prin punerea la dispozitia tuturor factorilor interesati a indicatorilor economici si a rapoartelor furnizate de portal, în vederea fundamentarii politicilor publice în domeniul antreprenorial. 
2. Obiectivul specific II.6: „Calitate, cercetare si inovare în administraþia publica” - Acþiunea II.6.1: „Promovarea bunelor practici si a inovarii în administraþia publica si încurajarea schimbului de experienaa si a networking-ului între institutiile si autoritatile publice”.
3. Obiectivul specific III.2 „Reducerea birocratiei pentru mediul de afaceri” - Actiunea III.2.4: „Implementarea unor solutii IT pentru simplificarea unor proceduri orizontale, trans-sectoriale pentru mediul de afaceri (pe modelul ghiseului unic)”.</t>
  </si>
  <si>
    <t>AA1/16.10.2019                                           AA2/13.02.2020 prelungire   AA nr. 3/Nota suspendare 3 luni/ 24.04.2020  AA4/13.10.2020 durata</t>
  </si>
  <si>
    <t>AA1/13.10.2020 ue, bn, cb</t>
  </si>
  <si>
    <t>AA1/26.02.2020 AA2/13.10.2020 durata, buget</t>
  </si>
  <si>
    <t>AA1/13.10.2020 ue, bn</t>
  </si>
  <si>
    <t>AA1/13.10.2020 durata, ue, cb</t>
  </si>
  <si>
    <t>Consolidarea capacității de reglementare, implementare, evaluare și derulare a activităților de soluționare alternativa a litigiilor desfășurate de entități aflate în coordonarea Ministerului Economiei, Energiei și Mediului de Afaceri și Autorității Naționale pentru Protecția Consumatorilor</t>
  </si>
  <si>
    <t>ANPC</t>
  </si>
  <si>
    <t>Consolidarea capacitatii Ministerului Economiei si a ANPC de reglementare, implementare si evaluare a entitatilor de solutionare
alternativa a litigiilor pe care le coordoneaza, prin asigurarea accesului la solutii extrajudiciare simple, eficiente, rapide si necostisitoare de
solutionare alternativa a litigiilor la nivel national si transfrontalier care apar in temeiul contractelor de vanzare sau de prestare de servicii si care ar trebui sa fie in beneficiul consumatorilor, prin asigurarea unui cadru legislativ optim desfasurarii activitatii.
Obiectivele specifice ale proiectului
1. Punerea la dispozitia Ministerului Economiei si ANPC a instrumentelor necesare în vederea elaborarii unei metodologii
de stabilire a sistemului de cooperare între entitatile SAL, precum si unei metodologii de constatare a contraventiilor si aplicare a
sanctiunilor prevazute în cadrul OG 38/2015
2. Dezvoltarea unei platforme electronice integrate la nivelul ANPC care va asigura astfel consumatorilor si comerciantilor
un punct unic pentru soluþionarea extrajudiciara a litigiilor online, prin intermediul entitatilor SAL conectate la platforma.
3. Dezvoltarea competentelor angajatilor Ministerului Economiei si ANPC în domeniul solutionarii alternative a litigiilor.</t>
  </si>
  <si>
    <t>AA1/16.10.2020 durata, ue, cb</t>
  </si>
  <si>
    <t>AA1/29.10.2020 durata si buget</t>
  </si>
  <si>
    <t xml:space="preserve">Obiectivul general al proiectului vizeaza Optimizarea proceselor orientate catre cetațenii municipiului Târgu Jiu prin introducerea de sisteme si standarde comune în administrația publica locala.
Obiectivele specifice ale proiectului
1. OS1. Mecanisme si proceduri standard implementate la nivelul municipiului Targu Jiu pentru fundamentarea deciziilor si planificarea
strategica pe termen lung
2. OS2. Îmbunatatirea cunostintelor si abilitatilor personalului din Primaria Municipiului Târgu Jiu în vederea implementarii de mecanisme
si proceduri pentru fundamentarea deciziilor si planificarea strategica
</t>
  </si>
  <si>
    <t>AA1/23.12.2019 durata</t>
  </si>
  <si>
    <t>AA1/16.11.2020 durata</t>
  </si>
  <si>
    <t>AA2/06.09.2019                         AA4/ 21.08.2020 durata si buget    AA5/26.11.2020</t>
  </si>
  <si>
    <t>AA1/26.11.2020 durata</t>
  </si>
  <si>
    <t>Act aditional nr. 1 , AA2/21.10.2020 durata  AA3/26.11.2020 durata</t>
  </si>
  <si>
    <t xml:space="preserve">IP13/2019 (MySMIS:POCA/ 486/1/1) </t>
  </si>
  <si>
    <t>Consolidarea cooperării dintre Ministerul Lucrărilor Publice, Dezvoltării și Administrației și structurile asociative ale autorităților administrației publice locale</t>
  </si>
  <si>
    <t>1. AMR                                         2. UNCJR                                   3. ACoR                                      4. AOR</t>
  </si>
  <si>
    <t>Obiectivul general al proiectului
Dezvoltarea si implementarea mecanismelor de coordonare, cooperare si consultare între MDRAP si structurile asociative ale
administratiei publice locale
Obiectivele specifice ale proiectului
1. Sistematizare cadrului normativ si îmbunataþirea acestuia în vederea optimizarii procesului de consultare/decizional
2. Cresterea capacitatii administrative a MDRAP pentru prefecþionarea procesului de comunicare si consultare prin implementarea
instrumentelor IT&amp;C
3. Dezvoltarea abilitaþilor si a cunostinþelor personalului din autoritaþile si institutiile publice centrale privind dezvoltarea dialogului cu
structurile asociative ale autoritatilor administratiei publice locale</t>
  </si>
  <si>
    <t>AA1/3.12.2020 durata</t>
  </si>
  <si>
    <t>AA1/3.12.2020 ue, bn, cb</t>
  </si>
  <si>
    <t>Autoritatea pentru Digitalizarea României</t>
  </si>
  <si>
    <t>Cadru strategic pentru adoptarea și
utilizarea de tehnologii inovative în administrația publică 2021-2027 – soluții pentru
eficientizarea activității</t>
  </si>
  <si>
    <t>Universitatea Tehnică
din Cluj - Napoca</t>
  </si>
  <si>
    <t>Obiectivul general al proiectului consta în realizarea unei analize nationale corelata cu strategiile internationale în vederea utilizarii de
tehnologii inovative cu scopul eficientizarii activitatii institutionale în relatia cu cetatenii, care reprezinta un demers natural în contextul
necesitatii definirii prioritatilor de finantare pentru România în perioada 2021-2027.
Obiectivele specifice ale proiectului
1. Dezvoltarea de sisteme si instrumente de management
2. Îmbunatatirea politicilor publice si cresterea calitatii reglementarilor</t>
  </si>
  <si>
    <t>AA1/8.12.2020 durata si buget</t>
  </si>
  <si>
    <t>AA 1/06 .06.2019                                               AA2/10.02.2020                      AA3/8.12.2020 durata si buget</t>
  </si>
  <si>
    <t>Dezvoltarea capacităţii Ministerului Mediului,
Apelor și Pădurilor privind elaborarea politicilor şi măsurilor naţionale necesare în vederea
respectării angajamentelor naţionale de reducere a emisiilor de anumiţi poluanţi atmosferici
până în anul 2030</t>
  </si>
  <si>
    <t>ANPM</t>
  </si>
  <si>
    <t>Obiectivul general al proiectului este acela de a îmbunatati capacitatea Ministerului Mediului, Apelor si Padurilor pentru stabilirea
prioritatilor de politica privind calitatea aerului în corelare cu prioritaþile stabilite în alte domenii relevante care constituie surse de emisii de poluanti atmosferici, cu identificarea sinergiilor între politicile de la nivel naþional în materie de protectia mediului, ape si paduri, clima,
energie, industrie, transport, agricultura si dezvoltare regionala, inclusiv încalzirea locuinþelor si stabilirea masurilor proportionale
aplicabile sectoarelor de activitate relevante în vederea respectarii angajamentelor naþionale de reducere a emisiilor de anumiti poluanti
atmosferici pâna în anul 2030 si elaborarea Programului naþional de control al poluarii atmosferice (PNCPA), precum si a ghidului privind
modalitaþile de aplicare a procedurii de ajustare a inventarelor naþionale de emisii de poluanþi atmosferici în funcþie de specificul naþional.
Obiectivele specifice ale proiectului
1. Stabilirea masurilor de reducere a emisiilor antropice naþionale de poluanti atmosferici (particule fine în suspensie -PM2,5, oxizi
de azot- NOx, dioxid de sulf – SO2, compusi organici volatili- COVnm si amoniac – NH3), inclusiv calendarul de punere în
aplicare a acestor masuri, în corelare cu planurile si programele instituite în alte domenii de politica relevante.
2. Crearea premiselor pentru comunicarea dintre autoritatile publice centrale cu responsabilitaþi în domeniile de activitati
generatoare de emisii de poluanþi atmosferici, pentru îmbunataþirea procesului de luare a deciziilor si de adoptare a programelor
de dezvoltare, cu respectarea cerintelor politicii de mediu si a principiul integrarii cerintelor de mediu în celelalte politici sectoriale
3. Adaptarea la specificul national privind estimarea inventarului a modalitatilor de aplicare a procedurii de ajustare a inventarelor
naþionale de emisii, în cazul în care se constata neconformarea cu angajamentele nationale de emisii de poluanti atmosferici
stabilite pentru anul 2020 si, respectiv anul 2030
4. Îmbunatatirea inventarului national de emisii de poluanti atmosferici, ca referinta în evaluarea conformarii cu obiectivele de
reducere a emisiilor de poluanti atmosferici</t>
  </si>
  <si>
    <t>Transparență si competență în sectorul public</t>
  </si>
  <si>
    <t>UNIVERSITATEA BABES
BOLYAI</t>
  </si>
  <si>
    <t xml:space="preserve">IP 18/2020 (MYSMIS: POCA/831/1/2) </t>
  </si>
  <si>
    <t>Dezvoltarea si implementarea de politici si instrumente unitare si moderne de management al resurselor umane pentru asigurarea
transparentei, coerentei si competentei în sectorul public.
Obiectivele specifice ale proiectului
1. OS 1: Contributie la asigurarea unui management unitar si coerent al resurselor umane prin dezvoltarea sistemului electronic
naþional de evidenta a ocuparii în sectorul public - SENEOSP
OS 2: Proceduri transparente si incluzive de planificare, recrutare si selecþie prin dezvoltarea si operationalizarea noului concept
administrativ de concurs national pilotat pentru categoria de functie publica grad profesional debutant si o alta categorie de functie
publica identificata conform nevoilor în etapa de analiza.
OS 3: Cunostinte si abilitati ale personalului din departamentele de resurse umane si ale personalului de conducere din cadrul
autoritaþilor si institutiilor publice centrale si locale îmbunataþite în domeniul digitalizarii, managementului resurselor umane si
formarii de formatori prin asigurarea instruirii specifice</t>
  </si>
  <si>
    <t>AA1/11.03.2020 AA2/9.12.2020 durata</t>
  </si>
  <si>
    <t>AA1/14.12.2020 durata</t>
  </si>
  <si>
    <t>Autoritatea Navală Română</t>
  </si>
  <si>
    <t>Creșterea capacității administrative a Autorității Navale Române pentru reducerea birocrației pentru cetățeni și mediul de afaceri</t>
  </si>
  <si>
    <t>Obiectivul general al proiectului consta in cresterea capacitaþii administrative a Autoritaþii Navale Române (în continuare denumita
prescurtat ”ANR”) pentru sustinerea reformelor institutionale prin adoptarea unor masuri de simplificare a procedurilor în scopul reducerii
poverii administrative pentru cetateni si mediul de afaceri.
Obiectivul general al acestui proiect este în concordanta cu Obiectivul specific 1.1. al Axei prioritare 1 din POCA, prin care sunt sprijinite
institutiile publice centrale sa dezvolte si sa introduca sisteme si standarde comune în administratia publica ce optimizeaza procesele
decizionale orientate catre cetateni si mediul de afaceri, în concordanta cu SCAP.
Obiectivul general al proiectului este în deplina concordanta si cu obiectivele generale ale Solicitantului, care doreste sa-si
îmbunatateasca activitatea orientata catre cetateni si mediul de afaceri, sa-si eficientizeze rezultatele obtinute, sa-si îmbunatateasca
continuu imaginea, astfel încât sa poata raspunde cât mai eficient cerintelor si asteptarilor.
Obiectivele specifice ale proiectului
1. OS1. Elaborarea si aprobare noilor proceduri privind gestionarea tuturor certificatelor si documentelor emise de ANR
2. OS2. Optimizarea si simplificarea proceselor operaþionale la nivelul ANR pentru reducerea cu cel puþin 25% a duratei pentru
parcurgerea procedurilor administrative aferente serviciilor publice furnizate de ANR pentru cetateni si mediul de afaceri, prin
digitalizarea fluxurilor de lucru din cadrul institutiei.
3. OS3. Îmbunataþirea abilitatilor si cunostintelor personalului ANR pentru implementarea masurilor vizate prin proiect si utilizarea
instrumentelor informatice dezvoltate. Este avuta in vedere formarea/instruirea, evaluarea/testarea si certificarea competentelor
/cunostintelor dobândite pentru 105 de persoane din cadrul grupului tinta, in ceea ce priveste sustinerea masurilor implementate
in cadrul proiectului.</t>
  </si>
  <si>
    <t>Spre guvernarea digitală. Starea civilă electronică în cadrul Arhivelor Naționale ale României (eANR)</t>
  </si>
  <si>
    <t>Consolidarea capacitaþii Arhivelor Naþionale de furnizare a serviciilor publice, prin consolidare si modernizare normativa si îmbunataþirea
conþinutului serviciilor oferite publicului in sistem digital
Obiectivele specifice ale proiectului
1. OS1: Crearea un cadru metodologic pentru prelucrare, digitalizarea si indexarea registrelor de stare civila cu caracter istoric (mai
vechi de100 de ani).
Dat fiind interesul mare al publicului (persoane individuale, profesionisti - notari, avocaþi, instanþe de judecata) asupra acestui tip
de arhiva, este necesara o metodologie specifica de lucru, unitara, menita sa identifice metadatele necesare in momentul preluarii
actelor de stare civila de catre Arhivele Nationale, modalitatea de prelucrare interna si de dare in cercetare a acestora.
2. OS2. Asigurarea accesului simplificat si rapid la informaþia istorica privind starea civila a persoanelor.
Schimbarile propuse vor contribui la reducerea birocraþiei pentru cetaþeni, în sensul ca, prin implementarea cadrului metodologic
si digitalizarea registelor de stare civila, actele necesare pentru documentarea evenimentelor de viaþa vor fi disponibile online,
fiind redusa semnificativ nevoia interacþiunii directe cu ANR pentru obþinerea informaþiilor de stare civila.
3. OS3: Cunostinþe si abilitaþi ale personalului ANR îmbunataþite în gestionarea cadrului metodologic dezvoltata si a mecanismelor
informatice de transformare digitala si regasire a informaþiei de arhiva online. Se va asigura instruirea a cel puþin 130 de angajaþicheie
din Arhivele Naþionale.</t>
  </si>
  <si>
    <t>IP20/2020 (MySMIS: POCA/897/1/1)</t>
  </si>
  <si>
    <t>Dezvoltarea unui Cadru Strategic Integrat în domeniul protecției sociale și ocupării forței de muncă</t>
  </si>
  <si>
    <t>Obiectivul general al proiectului este crearea unor instrumenete de analiza si planificare eficiente si predictibile in domeniul ocuparii fortei
de munca si in domeniul incluzunii sociale, acestea fiindcritice pentru a putea orienta politicile publice în mod fundamentat catre cetaþean,
precum si pentru a putea elabora, dezvolta si implementa servicii publice în acord cu nevoile identificate la nivelul celor mai vulnerabili
cetaþeni, contribuind în acelasi timp la îndeplinirea obligaþiilor si prioritaþilor asumate la nivel naþional si comunitar.
Obiectivele specifice ale proiectului
1. OS 1: Crearea unor instrumenete specifice de analiza si planificare eficiente si predictibile in domeniul ocuparii fortei de munca,
in acord cu politicile publice nationale si comunitare in domeniu.
2. OS 1: Crearea unor instrumenete specifice de analiza si planificare eficiente si predictibile in domeniul incluziunii sociale, in acord
cu politicile publice nationale si comunitare in domeniu.</t>
  </si>
  <si>
    <t>AA3/04.09.2019; suspendat din 09.04.2020 pt 2 luni AA5/22.09.2020 buget AA6/22.12.2020 buget si durata</t>
  </si>
  <si>
    <t>Autoritatea pentru Administrarea Activelor Statului</t>
  </si>
  <si>
    <t>Sistem integrat de management pentru administrarea eficientă a activelor statului</t>
  </si>
  <si>
    <t>Obiectivul general al proiectului consta in cresterea capacitatii administrative a Autoritatii pentru Administrarea Activelor Statului (în
continuare denumita prescurtat ”AAAS”) pentru sustinerea reformelor institutionale prin adoptarea unor masuri de simplificare a
procedurilor în scopul reducerii poverii administrative pentru mediul de afaceri, prin digitalizarea fluxurilor de lucru din cadrul institutiei si
îmbunatatirea abilitatilor si cunostintelor personalului AAAS pentru întelegerea abordarii pe procese si implementarea masurilor de
simplificare implementate prin proiect, precum si pentru utilizarea sistemelor informatice dezvoltate prin proiect.
Obiectivele specifice ale proiectului
1. OS1. Optimizarea si simplificarea proceselor operaþionale la nivelul AAAS pentru reducerea cu cel puþin 15% a duratei pentru
parcurgerea procedurilor administrative aferente celor 3 domenii specifice de activitate a AAAS (Privatizare si administrare
societati comerciale, Monitorizare postprivatizare, Redresare societaþi aflate în insolvenþa si valorificare creanþe) prin digitalizarea
fluxurilor de lucru din cadrul instituþiei.
2. OS2. Îmbunataþirea abilitatilor si cunostintelor personalului AAAS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competentelor/cunostintelor dobândite pentru 100 de
persoane din cadrul grupului tinta, in ceea ce priveste sustinerea masurilor implementate in cadrul proiectului.</t>
  </si>
  <si>
    <t>Oficiul Român pentru Drepturile de Autor</t>
  </si>
  <si>
    <t>eORDA – simplificarea procedurilor administrative și facilitarea serviciilor publice în mediul digital, în domeniul drepturilor de autor și conexe</t>
  </si>
  <si>
    <t>Obiective proiect
Îmbunatatirea proceselor de lucru si reducerea poverii administrative in domeniul drepturilor de autori si conexe, prin dezvoltarea si
introducerea de standarde, metodologii, sisteme si servicii electronice ce optimizeaza procesele decizionale din cadrul Oficiului Roman
pentru Drepturile de Autor orientate catre cetateni si mediul de afaceri si asigura un grad ridicat de protectie a drepturilor subsumate
acestui domeniu, prin mijloace facile, inclusiv în mediul digital;
Obiectivele specifice ale proiectului
1. • Simplificarea procedurilor administrative (back-office) si înfiintarea unui ghiseu unic al utilizatorilor de tip one-stop-shop(frontoffice)
si înregistrarea "o singura data" a datelor în procesele de lucru iar interactiunea beneficiarilor cu ORDA urmeaza sa se
realizeze preponderent prin intermediul serviciilor electronice, acestia având posibilitatea de a preda documente on-line si de a
completa formulare;
• Crearea unui instrument util în vederea aplicarii drepturilor de autor si conexe si automatizarea circuitului documentelor de
înregistrare si gestionare a actelor administrative ce þin de domeniu, precum si plata online a taxelor aferente;
• Introducerea unei platforme digitale integrate, compuse din mai multe module (“Registre Nationale”, „Protectia si Gestiunea
colectiva a dreptului de autor si drepturilor conexe”, „Expertize si Constatari tehnico-stiintifice”, „Prevenirea si combaterea
încalcarii dreptului de autor si drepturilor conexe”, „Ghiseul Unic al Utilizatorilor) prin intermediul careia persoanele fizice si juridice
sa poata consulta bazele de date.</t>
  </si>
  <si>
    <t>Autoritatea Națională pentru Protecția Consumatorilor</t>
  </si>
  <si>
    <t>Reducerea poverii administrative pentru cetățeni și mediul de afaceri în domeniul protecției consumatorilor</t>
  </si>
  <si>
    <t>Obiectivul proiectului este: reducerea poverii administrative pentru cetateni si mediul de afaceri in domeniul protectiei consumatorilor prin
implementarea unui sistem informatic integrat care sa permita gestionarea uniforma si coerenta a informaþiilor din cadrul instituþiei
solicitante.
Proiectul adreseaza obiectivul specific POCA OS 1.1. Dezvoltarea si introducerea de sisteme si standarde comune în administraþia
publica ce optimizeaza procesele decizionale orientate catre cetaþeni si mediul de afaceri, în concordanþa cu SCAP, respectiv obiectivul
tematic nr. ·11 Consolidarea capacitaþii instituþionale a autoritaþilor publice si a parþilor interesate si eficienta administraþiei publice si îsi
propune sa consolideze capacitatea administrativa a ANPC de a susþine o economie moderna si competitiva, abordând provocarea 5
Administratia si guvernarea si provocarea 2 Oamenii si societatea din Acordul de Parteneriat al României.
Proiectul raspunde prioritaþii de investiþii 11i Efectuarea de investiþii în capacitatea instituþionala si in eficienþa administraþiilor si a serviciilor
publice la nivel naþional, regional si local in vederea realizarii de reforme, a unei mai bune legiferari si a bunei guvernante.
Proiectul asigura îndeplinirea obiectivelor specifice ale axei prioritare 2 introducerea de sisteme si standarde comune in administraþia
publica ce optimizeaza procesele orientate catre beneficiari in concordanta cu SCAP, prin susþinerea unui management performant,
cresterea transparentei, eticii si integritaþii la nivelul la nivelul ANPC.</t>
  </si>
  <si>
    <t>Dezvoltarea capacităţii României ca stat donator de asistenţă oficială pentru dezvoltare şi asistenţă umanitară – instrument integrat RoAID: planificare, dezvoltare, implementare şi evaluare</t>
  </si>
  <si>
    <t>1.  AGENTIA DE COOPERARE
INTERNATIONALA PENTRU DEZVOLTARE                                   2. SNSPA</t>
  </si>
  <si>
    <t>Obiectiv general
Intarirea profilului de stat donator prin dezvoltarea unei politici publice coerente in domeniul cooperarii internationale pentru dezvoltare si
asistenta umanitara si a instrumentelor aferente operationalizarii acesteia.
Obiectivele specifice ale proiectului
1. Dezvoltarea unei strategii privind cooperarea internaþionala pentru dezvoltare si asistenþa umanitara si a planului de acþiuni
aferent acesteia
2. Construirea unui sistem integrat de monitorizare si evaluare a strategiei privind cooperarea internaþionala pentru dezvoltare si
asistenþa umanitara
3. Realizarea unui proiect normativ cu propuneri de actualizare si simplificare a domeniul acordarii asistenþei oficiale pentru
dezvoltare
4. Întarirea capacitaþii Comitetului consultativ în domeniul cooperarii internaþionale pentru dezvoltare si asistenþa umanitara prin
instruirea a 300 de persoane din cadrul instituþiilor membre</t>
  </si>
  <si>
    <t>AA1/22.12.2020</t>
  </si>
  <si>
    <t>Ministerul Culturii</t>
  </si>
  <si>
    <t>Viziune strategică și coerentă pentru sectorul cultural</t>
  </si>
  <si>
    <t>INCFC</t>
  </si>
  <si>
    <t>Obiectivul general al proiectului este acela de a asigura coerenta si viziune actului decizional in cadrul sectorului cultural, precum si
fundamentarea bazata pe dovezi, necesara elaborarii politicilor publice, programelor si proiectelor din domeniul culturii.
Strategia va fi documentul de planificare culturala la nivel naþional, ce va fundamenta documentele strategice de nivel regional, judetean si
local si documentatiile operationale pentru programe si proiecte cu fonduri publice, precum si celelalte strategii de dezvoltare la nivel
national cu relevanta si impact cultural. Avand o corelare a obiectivelor si masurilor relevante pentru actiuni în sectorul cultural, cresc
sansele îmbunatatirii serviciilor publice în domeniul culturii, a accesului la cultura si diversitatii expresiilor culturale, integrarii culturii în
proiectele de dezvoltare teritoriala durabila, stimularii economiei creative si prezentei culturii române la nivel international. Proiectul aduce elemente noi, inclusiv o abordare noua, originala, prin care raspunde la nevoia identificata prin corelarea cu obiectivele Agendei 2030
pentru dezvoltare durabila si cu seturile de indicatori rezultaþi din aceasta. Totodata, perioada de aplicabilitate a documentului va fi în linie
cu noua perioada bugetara a UE, precum si cu urmatoarea Agenda pentru Cultura, respectiv, 2021- 2027. Din acest punct de vedere,
strategia va fi corelata cu noile prioritaþi de acþiune si de finanþare de la nivelul UE în scopul maximizarii investiþiilor în domeniul culturii.
Obiectivele specifice ale proiectului
1. Optimizarea proceselor decizionale, asigurarea coerentei si a unei viziuni comune in sectorul cultural prin elaborarea unui
document strategic national in domeniul culturii
2. Cresterea nivelului de instruire in randul institutiilor din subordinea/aflate sub autoritatea MCIN si in coordonarea ministrului
culturii si identitatii nationale, precum si la nivelul serviciilor deconcentrate ale MCIN (Directiile judetene pentru Cultura) cu privire
la necesitatea si utilitatea unei planificari bazate pe dovezi, cu includerea practicilor si mecanismelor de la nivel european
3. Crearea de instrumente capabile sa fundamenteze procesele decizionale la nivel local, in vederea generarii unui cadru coerent de
dezvoltare in domeniul culturii, inclusiv informarea decidentilor locali în ceea ce priveste specificitatea managementului cultural
pentru o mai buna coordonare a retelelor proprii de institutii publice de toate categoriile (biblioteci, asezaminte culturale, institutii
de spectacole sau concerte, muzee si case memoriale, obiective de patrimoniu</t>
  </si>
  <si>
    <t>Strategia pentru managementul comunicării guvernamentale a României</t>
  </si>
  <si>
    <t>Asociatia ,,EUROCOMUNICARE"</t>
  </si>
  <si>
    <t>Obiectivul general urmarit prin proiect este imbunatatirea si abordarea unitara a comunicarii guvernamentale la nivelul administratiei
publice centrale din Romania, in vederea consolidarii capacitatii acesteia, precum si pentru asigurarea unei transparente sporite in
interiorul si exteriorul sistemului administrativ.
Obiectivele specifice ale proiectului
1. Analiza capacitatii institutionale privind comunicarea strategica la nivelul administratiei publice centrale din Romania
2. Creareaunui think tank care sa contribuie la dezvoltarea comunicarii guvernamentale
3. Elaborarea Strategiei pentru managementul comunicarii guvernamentale a Romaniei
4. Dezvoltarea nivelului de pregatire profesionala a personalului din administratia publica centrala</t>
  </si>
  <si>
    <t>Consolidarea sistemului de management prin implementarea Cadrului comun de autoevaluare (CAF) și sistemului de management al calității conform ISO 9001:2015</t>
  </si>
  <si>
    <t>Eficientizarea activitatii Secretariatului General al Guvernului si a 6 institutii subordonate, prin implementarea de sisteme unitare de
management al calitaþii si performantei.
Obiectivele specifice ale proiectului
1. Implementarea unui sistem de management al calittþii certificat, conform ISO 9001:2015, la nivelul Secretariatului General al
Guvernului si a 6 instituþii subordonate.
2. Implementarea cadrului comun de autoevaluare (CAF) la nivelul Secretariatului General al Guvernului si celor 6 institutii
subordonate.
3. Perfectionarea profesionala si instruirea în domeniul sistemului de management al calitatii si performantei la nivel de conducere
si executie din cadrul Secretariatului General al Guvernului si celor 6 institutii subordonate.</t>
  </si>
  <si>
    <t>Planificare strategică privind consolidarea rezilienţei în faţa dezinformării şi a ameninţărilor de tip hibrid</t>
  </si>
  <si>
    <t>Obiectivul general este consolidarea capacitatii MAE de a detecta, analiza si contracara fenomenul dezinformarii online în domeniul
afacerilor externe, respectiv de a anticipa, analiza si contracara acþiuni si fenomene de dezinformare si de a contribui la consolidarea
rezilientei la nivel national în fata acestor amenintari.
Obiectivele specifice ale proiectului
1. Elaborarea si aprobarea la nivelul MAE a unei politici publice de raspuns la dezinformarea online in sfera de competenta a MAE,
inclusiv a planului de actiune aferent
2. Elaborarea si înaintarea pe circuitul de avizare MAE a unei propuneri de act normativ pentru reglementarea masurilor de raspuns
coordonat la campaniile de dezinformare cu privire la domeniul afacerilor externe, în functie de evolutiile cadrului legislativ
national
3. Îmbunatatirea cunostinþelor si abilitatilor personalului MAE în domeniul identificarii riscurilor ce provin din fenomenul dezinformarii,
a tendintelor si modelelor în evolutie în acest domeniu, a utilizarii instrumentelor de comunicare publica si strategica, cresterea
rezidentei la dezinformare în mediul online, adoptarea unor practici si abilitati esentiale pentru aplicarea metodologiilor de
cooperare interdepartamentala si schimbului de informatii cu parteneri din UE si NATO</t>
  </si>
  <si>
    <t>Noi instrumente pentru strategia națională privind educația continuă a adulților din România - Edu-C-Ad</t>
  </si>
  <si>
    <t>Obiectivul general al proiectului consta în elaborarea „Strategiei Nationale pentru Educatia Continua a Adultilor 2021-2027”.
Obiectivele specifice ale proiectului
1. Diagnoza competentelor si abilitatilor cognitive cheie ale adultilor din România si a nevoilor lor de educatie continua.
2. Elaborarea Strategiei nationale pentru educatia continua a adultilor 2021-2027.
3. Elaborarea si înaintarea pe circuitul de avizare MEC a unei propuneri de act normativ pentru aprobarea Strategiei nationale
pentru educatia continua a adultilor 2021-2027.
4. Dezvoltarea cunostintelor si abilitatilor personalului MEC si MMPS, inclusiv structuri subordonate, pentru a raspunde problemelor
din domeniul educatiei continue a adultilor.</t>
  </si>
  <si>
    <t>AA1/23.12.2020 durata</t>
  </si>
  <si>
    <t>AA1/14.08.2020 adugare chelt neeligibile AA2/23.12.2020 durata si buget</t>
  </si>
  <si>
    <t>Ministerul Energiei</t>
  </si>
  <si>
    <t>Ministerul Economiei, Antreprenoriatului și
Turismului</t>
  </si>
  <si>
    <t>AA1/16.09.2019 durata              AA2/6.03.2020</t>
  </si>
  <si>
    <t xml:space="preserve">Ministerul Finanțelor </t>
  </si>
  <si>
    <t>Ministerul Dezvoltării, Lucrărilor Publice și Administrației</t>
  </si>
  <si>
    <t>Ministerul Investițiilor Și Proiectelor Europene/DGMRU-SACA</t>
  </si>
  <si>
    <t>Agenția Națională de Administrare Fiscală/Cabinet Secretar General</t>
  </si>
  <si>
    <t>Ministerul Afacerilor Interne/DGMRU</t>
  </si>
  <si>
    <t>Ministerul Agriculturii și Dezvoltării Rurale</t>
  </si>
  <si>
    <t>OS1: Implementarea de masuri de eficientizare a proceselor de lucru specifice domeniului asistentei sociale, atât din perspectiva
back-office, cât si front office. Pentru realizarea obiectivului specific 1 se are in vedere activitatea A3 - Simplificarea Procedurilor
Administrative si Reducerea Birocraþiei pentru cetaþeni. Rezultatul 1 contribuie la atingerea acestui obiectiv.
OS2: Cultivarea si dezvoltarea cunostintelor, competenþelor si abilitaþilor personalului din cadrul Direcþiei Generale de Asistenta
Sociala si Protectie a Copilului Sector 3 prin participarea la programe de instruire, inclusiv prin abordarea temelor de dezvoltare
durabila, egalitate de sanse, nediscriminare si egalitate de gen, în vederea utilizarii si administrarii solutiilor informatice
implementate. Pentru realizarea obiectivului specific 2 se are în vedere activitatea A4 - Instruirea utilizatorilor si administratorilor
solutiilor informatice implementate. Rezultatul 2 contribuie la atingerea acestuia.</t>
  </si>
  <si>
    <t>AA1/09.11.2018; AA2/09.08.2019;
AA3/18.12.2019   AA4/21.09.2020 durata AA5/22.01.2021 buget</t>
  </si>
  <si>
    <t>AA1/25.01.2021 durata</t>
  </si>
  <si>
    <t>AA1/25.01.2021</t>
  </si>
  <si>
    <t xml:space="preserve">                                                 AA1/08.12.2016; AA2/28.04.2017; AA3/18.01.2018; AA4/08.04.2019; AA5/19.03.2020; AA6/27.07.2020 durata; AA7/3.02.2021 durata si buget</t>
  </si>
  <si>
    <t>AA1/05.02.2021 durata</t>
  </si>
  <si>
    <t>AA1/17.12.2019 AA2/5.02.2021 durata</t>
  </si>
  <si>
    <t>AA1/14.10.2020 durata AA2/8.02.2021 durata</t>
  </si>
  <si>
    <t>AA1/29.07.2020 AA2/11.02.2021 durata</t>
  </si>
  <si>
    <t>AA1/11.02.2021 durata</t>
  </si>
  <si>
    <t>Dezvoltarea sistemului electronic de management al cauzelor – ECRIS V</t>
  </si>
  <si>
    <t xml:space="preserve">1. PARCHETUL DE PE LÂNGA INALTA CURTE DE CASATIE                                    2. CONSILIUL SUPERIOR AL MAGISTRATURII </t>
  </si>
  <si>
    <t>Obiectivul general urmarit prin proiect este eficientizarea sistemului judiciar prin punerea la dispoziþia acestuia a unui sistem informatic
modern si adaptat nevoilor actuale, care sa susþina activitatea specifica a acestuia.
Obiectivele specifice ale proiectului
1. Obiectivul specific al proiectului consta în modernizarea si adaptarea sistemului electronic de management al cauzelor ECRIS
pentru a raspunde actualelor nevoi ale sistemului judiciar</t>
  </si>
  <si>
    <t xml:space="preserve">IP19/2020 (MySMIS: POCA/837/2/3) </t>
  </si>
  <si>
    <t>AP2/11i /2.3</t>
  </si>
  <si>
    <t>AA1/3.08.2020 durata AA2/11.02.2021 buget</t>
  </si>
  <si>
    <t>AA 2/11.02.2021 durata</t>
  </si>
  <si>
    <t>AA1/12.02.2021 durata</t>
  </si>
  <si>
    <t>AA1/15.02.2021 durata</t>
  </si>
  <si>
    <t>9/31/2021</t>
  </si>
  <si>
    <t>Obiectivul general: Consolidarea capacitaþi anticipatorii de elaborare a politicilor publice bazate pe dovezi în domeniul                                     Obiectivele specifice ale proiectului
1. Elaborarea cadrului Strategic Naþional de Cercetare, Dezvoltare si Inovare 2021-2027, incluzând sinergiile cu Strategia Naþionala
de Specializare Inteligenta
2. Elaborarea cadrului Strategic Naþional de Specializare Inteligenta
3. Îmbunataþirea politicilor publice si cresterea calitaþii reglementarilor în domeniul antreprenoriatului inovativ
4. Revizuirea legislatiei în domeniul CDI, asociat cadrului strategic dezvoltat
5. Implementarea unui sistem de managementul calitaþii la nivelul MCI
6. Dezvoltarea competenþelor membrilor grupului þinta si actorilor implicaþi în activitaþile proiectului si în implementarea cadrului
strategic dezvoltat (SNCDI, SNSI)</t>
  </si>
  <si>
    <t>AA1/22.02.2021</t>
  </si>
  <si>
    <t>AA2/19.09.2019 AA3/22.02.2021 durata, ue, cb</t>
  </si>
  <si>
    <t>AA1/25.02.2021 durata</t>
  </si>
  <si>
    <t>AA1/26.11.2019 AA LA ACORDUL DE PARTENERIAT AA2/12.08.2020 durata, ue, cb AA3/23.02.2021 ue, cb</t>
  </si>
  <si>
    <t>Autoritatea Națională pentru Restituirea Proprietăților</t>
  </si>
  <si>
    <t>Creșterea capacității administrative a ANRP în vederea eficientizării procesului de restituire a proprietăților</t>
  </si>
  <si>
    <t>Eficientizarea proceselor interne si crearea unor fluxuri care sa contribuie la reducerea duratei procedurilor administrative si facilitarea
interactiunii cetatenilor cu institutia, contribuind la atingerea obiectivului POCA OS 1.1 Dezvoltarea si introducerea de sisteme si
standarde comune în administratia publica ce optimizeaza procesele decizionale orientate catre cetateni si mediul de afaceri.
Obiectivele specifice ale proiectului
1. Îmbunatatirea capacitaþii Autoritaþii Nationale pentru Restituirea Proprietatilor de a gestiona eficient problematica restituirii
proprietatilor confiscate abuziv de fostul regim comunist.
2. Simplificarea proceselor si procedurilor la nivelul Autoritatii Nationale pentru Restituirea Proprietatilor, în vederea reducerii timpilor
de solutionare a dosarelor de despagubire.</t>
  </si>
  <si>
    <t>Ministerul Transporturilor și Infrastructurii</t>
  </si>
  <si>
    <t xml:space="preserve">Ministerul Energiei </t>
  </si>
  <si>
    <t>AA1/2.03.2021 durata</t>
  </si>
  <si>
    <t>AA1/09.03.2021 durata</t>
  </si>
  <si>
    <t>OMDRAP nr. 3247/25.11.2019/Actul adițional nr.2/25.11.2019, Omdlpd din 14.09.2020 durata si buget; Ordin 339/9/03/2021 buget</t>
  </si>
  <si>
    <t>AA1/12.08.2019               AA2/18.09.2020 durata si diminuare buget AA3/16.03.2021 durata</t>
  </si>
  <si>
    <t>Agenția Națională Antidrog</t>
  </si>
  <si>
    <t>Simplificarea procedurilor administrative și reducerea birocrației pentru mediul de afaceri în domeniul operațiunilor cu precursori de droguri (RNP)</t>
  </si>
  <si>
    <t>Ministrul Afacerilor Interne - Direcția Generală pentru Comunicații și Tehnologia Informației - Partener</t>
  </si>
  <si>
    <t>Scopul proiectului propus consta în cresterea eficienþei si transparenþei monitorizarii si implementarii politicilor naþionale în domeniul
precursorilor.
Obiectivele specifice ale proiectului
1. OS1. Reducerea poverii administrative pentru mediul de afaceri cu privire la acordarea drepturilor desfasurarii operaþiunilor
specifice cu precursori de droguri (servicii oferite de Agenþia Naþionala Antidrog – emiterea de licenþe, înregistrari, autorizaþii de
import si export) prin digitalizarea serviciilor/implementarea unui sistem informatic de comunicare pentru îndeplinirea obligaþiilor;
OS2. Optimizarea procesului decizional la nivelul Agenþiei Naþionale Antidrog prin extinderea utilizarii instrumentelor informatice
de monitorizare si control al operaþiunilor cu precursori si simplificarea proceselor inter- si intra-instituþionale;
OS3. Dezvoltarea competenþelor si cunostinþelor personalului din structurile cu atribuþii în procesul de monitorizare si control al
operaþiunilor cu precursori prin organizarea de cursuri specifice.</t>
  </si>
  <si>
    <t>AA1/19.02.2020 AA2/4.12.2020 durata AA3/17.03.2021 chelt neelig</t>
  </si>
  <si>
    <t>AA1/16.03.2021 durata</t>
  </si>
  <si>
    <t>AA1/18.03.2021 durata, buget</t>
  </si>
  <si>
    <t>AA 1/12.03.2020 AA2/27.11.2020 ue, cb AA3/18.03.2021 buget</t>
  </si>
  <si>
    <t>E-ARM - Sistem de implementare și gestionare a bazelor de date din domeniul arme și explozivi și extindere sistemului bazei naționale de date precursori de explozivi</t>
  </si>
  <si>
    <t>Inspectoratul General al Poliției Române</t>
  </si>
  <si>
    <t>Obiectivul general al proiectului
Optimizarea proceselor decizionale la nivelul Politiei Romane pentru debirocratizarea si simplificarea serviciilor acordate cetatenilor si
mediului de afaceri in domeniul armelor, explozivilor si substantelor periculoase
Obiectivele specifice ale proiectului
1. Reducerea timpului de verificare si soluþionare a cererilor depuse pentru obþinerea documentelor de autorizare solicitate de
persoane fizice sau juridice, pentru a procura, detine, purta si folosi arme.
2. Reducerea birocratiei întâmpinate de reprezentantii societatilor comerciale autorizate in transmiterea catre structurile Arme,
Explozivi si Substante Periculoase, a listei cuprinzând precursorii de explozivi restrictionati sau amestecurile sau alte substante
care contin astfel de substante cu care efectueaza operatiuni, a deciziilor de numire a persoanelor responsabile de activitatea cu
precursori de explozivi restrictionati si a înlocuitorilor acestora, precum si de completare a registrului fizic snuruit conform
prevederilor Legii nr. 49/2018 privind precursorii de explozivi.</t>
  </si>
  <si>
    <t>Ordin 391 /18.03.2021</t>
  </si>
  <si>
    <t>AA1/02.04.2019 PRELUNGIRE 10 LUNI AA2/9.04.2020 durata     AA3/7.10.2020 ue, bn AA4/19.03.2021 durata</t>
  </si>
  <si>
    <t>AA1/29.07.2020 durata si buget AA2/19.03.2021 durata si buget</t>
  </si>
  <si>
    <t>AA1/19.03.2021 durata</t>
  </si>
  <si>
    <t>AA1/22.03.2021 durata, buget</t>
  </si>
  <si>
    <t>AA1/25.03.2021 durata</t>
  </si>
  <si>
    <t>AA1/29.03.2021 durata</t>
  </si>
  <si>
    <t xml:space="preserve">Ordin 424/30.03.2021 durata si buget (ue, bn, cb) </t>
  </si>
  <si>
    <t>AA1/1.04.2021 durata si bn si cb</t>
  </si>
  <si>
    <t>AA1/23.10.2020 durata AA2/2.04.2021 durata si buget</t>
  </si>
  <si>
    <t>Ministerul Cercetarii, Inovarii si Digitalizarii</t>
  </si>
  <si>
    <t>AA1/10.01.2020                       AA2/29.09.2020 durata si buget AA3/12.04.2021 durata</t>
  </si>
  <si>
    <t xml:space="preserve">AA1 din 27.06.2019              AA2 din 04.02.2020               AA3 din 14.07.2020 durata                                            AA4 din 12.04.2021 durata </t>
  </si>
  <si>
    <t>AA1/12.04.2021 durata</t>
  </si>
  <si>
    <t>AA1/15.12.2020 durata AA2/15.04.2021 durata</t>
  </si>
  <si>
    <t>AA1/12.04.2021 durata si buget (ue si cb)</t>
  </si>
  <si>
    <t>AA1/8.12.2020 buget  AA2/12.04.2021 buget</t>
  </si>
  <si>
    <t>AA1/23.12.2020 durata si buget AA2/13.04.2021 durata</t>
  </si>
  <si>
    <t>AA1/16.04.2021 durata</t>
  </si>
  <si>
    <t>AA1/09.12.2019 AA2/19.04.2021 durata si buget</t>
  </si>
  <si>
    <t>AA1/20.04.2021 durata si buget (ue, cb) + chelt neelig</t>
  </si>
  <si>
    <t>AA1/19.04.2021 durata si buget</t>
  </si>
  <si>
    <t>AA1/22.04.2021 durata</t>
  </si>
  <si>
    <t>AA1/22.03.2021 durata AA2/26.04.2021 durata</t>
  </si>
  <si>
    <t>AA1/26.04.2021 durata</t>
  </si>
  <si>
    <t xml:space="preserve">AA1/30.09.2020 buget AA2/22.02.2021 AA3/28.04.2021 buget </t>
  </si>
  <si>
    <t>AA1/10.05.2021 durata</t>
  </si>
  <si>
    <t>AA1/5.05.2021 durata si buget</t>
  </si>
  <si>
    <t>AA1/17.05.2021 durata</t>
  </si>
  <si>
    <t>Cresterea capacității sistemului CDI de a răspunde provocarilor globale. Consolidarea capacității
anticipatorii de elaborare a politicilor publice bazate pe dovezi</t>
  </si>
  <si>
    <t>AA1/19.05.2021</t>
  </si>
  <si>
    <t>AA1/21.05.2021 durata</t>
  </si>
  <si>
    <t>AA1/19.05.2021 durata</t>
  </si>
  <si>
    <t>AA1/21.05.2021 duarata, bn, elimin partener</t>
  </si>
  <si>
    <t>AA1/24.05.2021 durata</t>
  </si>
  <si>
    <t>AA1/18.08.2020 AA3/24.05.2021 durata si buget (ue, cb)</t>
  </si>
  <si>
    <t>AA1/26.05.2020 durata AA3/17.05.2021 durata</t>
  </si>
  <si>
    <t>AA1/26.05.2021 durata</t>
  </si>
  <si>
    <t>Ordin 1352/24.03.2020 Ordin 738/28.05.2021 buget si durata</t>
  </si>
  <si>
    <t>Omdrap nr. 5844/03.10.2018   OMDRAP/11.12.2020 Ordin 760/3.06.2021 durata</t>
  </si>
  <si>
    <t>AA1/3.06.2021 durata</t>
  </si>
  <si>
    <t>AA1/2.06.2021 durata</t>
  </si>
  <si>
    <t>AA1/8.06.2021 durata</t>
  </si>
  <si>
    <t>AA1/19.08.2020 prelungire si diminuare buget AA2/7.06.2021 durata</t>
  </si>
  <si>
    <t>AA1/15.07.2020   AA2/29.09.2020 durata AA3/7.08.2021 durata</t>
  </si>
  <si>
    <t>AA4 /17.02.2020 AA5/20.10.2020 durata, buget AA6/9.06.2021 durata</t>
  </si>
  <si>
    <t>AA3/20.11.2019 prelungire   AA4/25.09.2020 durata  AA5/9.06.2021 durata si buget</t>
  </si>
  <si>
    <t>AA1/11.06.2021 durata</t>
  </si>
  <si>
    <t>AA1/22.08.2019   AA2/11.06.2021durata</t>
  </si>
  <si>
    <t>AA1/16.06.2021durata</t>
  </si>
  <si>
    <t>AA1/21.07.2020 buget AA2/17.11.2020 buget AA3/11.06.2021 buget</t>
  </si>
  <si>
    <t>AA1/11.06.2021 buget</t>
  </si>
  <si>
    <t>AUTORITATEA NATIONALA PENTRU PERSOANELE CU DIZABILITĂȚI, COPII ȘI ADOPȚII</t>
  </si>
  <si>
    <t>AA1/17.06.2021 durata si ue+cb</t>
  </si>
  <si>
    <t>AA1/03.05.2017; AA2/28.06.2017; AA3/30.07.2018;  AA4/12.08.2019   AA5/8.10.2020 durata; AA6/23.06.2021 durata;</t>
  </si>
  <si>
    <t xml:space="preserve">1.  UNITATEA EXECUTIVA PENTRU FINANTAREA INVATAMANTULUI SUPERIOR, A CERCETARII,
DEZVOLTARII SI INOVARII/Centrul pentru Politici Publice in Invatamantul Superior, Stiinta, Inovare
si Antreprenoriat                                </t>
  </si>
  <si>
    <t>Ministerul Educației</t>
  </si>
  <si>
    <t>AA1/22.07.2019 AA3/23.12.2020 durata si buget AA4/23.06.2021 durata, partener, ue, cb, bn</t>
  </si>
  <si>
    <t>AA 1/20.11.2019 AA2/23.06.2021 durata</t>
  </si>
  <si>
    <t>AA1/23.06.2021 durata, buget</t>
  </si>
  <si>
    <t>AA 1/15.01.2019 - SUSPENDARE 3 LUNI AA2/16.04.2020 - suspendare 3 luni AA3/16.07.2020 suspendare 2 luni; AA4/23.06.2021 durata si buget</t>
  </si>
  <si>
    <t>AA1/29.06.2020;  AA2/23.10.2020 ue, cb ; AA3/23.06.2021 durata</t>
  </si>
  <si>
    <t>AA1/23.06.2021 durata</t>
  </si>
  <si>
    <t>Ministerul Economiei, Energiei și Mediului de Afaceri</t>
  </si>
  <si>
    <t>Ordin nr. 794/14.06.2021 durata si buget</t>
  </si>
  <si>
    <t>AA1/28.06.2021 durata</t>
  </si>
  <si>
    <t>AA1/7.10.2020 buget AA2/29.06.2021 buget</t>
  </si>
  <si>
    <t>AA1/1.07.2021 durata</t>
  </si>
  <si>
    <t>AA1/28.10.2019, AA2/1.07.2021 durata si ue, bn, cb, cp</t>
  </si>
  <si>
    <t>curs infoeuro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</si>
</sst>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l_e_i_-;\-* #,##0.00\ _l_e_i_-;_-* &quot;-&quot;??\ _l_e_i_-;_-@_-"/>
    <numFmt numFmtId="165" formatCode="0.000000000"/>
    <numFmt numFmtId="166" formatCode="#,##0.00_ ;\-#,##0.00\ "/>
    <numFmt numFmtId="168" formatCode="#,##0.00;[Red]#,##0.00"/>
  </numFmts>
  <fonts count="27"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238"/>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10"/>
      <color theme="1"/>
      <name val="Calibri"/>
      <family val="2"/>
      <scheme val="minor"/>
    </font>
    <font>
      <sz val="11"/>
      <color indexed="8"/>
      <name val="Calibri"/>
      <family val="2"/>
      <scheme val="minor"/>
    </font>
    <font>
      <sz val="10"/>
      <name val="MS Sans Serif"/>
      <family val="2"/>
    </font>
    <font>
      <sz val="12"/>
      <color rgb="FF000000"/>
      <name val="Calibri"/>
      <family val="2"/>
      <scheme val="minor"/>
    </font>
    <font>
      <u/>
      <sz val="12"/>
      <name val="Calibri"/>
      <family val="2"/>
      <scheme val="minor"/>
    </font>
    <font>
      <sz val="8"/>
      <name val="Calibri"/>
      <family val="2"/>
      <charset val="238"/>
      <scheme val="minor"/>
    </font>
    <font>
      <sz val="12"/>
      <color theme="0"/>
      <name val="Calibri"/>
      <family val="2"/>
      <scheme val="minor"/>
    </font>
    <font>
      <i/>
      <sz val="12"/>
      <color theme="1"/>
      <name val="Calibri"/>
      <family val="2"/>
      <scheme val="minor"/>
    </font>
    <font>
      <sz val="12"/>
      <name val="Calibri"/>
      <family val="2"/>
      <charset val="238"/>
      <scheme val="minor"/>
    </font>
    <font>
      <sz val="12"/>
      <name val="Trebuchet MS"/>
      <family val="2"/>
    </font>
    <font>
      <b/>
      <sz val="12"/>
      <name val="Trebuchet MS"/>
      <family val="2"/>
    </font>
    <font>
      <sz val="12"/>
      <color theme="1"/>
      <name val="Trebuchet MS"/>
      <family val="2"/>
    </font>
    <font>
      <b/>
      <sz val="11"/>
      <name val="Calibri"/>
      <family val="2"/>
      <scheme val="minor"/>
    </font>
    <font>
      <sz val="11"/>
      <name val="Calibri"/>
      <family val="2"/>
      <scheme val="minor"/>
    </font>
    <font>
      <sz val="11"/>
      <name val="Trebuchet MS"/>
      <family val="2"/>
    </font>
    <font>
      <sz val="11"/>
      <color rgb="FF333333"/>
      <name val="Arial"/>
      <family val="2"/>
    </font>
  </fonts>
  <fills count="3">
    <fill>
      <patternFill patternType="none"/>
    </fill>
    <fill>
      <patternFill patternType="gray125"/>
    </fill>
    <fill>
      <patternFill patternType="solid">
        <fgColor rgb="FFFFC000"/>
        <bgColor indexed="64"/>
      </patternFill>
    </fill>
  </fills>
  <borders count="27">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medium">
        <color auto="1"/>
      </left>
      <right style="thin">
        <color indexed="64"/>
      </right>
      <top style="medium">
        <color auto="1"/>
      </top>
      <bottom/>
      <diagonal/>
    </border>
    <border>
      <left style="medium">
        <color auto="1"/>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17">
    <xf numFmtId="0" fontId="0" fillId="0" borderId="0"/>
    <xf numFmtId="164" fontId="6" fillId="0" borderId="0" applyFont="0" applyFill="0" applyBorder="0" applyAlignment="0" applyProtection="0"/>
    <xf numFmtId="164" fontId="6" fillId="0" borderId="0" applyFont="0" applyFill="0" applyBorder="0" applyAlignment="0" applyProtection="0"/>
    <xf numFmtId="0" fontId="12"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13" fillId="0" borderId="0"/>
    <xf numFmtId="0" fontId="6" fillId="0" borderId="0"/>
    <xf numFmtId="0" fontId="6" fillId="0" borderId="0"/>
    <xf numFmtId="0" fontId="11" fillId="0" borderId="0"/>
    <xf numFmtId="0" fontId="5" fillId="0" borderId="0"/>
    <xf numFmtId="0" fontId="5" fillId="0" borderId="0"/>
    <xf numFmtId="0" fontId="4" fillId="0" borderId="0"/>
  </cellStyleXfs>
  <cellXfs count="259">
    <xf numFmtId="0" fontId="0" fillId="0" borderId="0" xfId="0"/>
    <xf numFmtId="4" fontId="7" fillId="0" borderId="3" xfId="0" applyNumberFormat="1" applyFont="1" applyFill="1" applyBorder="1" applyAlignment="1">
      <alignment horizontal="right" vertical="center" wrapText="1"/>
    </xf>
    <xf numFmtId="14" fontId="7"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4" fontId="7" fillId="0" borderId="3" xfId="1" applyNumberFormat="1" applyFont="1" applyFill="1" applyBorder="1" applyAlignment="1">
      <alignment horizontal="right" vertical="center" wrapText="1"/>
    </xf>
    <xf numFmtId="0" fontId="7"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7" fillId="0" borderId="3" xfId="0" applyFont="1" applyFill="1" applyBorder="1" applyAlignment="1">
      <alignment horizontal="left" vertical="center" wrapText="1"/>
    </xf>
    <xf numFmtId="166" fontId="7" fillId="0" borderId="3" xfId="1" applyNumberFormat="1" applyFont="1" applyFill="1" applyBorder="1" applyAlignment="1">
      <alignment horizontal="right" vertical="center" wrapText="1"/>
    </xf>
    <xf numFmtId="166" fontId="7" fillId="0" borderId="3" xfId="0" applyNumberFormat="1" applyFont="1" applyFill="1" applyBorder="1" applyAlignment="1">
      <alignment horizontal="right" vertical="center" wrapText="1"/>
    </xf>
    <xf numFmtId="3" fontId="9" fillId="0" borderId="3" xfId="0" applyNumberFormat="1" applyFont="1" applyFill="1" applyBorder="1" applyAlignment="1">
      <alignment horizontal="right" vertical="center" wrapText="1"/>
    </xf>
    <xf numFmtId="0" fontId="8" fillId="0" borderId="0" xfId="0" applyFont="1" applyFill="1"/>
    <xf numFmtId="14" fontId="8" fillId="0" borderId="3" xfId="0" applyNumberFormat="1" applyFont="1" applyFill="1" applyBorder="1" applyAlignment="1">
      <alignment horizontal="right" vertical="center" wrapText="1"/>
    </xf>
    <xf numFmtId="0" fontId="7" fillId="0" borderId="3" xfId="0" applyFont="1" applyFill="1" applyBorder="1" applyAlignment="1">
      <alignment horizontal="justify" wrapText="1"/>
    </xf>
    <xf numFmtId="0" fontId="7" fillId="0" borderId="15" xfId="0" applyFont="1" applyFill="1" applyBorder="1" applyAlignment="1">
      <alignment horizontal="center" vertical="center" wrapText="1"/>
    </xf>
    <xf numFmtId="165" fontId="7" fillId="0" borderId="3"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8" fillId="0" borderId="3" xfId="0" applyFont="1" applyFill="1" applyBorder="1" applyAlignment="1">
      <alignment horizontal="left" vertical="center" wrapText="1"/>
    </xf>
    <xf numFmtId="4" fontId="7" fillId="0" borderId="3"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10" fillId="0" borderId="0" xfId="0" applyFont="1" applyFill="1" applyAlignment="1">
      <alignment horizontal="center" vertical="center"/>
    </xf>
    <xf numFmtId="0" fontId="8" fillId="0" borderId="0" xfId="0" applyFont="1" applyFill="1" applyAlignment="1">
      <alignment horizontal="left"/>
    </xf>
    <xf numFmtId="4" fontId="8" fillId="0" borderId="0" xfId="0" applyNumberFormat="1" applyFont="1" applyFill="1"/>
    <xf numFmtId="0" fontId="8" fillId="0" borderId="3" xfId="0" applyFont="1" applyFill="1" applyBorder="1" applyAlignment="1">
      <alignment vertical="center"/>
    </xf>
    <xf numFmtId="4" fontId="7" fillId="0" borderId="3" xfId="0" applyNumberFormat="1" applyFont="1" applyFill="1" applyBorder="1" applyAlignment="1">
      <alignment horizontal="right" vertical="center"/>
    </xf>
    <xf numFmtId="0" fontId="10" fillId="0" borderId="0" xfId="0" applyFont="1" applyFill="1"/>
    <xf numFmtId="0" fontId="8" fillId="0" borderId="3" xfId="0" applyFont="1" applyFill="1" applyBorder="1" applyAlignment="1">
      <alignment horizontal="center" vertical="center"/>
    </xf>
    <xf numFmtId="0" fontId="7" fillId="0" borderId="25" xfId="0" applyFont="1" applyFill="1" applyBorder="1" applyAlignment="1">
      <alignment horizontal="center" vertical="center" wrapText="1"/>
    </xf>
    <xf numFmtId="0" fontId="7" fillId="0" borderId="3" xfId="4" applyFont="1" applyFill="1" applyBorder="1" applyAlignment="1">
      <alignment horizontal="center" vertical="center" wrapText="1"/>
    </xf>
    <xf numFmtId="0" fontId="10" fillId="0" borderId="0" xfId="0" applyFont="1" applyFill="1" applyAlignment="1">
      <alignment horizontal="center" vertical="center" wrapText="1"/>
    </xf>
    <xf numFmtId="0" fontId="8" fillId="0" borderId="15" xfId="0" applyFont="1" applyFill="1" applyBorder="1" applyAlignment="1">
      <alignment horizontal="center" vertical="center" wrapText="1"/>
    </xf>
    <xf numFmtId="0" fontId="8" fillId="0" borderId="0" xfId="0" applyFont="1" applyFill="1" applyAlignment="1">
      <alignment horizontal="center" vertical="center" wrapText="1"/>
    </xf>
    <xf numFmtId="0" fontId="10" fillId="0" borderId="3" xfId="0" applyFont="1" applyFill="1" applyBorder="1" applyAlignment="1">
      <alignment horizontal="center" vertical="center"/>
    </xf>
    <xf numFmtId="0" fontId="24" fillId="0" borderId="3" xfId="0" applyFont="1" applyFill="1" applyBorder="1" applyAlignment="1">
      <alignment horizontal="center" vertical="center" wrapText="1"/>
    </xf>
    <xf numFmtId="14" fontId="7" fillId="0" borderId="3" xfId="4" applyNumberFormat="1" applyFont="1" applyFill="1" applyBorder="1" applyAlignment="1">
      <alignment horizontal="center" vertical="center" wrapText="1"/>
    </xf>
    <xf numFmtId="4" fontId="9" fillId="0" borderId="1" xfId="0" applyNumberFormat="1" applyFont="1" applyFill="1" applyBorder="1" applyAlignment="1">
      <alignment vertical="center" wrapText="1"/>
    </xf>
    <xf numFmtId="0" fontId="7" fillId="0" borderId="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 xfId="0" applyFont="1" applyFill="1" applyBorder="1" applyAlignment="1">
      <alignment horizontal="left" vertical="center"/>
    </xf>
    <xf numFmtId="0" fontId="7" fillId="0" borderId="3" xfId="0" applyFont="1" applyFill="1" applyBorder="1" applyAlignment="1">
      <alignment horizontal="justify" vertical="top" wrapText="1"/>
    </xf>
    <xf numFmtId="14" fontId="7" fillId="0" borderId="3" xfId="0" applyNumberFormat="1" applyFont="1" applyFill="1" applyBorder="1" applyAlignment="1">
      <alignment horizontal="center" vertical="center"/>
    </xf>
    <xf numFmtId="165" fontId="7" fillId="0" borderId="3" xfId="0" applyNumberFormat="1" applyFont="1" applyFill="1" applyBorder="1" applyAlignment="1">
      <alignment horizontal="center" vertical="center"/>
    </xf>
    <xf numFmtId="166" fontId="7" fillId="0" borderId="3" xfId="1" applyNumberFormat="1" applyFont="1" applyFill="1" applyBorder="1" applyAlignment="1">
      <alignment horizontal="right" vertical="center"/>
    </xf>
    <xf numFmtId="4" fontId="8" fillId="0" borderId="0" xfId="0" applyNumberFormat="1" applyFont="1" applyFill="1" applyAlignment="1">
      <alignment horizontal="right" vertical="center"/>
    </xf>
    <xf numFmtId="4" fontId="7" fillId="0" borderId="3" xfId="1" applyNumberFormat="1" applyFont="1" applyFill="1" applyBorder="1" applyAlignment="1">
      <alignment horizontal="right" vertical="center"/>
    </xf>
    <xf numFmtId="168" fontId="8" fillId="0" borderId="0" xfId="0" applyNumberFormat="1" applyFont="1" applyFill="1" applyAlignment="1">
      <alignment horizontal="right" vertical="center"/>
    </xf>
    <xf numFmtId="168" fontId="7" fillId="0" borderId="3" xfId="1" applyNumberFormat="1" applyFont="1" applyFill="1" applyBorder="1" applyAlignment="1">
      <alignment horizontal="right" vertical="center"/>
    </xf>
    <xf numFmtId="3" fontId="7" fillId="0" borderId="3" xfId="0" applyNumberFormat="1" applyFont="1" applyFill="1" applyBorder="1" applyAlignment="1">
      <alignment horizontal="right" vertical="center"/>
    </xf>
    <xf numFmtId="14" fontId="8" fillId="0" borderId="3" xfId="0" applyNumberFormat="1" applyFont="1" applyFill="1" applyBorder="1" applyAlignment="1">
      <alignment horizontal="right" vertical="center"/>
    </xf>
    <xf numFmtId="0" fontId="8" fillId="0" borderId="0" xfId="0" applyFont="1" applyFill="1" applyAlignment="1"/>
    <xf numFmtId="0" fontId="8" fillId="0" borderId="0" xfId="0" applyFont="1" applyFill="1" applyAlignment="1">
      <alignment horizontal="center" vertical="center"/>
    </xf>
    <xf numFmtId="168" fontId="7" fillId="0" borderId="3" xfId="1" applyNumberFormat="1" applyFont="1" applyFill="1" applyBorder="1" applyAlignment="1">
      <alignment horizontal="right" vertical="center" wrapText="1"/>
    </xf>
    <xf numFmtId="2" fontId="7" fillId="0" borderId="3" xfId="0" applyNumberFormat="1" applyFont="1" applyFill="1" applyBorder="1" applyAlignment="1">
      <alignment horizontal="right" vertical="center" wrapText="1"/>
    </xf>
    <xf numFmtId="0" fontId="7" fillId="0" borderId="15" xfId="0" applyFont="1" applyFill="1" applyBorder="1" applyAlignment="1">
      <alignment horizontal="left" vertical="center" wrapText="1"/>
    </xf>
    <xf numFmtId="0" fontId="9" fillId="0" borderId="3" xfId="0" applyFont="1" applyFill="1" applyBorder="1" applyAlignment="1">
      <alignment horizontal="right" vertical="center" wrapText="1"/>
    </xf>
    <xf numFmtId="0" fontId="7" fillId="0" borderId="0" xfId="0" applyFont="1" applyFill="1" applyAlignment="1">
      <alignment horizontal="center" vertical="center"/>
    </xf>
    <xf numFmtId="0" fontId="23" fillId="0" borderId="3" xfId="0" applyFont="1" applyFill="1" applyBorder="1" applyAlignment="1">
      <alignment horizontal="center" vertical="center" wrapText="1"/>
    </xf>
    <xf numFmtId="3" fontId="7" fillId="0" borderId="3" xfId="0" applyNumberFormat="1" applyFont="1" applyFill="1" applyBorder="1" applyAlignment="1">
      <alignment horizontal="right" vertical="center" wrapText="1"/>
    </xf>
    <xf numFmtId="0" fontId="7" fillId="0" borderId="3" xfId="0" applyFont="1" applyFill="1" applyBorder="1" applyAlignment="1">
      <alignment horizontal="left" vertical="top" wrapText="1"/>
    </xf>
    <xf numFmtId="0" fontId="20" fillId="0" borderId="15" xfId="0" applyFont="1" applyFill="1" applyBorder="1" applyAlignment="1">
      <alignment horizontal="center" vertical="center" wrapText="1"/>
    </xf>
    <xf numFmtId="0" fontId="20" fillId="0" borderId="3" xfId="0" applyFont="1" applyFill="1" applyBorder="1" applyAlignment="1">
      <alignment horizontal="center" vertical="center" wrapText="1"/>
    </xf>
    <xf numFmtId="14" fontId="20" fillId="0" borderId="3" xfId="0" applyNumberFormat="1" applyFont="1" applyFill="1" applyBorder="1" applyAlignment="1">
      <alignment horizontal="center" vertical="center" wrapText="1"/>
    </xf>
    <xf numFmtId="165" fontId="20" fillId="0" borderId="3" xfId="0" applyNumberFormat="1" applyFont="1" applyFill="1" applyBorder="1" applyAlignment="1">
      <alignment horizontal="center" vertical="center" wrapText="1"/>
    </xf>
    <xf numFmtId="0" fontId="22" fillId="0" borderId="3" xfId="0" applyFont="1" applyFill="1" applyBorder="1" applyAlignment="1">
      <alignment horizontal="center" vertical="center" wrapText="1"/>
    </xf>
    <xf numFmtId="166" fontId="20" fillId="0" borderId="3" xfId="1" applyNumberFormat="1" applyFont="1" applyFill="1" applyBorder="1" applyAlignment="1">
      <alignment horizontal="right" vertical="center" wrapText="1"/>
    </xf>
    <xf numFmtId="4" fontId="20" fillId="0" borderId="3" xfId="1" applyNumberFormat="1" applyFont="1" applyFill="1" applyBorder="1" applyAlignment="1">
      <alignment horizontal="right" vertical="center" wrapText="1"/>
    </xf>
    <xf numFmtId="168" fontId="20" fillId="0" borderId="3" xfId="1" applyNumberFormat="1" applyFont="1" applyFill="1" applyBorder="1" applyAlignment="1">
      <alignment horizontal="right" vertical="center" wrapText="1"/>
    </xf>
    <xf numFmtId="4" fontId="8" fillId="0" borderId="0" xfId="0" applyNumberFormat="1" applyFont="1" applyFill="1" applyAlignment="1">
      <alignment horizontal="right" vertical="center" wrapText="1"/>
    </xf>
    <xf numFmtId="0" fontId="7" fillId="0" borderId="3" xfId="0" applyFont="1" applyFill="1" applyBorder="1" applyAlignment="1">
      <alignment horizontal="right" vertical="center" wrapText="1"/>
    </xf>
    <xf numFmtId="168" fontId="7" fillId="0" borderId="3" xfId="0" applyNumberFormat="1" applyFont="1" applyFill="1" applyBorder="1" applyAlignment="1">
      <alignment horizontal="right" vertical="center" wrapText="1"/>
    </xf>
    <xf numFmtId="0" fontId="8" fillId="0" borderId="0" xfId="0" applyFont="1" applyFill="1" applyAlignment="1">
      <alignment wrapText="1"/>
    </xf>
    <xf numFmtId="0" fontId="8" fillId="0" borderId="3" xfId="0" applyFont="1" applyFill="1" applyBorder="1" applyAlignment="1">
      <alignment wrapText="1"/>
    </xf>
    <xf numFmtId="0" fontId="7" fillId="0" borderId="3" xfId="0" applyFont="1" applyFill="1" applyBorder="1" applyAlignment="1">
      <alignment horizontal="justify" vertical="center" wrapText="1"/>
    </xf>
    <xf numFmtId="1" fontId="9" fillId="0" borderId="3" xfId="0" applyNumberFormat="1" applyFont="1" applyFill="1" applyBorder="1" applyAlignment="1">
      <alignment horizontal="center" vertical="center" wrapText="1"/>
    </xf>
    <xf numFmtId="166" fontId="7" fillId="0" borderId="3" xfId="1" applyNumberFormat="1" applyFont="1" applyFill="1" applyBorder="1" applyAlignment="1">
      <alignment horizontal="center" vertical="center" wrapText="1"/>
    </xf>
    <xf numFmtId="168" fontId="14" fillId="0" borderId="0" xfId="0" applyNumberFormat="1" applyFont="1" applyFill="1" applyAlignment="1">
      <alignment horizontal="center" vertical="center" wrapText="1"/>
    </xf>
    <xf numFmtId="0" fontId="9" fillId="0" borderId="15" xfId="0" applyFont="1" applyFill="1" applyBorder="1" applyAlignment="1">
      <alignment horizontal="center" vertical="center" wrapText="1"/>
    </xf>
    <xf numFmtId="0" fontId="7" fillId="0" borderId="15" xfId="0" applyFont="1" applyFill="1" applyBorder="1" applyAlignment="1">
      <alignment vertical="center" wrapText="1"/>
    </xf>
    <xf numFmtId="4" fontId="9" fillId="0" borderId="3" xfId="0" applyNumberFormat="1" applyFont="1" applyFill="1" applyBorder="1" applyAlignment="1">
      <alignment horizontal="right" vertical="center" wrapText="1"/>
    </xf>
    <xf numFmtId="0" fontId="22" fillId="0" borderId="3" xfId="0" applyFont="1" applyFill="1" applyBorder="1" applyAlignment="1">
      <alignment vertical="center" wrapText="1"/>
    </xf>
    <xf numFmtId="168" fontId="8" fillId="0" borderId="0" xfId="0" applyNumberFormat="1" applyFont="1" applyFill="1" applyAlignment="1">
      <alignment horizontal="right" vertical="center" wrapText="1"/>
    </xf>
    <xf numFmtId="168" fontId="7" fillId="0" borderId="6" xfId="1" applyNumberFormat="1" applyFont="1" applyFill="1" applyBorder="1" applyAlignment="1">
      <alignment horizontal="right" vertical="center" wrapText="1"/>
    </xf>
    <xf numFmtId="4" fontId="7" fillId="0" borderId="6" xfId="1" applyNumberFormat="1" applyFont="1" applyFill="1" applyBorder="1" applyAlignment="1">
      <alignment horizontal="right" vertical="center" wrapText="1"/>
    </xf>
    <xf numFmtId="168" fontId="9" fillId="0" borderId="3" xfId="0" applyNumberFormat="1" applyFont="1" applyFill="1" applyBorder="1" applyAlignment="1">
      <alignment horizontal="right" vertical="center" wrapText="1"/>
    </xf>
    <xf numFmtId="0" fontId="8" fillId="0" borderId="3" xfId="0" applyFont="1" applyFill="1" applyBorder="1" applyAlignment="1">
      <alignment vertical="top" wrapText="1"/>
    </xf>
    <xf numFmtId="4" fontId="8" fillId="0" borderId="3" xfId="0" applyNumberFormat="1" applyFont="1" applyFill="1" applyBorder="1" applyAlignment="1">
      <alignment horizontal="right" vertical="center" wrapText="1"/>
    </xf>
    <xf numFmtId="0" fontId="10" fillId="0" borderId="3" xfId="0" applyFont="1" applyFill="1" applyBorder="1" applyAlignment="1">
      <alignment vertical="center" wrapText="1"/>
    </xf>
    <xf numFmtId="0" fontId="24" fillId="0" borderId="15" xfId="16" applyFont="1" applyFill="1" applyBorder="1" applyAlignment="1">
      <alignment horizontal="center" vertical="center" wrapText="1"/>
    </xf>
    <xf numFmtId="0" fontId="23" fillId="0" borderId="3" xfId="16" applyFont="1" applyFill="1" applyBorder="1" applyAlignment="1">
      <alignment horizontal="center" vertical="center" wrapText="1"/>
    </xf>
    <xf numFmtId="0" fontId="1" fillId="0" borderId="3" xfId="16" applyFont="1" applyFill="1" applyBorder="1" applyAlignment="1">
      <alignment vertical="center" wrapText="1"/>
    </xf>
    <xf numFmtId="0" fontId="24" fillId="0" borderId="3" xfId="16" applyFont="1" applyFill="1" applyBorder="1" applyAlignment="1">
      <alignment horizontal="center" vertical="center" wrapText="1"/>
    </xf>
    <xf numFmtId="0" fontId="24" fillId="0" borderId="3" xfId="16" applyFont="1" applyFill="1" applyBorder="1" applyAlignment="1">
      <alignment horizontal="center" vertical="top" wrapText="1"/>
    </xf>
    <xf numFmtId="0" fontId="24" fillId="0" borderId="3" xfId="16" applyFont="1" applyFill="1" applyBorder="1" applyAlignment="1">
      <alignment horizontal="justify" vertical="top" wrapText="1"/>
    </xf>
    <xf numFmtId="14" fontId="24" fillId="0" borderId="3" xfId="16" applyNumberFormat="1" applyFont="1" applyFill="1" applyBorder="1" applyAlignment="1">
      <alignment horizontal="center" vertical="center" wrapText="1"/>
    </xf>
    <xf numFmtId="0" fontId="4" fillId="0" borderId="3" xfId="16" applyFont="1" applyFill="1" applyBorder="1" applyAlignment="1">
      <alignment horizontal="center" vertical="center" wrapText="1"/>
    </xf>
    <xf numFmtId="166" fontId="24" fillId="0" borderId="3" xfId="2" applyNumberFormat="1" applyFont="1" applyFill="1" applyBorder="1" applyAlignment="1">
      <alignment horizontal="right" vertical="center" wrapText="1"/>
    </xf>
    <xf numFmtId="168" fontId="24" fillId="0" borderId="3" xfId="2" applyNumberFormat="1" applyFont="1" applyFill="1" applyBorder="1" applyAlignment="1">
      <alignment horizontal="right" vertical="center" wrapText="1"/>
    </xf>
    <xf numFmtId="0" fontId="3" fillId="0" borderId="3" xfId="16" applyFont="1" applyFill="1" applyBorder="1" applyAlignment="1">
      <alignment vertical="center" wrapText="1"/>
    </xf>
    <xf numFmtId="0" fontId="8" fillId="0" borderId="0" xfId="0" applyFont="1" applyFill="1" applyAlignment="1">
      <alignment horizontal="left" vertical="center"/>
    </xf>
    <xf numFmtId="0" fontId="20" fillId="0" borderId="3" xfId="0" applyFont="1" applyFill="1" applyBorder="1" applyAlignment="1">
      <alignment horizontal="justify" vertical="top" wrapText="1"/>
    </xf>
    <xf numFmtId="0" fontId="7" fillId="0" borderId="3" xfId="0" applyFont="1" applyFill="1" applyBorder="1" applyAlignment="1">
      <alignment vertical="center" wrapText="1"/>
    </xf>
    <xf numFmtId="4" fontId="8" fillId="0" borderId="3" xfId="1" applyNumberFormat="1" applyFont="1" applyFill="1" applyBorder="1" applyAlignment="1">
      <alignment horizontal="right" vertical="center" wrapText="1"/>
    </xf>
    <xf numFmtId="0" fontId="9" fillId="0" borderId="3" xfId="0" applyFont="1" applyFill="1" applyBorder="1" applyAlignment="1">
      <alignment horizontal="left" vertical="center" wrapText="1"/>
    </xf>
    <xf numFmtId="0" fontId="8" fillId="0" borderId="0" xfId="0" applyFont="1" applyFill="1" applyAlignment="1">
      <alignment vertical="center" wrapText="1"/>
    </xf>
    <xf numFmtId="4" fontId="8" fillId="0" borderId="0" xfId="0" applyNumberFormat="1" applyFont="1" applyFill="1" applyAlignment="1">
      <alignment vertical="center" wrapText="1"/>
    </xf>
    <xf numFmtId="168" fontId="8" fillId="0" borderId="0" xfId="0" applyNumberFormat="1" applyFont="1" applyFill="1" applyAlignment="1">
      <alignment vertical="center" wrapText="1"/>
    </xf>
    <xf numFmtId="14" fontId="7" fillId="0" borderId="3" xfId="0" applyNumberFormat="1" applyFont="1" applyFill="1" applyBorder="1" applyAlignment="1">
      <alignment horizontal="right" vertical="center" wrapText="1"/>
    </xf>
    <xf numFmtId="0" fontId="7" fillId="0" borderId="3" xfId="0" applyFont="1" applyFill="1" applyBorder="1" applyAlignment="1">
      <alignment vertical="top" wrapText="1"/>
    </xf>
    <xf numFmtId="1" fontId="7" fillId="0" borderId="3"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8" fontId="7" fillId="0" borderId="15" xfId="0" applyNumberFormat="1" applyFont="1" applyFill="1" applyBorder="1" applyAlignment="1">
      <alignment horizontal="center" vertical="center" wrapText="1"/>
    </xf>
    <xf numFmtId="164" fontId="8" fillId="0" borderId="3" xfId="0" applyNumberFormat="1" applyFont="1" applyFill="1" applyBorder="1" applyAlignment="1">
      <alignment horizontal="center" vertical="center" wrapText="1"/>
    </xf>
    <xf numFmtId="2" fontId="7" fillId="0" borderId="15" xfId="0" applyNumberFormat="1" applyFont="1" applyFill="1" applyBorder="1" applyAlignment="1">
      <alignment horizontal="center" vertical="center" wrapText="1"/>
    </xf>
    <xf numFmtId="0" fontId="21" fillId="0" borderId="3" xfId="0" applyFont="1" applyFill="1" applyBorder="1" applyAlignment="1">
      <alignment horizontal="center" vertical="center" wrapText="1"/>
    </xf>
    <xf numFmtId="168" fontId="7" fillId="0" borderId="3" xfId="0" applyNumberFormat="1" applyFont="1" applyFill="1" applyBorder="1"/>
    <xf numFmtId="168" fontId="7" fillId="0" borderId="3" xfId="0" applyNumberFormat="1" applyFont="1" applyFill="1" applyBorder="1" applyAlignment="1">
      <alignment horizontal="center" vertical="center"/>
    </xf>
    <xf numFmtId="0" fontId="8" fillId="0" borderId="15" xfId="0" applyFont="1" applyFill="1" applyBorder="1" applyAlignment="1">
      <alignment vertical="center" wrapText="1"/>
    </xf>
    <xf numFmtId="0" fontId="20" fillId="0" borderId="3" xfId="0" applyFont="1" applyFill="1" applyBorder="1" applyAlignment="1">
      <alignment horizontal="left" vertical="center" wrapText="1"/>
    </xf>
    <xf numFmtId="0" fontId="10" fillId="0" borderId="3" xfId="0" applyFont="1" applyFill="1" applyBorder="1" applyAlignment="1">
      <alignment horizontal="center" vertical="center" wrapText="1"/>
    </xf>
    <xf numFmtId="0" fontId="8" fillId="0" borderId="5" xfId="0" applyFont="1" applyFill="1" applyBorder="1" applyAlignment="1">
      <alignment vertical="top" wrapText="1"/>
    </xf>
    <xf numFmtId="0" fontId="7" fillId="0" borderId="25"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5" fillId="0" borderId="3" xfId="0" applyFont="1" applyFill="1" applyBorder="1" applyAlignment="1">
      <alignment horizontal="center" vertical="center" wrapText="1"/>
    </xf>
    <xf numFmtId="0" fontId="9" fillId="0" borderId="14" xfId="0" applyFont="1" applyFill="1" applyBorder="1" applyAlignment="1">
      <alignment horizontal="center" vertical="center" wrapText="1"/>
    </xf>
    <xf numFmtId="168" fontId="8" fillId="0" borderId="3" xfId="0" applyNumberFormat="1" applyFont="1" applyFill="1" applyBorder="1" applyAlignment="1">
      <alignment horizontal="right" vertical="center" wrapText="1"/>
    </xf>
    <xf numFmtId="0" fontId="8" fillId="0" borderId="14" xfId="0" applyFont="1" applyFill="1" applyBorder="1" applyAlignment="1">
      <alignment horizontal="left" vertical="center" wrapText="1"/>
    </xf>
    <xf numFmtId="4" fontId="7" fillId="0" borderId="15" xfId="1" applyNumberFormat="1" applyFont="1" applyFill="1" applyBorder="1" applyAlignment="1">
      <alignment horizontal="right" vertical="center" wrapText="1"/>
    </xf>
    <xf numFmtId="0" fontId="7" fillId="0" borderId="5" xfId="0" applyFont="1" applyFill="1" applyBorder="1" applyAlignment="1">
      <alignment horizontal="left" vertical="center" wrapText="1"/>
    </xf>
    <xf numFmtId="164" fontId="7" fillId="0" borderId="3" xfId="0" applyNumberFormat="1" applyFont="1" applyFill="1" applyBorder="1" applyAlignment="1">
      <alignment horizontal="right" vertical="center" wrapText="1"/>
    </xf>
    <xf numFmtId="0" fontId="7" fillId="0" borderId="15" xfId="0"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4" fontId="7" fillId="0" borderId="3" xfId="0" applyNumberFormat="1" applyFont="1" applyFill="1" applyBorder="1" applyAlignment="1">
      <alignment horizontal="left" vertical="center" wrapText="1"/>
    </xf>
    <xf numFmtId="4" fontId="9" fillId="0" borderId="3" xfId="0" applyNumberFormat="1" applyFont="1" applyFill="1" applyBorder="1" applyAlignment="1">
      <alignment horizontal="center" vertical="center" wrapText="1"/>
    </xf>
    <xf numFmtId="4" fontId="7" fillId="0" borderId="3" xfId="0" applyNumberFormat="1" applyFont="1" applyFill="1" applyBorder="1" applyAlignment="1">
      <alignment horizontal="left" vertical="top" wrapText="1"/>
    </xf>
    <xf numFmtId="168" fontId="7" fillId="0" borderId="3" xfId="0" applyNumberFormat="1" applyFont="1" applyFill="1" applyBorder="1" applyAlignment="1">
      <alignment horizontal="center" vertical="center" wrapText="1"/>
    </xf>
    <xf numFmtId="4" fontId="8" fillId="0" borderId="0" xfId="0" applyNumberFormat="1" applyFont="1" applyFill="1" applyAlignment="1">
      <alignment horizontal="center" vertical="center" wrapText="1"/>
    </xf>
    <xf numFmtId="3" fontId="7" fillId="0" borderId="15"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 fontId="7" fillId="0" borderId="14" xfId="0" applyNumberFormat="1" applyFont="1" applyFill="1" applyBorder="1" applyAlignment="1">
      <alignment horizontal="left" vertical="center" wrapText="1"/>
    </xf>
    <xf numFmtId="0" fontId="18" fillId="0" borderId="0" xfId="0" applyFont="1" applyFill="1" applyAlignment="1">
      <alignment vertical="center" wrapText="1"/>
    </xf>
    <xf numFmtId="166" fontId="7" fillId="0" borderId="6" xfId="1" applyNumberFormat="1" applyFont="1" applyFill="1" applyBorder="1" applyAlignment="1">
      <alignment horizontal="right" vertical="center" wrapText="1"/>
    </xf>
    <xf numFmtId="0" fontId="8" fillId="0" borderId="0" xfId="0" applyFont="1" applyFill="1" applyAlignment="1">
      <alignment horizontal="left" vertical="center" wrapText="1"/>
    </xf>
    <xf numFmtId="3" fontId="9" fillId="0" borderId="3" xfId="1" applyNumberFormat="1" applyFont="1" applyFill="1" applyBorder="1" applyAlignment="1">
      <alignment horizontal="right" vertical="center" wrapText="1"/>
    </xf>
    <xf numFmtId="166" fontId="7" fillId="0" borderId="9" xfId="1" applyNumberFormat="1" applyFont="1" applyFill="1" applyBorder="1" applyAlignment="1">
      <alignment horizontal="right" vertical="center" wrapText="1"/>
    </xf>
    <xf numFmtId="166" fontId="7" fillId="0" borderId="15" xfId="1" applyNumberFormat="1" applyFont="1" applyFill="1" applyBorder="1" applyAlignment="1">
      <alignment horizontal="right" vertical="center" wrapText="1"/>
    </xf>
    <xf numFmtId="168" fontId="7" fillId="0" borderId="9" xfId="1" applyNumberFormat="1" applyFont="1" applyFill="1" applyBorder="1" applyAlignment="1">
      <alignment horizontal="right" vertical="center" wrapText="1"/>
    </xf>
    <xf numFmtId="14" fontId="8" fillId="0" borderId="3" xfId="0" applyNumberFormat="1" applyFont="1" applyFill="1" applyBorder="1" applyAlignment="1">
      <alignment horizontal="center" vertical="center" wrapText="1"/>
    </xf>
    <xf numFmtId="166" fontId="7" fillId="0" borderId="5" xfId="1" applyNumberFormat="1" applyFont="1" applyFill="1" applyBorder="1" applyAlignment="1">
      <alignment horizontal="right" vertical="center" wrapText="1"/>
    </xf>
    <xf numFmtId="4" fontId="7" fillId="0" borderId="26" xfId="0" applyNumberFormat="1" applyFont="1" applyFill="1" applyBorder="1" applyAlignment="1">
      <alignment horizontal="right" vertical="center" wrapText="1"/>
    </xf>
    <xf numFmtId="4" fontId="8" fillId="0" borderId="25" xfId="0" applyNumberFormat="1" applyFont="1" applyFill="1" applyBorder="1" applyAlignment="1">
      <alignment horizontal="right" vertical="center" wrapText="1"/>
    </xf>
    <xf numFmtId="4" fontId="8" fillId="0" borderId="26" xfId="0" applyNumberFormat="1" applyFont="1" applyFill="1" applyBorder="1" applyAlignment="1">
      <alignment horizontal="right" vertical="center" wrapText="1"/>
    </xf>
    <xf numFmtId="4" fontId="7" fillId="0" borderId="0" xfId="0" applyNumberFormat="1" applyFont="1" applyFill="1" applyAlignment="1">
      <alignment horizontal="right" vertical="center" wrapText="1"/>
    </xf>
    <xf numFmtId="4" fontId="7" fillId="0" borderId="6" xfId="0" applyNumberFormat="1" applyFont="1" applyFill="1" applyBorder="1" applyAlignment="1">
      <alignment horizontal="right" vertical="center" wrapText="1"/>
    </xf>
    <xf numFmtId="0" fontId="8" fillId="0" borderId="3" xfId="0" applyFont="1" applyFill="1" applyBorder="1" applyAlignment="1">
      <alignment horizontal="right" vertical="center" wrapText="1"/>
    </xf>
    <xf numFmtId="0" fontId="8" fillId="0" borderId="0" xfId="0" applyFont="1" applyFill="1" applyAlignment="1">
      <alignment horizontal="right" vertical="center" wrapText="1"/>
    </xf>
    <xf numFmtId="0" fontId="7" fillId="0" borderId="0" xfId="0" applyFont="1" applyFill="1" applyAlignment="1">
      <alignment horizontal="left" vertical="center"/>
    </xf>
    <xf numFmtId="166" fontId="7" fillId="0" borderId="3" xfId="0" applyNumberFormat="1" applyFont="1" applyFill="1" applyBorder="1" applyAlignment="1">
      <alignment vertical="center"/>
    </xf>
    <xf numFmtId="4" fontId="7" fillId="0" borderId="5" xfId="0" applyNumberFormat="1" applyFont="1" applyFill="1" applyBorder="1" applyAlignment="1">
      <alignment horizontal="right" vertical="center" wrapText="1"/>
    </xf>
    <xf numFmtId="4" fontId="8" fillId="0" borderId="3" xfId="0" applyNumberFormat="1" applyFont="1" applyFill="1" applyBorder="1" applyAlignment="1">
      <alignment vertical="center" wrapText="1"/>
    </xf>
    <xf numFmtId="2" fontId="9" fillId="0" borderId="3" xfId="0" applyNumberFormat="1" applyFont="1" applyFill="1" applyBorder="1" applyAlignment="1">
      <alignment horizontal="right" vertical="center" wrapText="1"/>
    </xf>
    <xf numFmtId="0" fontId="7" fillId="0" borderId="3" xfId="0" applyFont="1" applyFill="1" applyBorder="1" applyAlignment="1">
      <alignment horizontal="left" vertical="center" wrapText="1" indent="1"/>
    </xf>
    <xf numFmtId="37" fontId="7" fillId="0" borderId="3" xfId="0" applyNumberFormat="1" applyFont="1" applyFill="1" applyBorder="1" applyAlignment="1">
      <alignment horizontal="right" vertical="center" wrapText="1"/>
    </xf>
    <xf numFmtId="166" fontId="7" fillId="0" borderId="4" xfId="0" applyNumberFormat="1" applyFont="1" applyFill="1" applyBorder="1" applyAlignment="1">
      <alignment horizontal="right" vertical="center" wrapText="1"/>
    </xf>
    <xf numFmtId="4" fontId="7" fillId="0" borderId="5" xfId="1"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wrapText="1"/>
    </xf>
    <xf numFmtId="166" fontId="7" fillId="0" borderId="3" xfId="0" applyNumberFormat="1" applyFont="1" applyFill="1" applyBorder="1"/>
    <xf numFmtId="4" fontId="7" fillId="0" borderId="7" xfId="0" applyNumberFormat="1" applyFont="1" applyFill="1" applyBorder="1" applyAlignment="1">
      <alignment horizontal="right" vertical="center" wrapText="1"/>
    </xf>
    <xf numFmtId="166" fontId="8" fillId="0" borderId="3" xfId="0" applyNumberFormat="1" applyFont="1" applyFill="1" applyBorder="1" applyAlignment="1">
      <alignment horizontal="right" vertical="center" wrapText="1"/>
    </xf>
    <xf numFmtId="166" fontId="8" fillId="0" borderId="3" xfId="0" applyNumberFormat="1" applyFont="1" applyFill="1" applyBorder="1" applyAlignment="1">
      <alignment horizontal="right" vertical="center"/>
    </xf>
    <xf numFmtId="166" fontId="8" fillId="0" borderId="3" xfId="0" applyNumberFormat="1" applyFont="1" applyFill="1" applyBorder="1" applyAlignment="1">
      <alignment horizontal="center" vertical="center"/>
    </xf>
    <xf numFmtId="0" fontId="17" fillId="0" borderId="0" xfId="0" applyFont="1" applyFill="1"/>
    <xf numFmtId="0" fontId="7" fillId="0" borderId="3" xfId="0" applyFont="1" applyFill="1" applyBorder="1" applyAlignment="1">
      <alignment horizontal="left" vertical="justify" wrapText="1"/>
    </xf>
    <xf numFmtId="0" fontId="9" fillId="0" borderId="3" xfId="0" applyFont="1" applyFill="1" applyBorder="1" applyAlignment="1">
      <alignment horizontal="center" vertical="center"/>
    </xf>
    <xf numFmtId="49" fontId="8" fillId="0" borderId="3" xfId="0" applyNumberFormat="1" applyFont="1" applyFill="1" applyBorder="1" applyAlignment="1">
      <alignment horizontal="right" vertical="center" wrapText="1"/>
    </xf>
    <xf numFmtId="4" fontId="7" fillId="0" borderId="11" xfId="0" applyNumberFormat="1" applyFont="1" applyFill="1" applyBorder="1" applyAlignment="1">
      <alignment horizontal="right" vertical="center" wrapText="1"/>
    </xf>
    <xf numFmtId="0" fontId="8" fillId="0" borderId="3" xfId="4" applyFont="1" applyFill="1" applyBorder="1" applyAlignment="1">
      <alignment vertical="center" wrapText="1"/>
    </xf>
    <xf numFmtId="0" fontId="7" fillId="0" borderId="3" xfId="0" applyNumberFormat="1" applyFont="1" applyFill="1" applyBorder="1" applyAlignment="1">
      <alignment horizontal="right" vertical="center" wrapText="1"/>
    </xf>
    <xf numFmtId="4" fontId="7" fillId="0" borderId="10" xfId="0" applyNumberFormat="1" applyFont="1" applyFill="1" applyBorder="1" applyAlignment="1">
      <alignment horizontal="right" vertical="center" wrapText="1"/>
    </xf>
    <xf numFmtId="0" fontId="10" fillId="0" borderId="19" xfId="0" applyFont="1" applyFill="1" applyBorder="1" applyAlignment="1">
      <alignment horizontal="center" vertical="center" wrapText="1"/>
    </xf>
    <xf numFmtId="0" fontId="8" fillId="0" borderId="3" xfId="0" applyFont="1" applyFill="1" applyBorder="1" applyAlignment="1">
      <alignment horizontal="right"/>
    </xf>
    <xf numFmtId="168" fontId="8" fillId="0" borderId="0" xfId="0" applyNumberFormat="1" applyFont="1" applyFill="1" applyAlignment="1">
      <alignment vertical="center"/>
    </xf>
    <xf numFmtId="0" fontId="8" fillId="0" borderId="4" xfId="0" applyFont="1" applyFill="1" applyBorder="1" applyAlignment="1">
      <alignment horizontal="center" vertical="center" wrapText="1"/>
    </xf>
    <xf numFmtId="0" fontId="8" fillId="0" borderId="3" xfId="0" applyFont="1" applyFill="1" applyBorder="1"/>
    <xf numFmtId="0" fontId="8" fillId="0" borderId="5" xfId="0" applyFont="1" applyFill="1" applyBorder="1" applyAlignment="1">
      <alignment horizontal="center" vertical="center" wrapText="1"/>
    </xf>
    <xf numFmtId="0" fontId="7" fillId="0" borderId="5" xfId="0" applyFont="1" applyFill="1" applyBorder="1" applyAlignment="1">
      <alignment horizontal="justify" vertical="top" wrapText="1"/>
    </xf>
    <xf numFmtId="0" fontId="8" fillId="0" borderId="18" xfId="0" applyFont="1" applyFill="1" applyBorder="1" applyAlignment="1">
      <alignment vertical="center" wrapText="1"/>
    </xf>
    <xf numFmtId="0" fontId="8" fillId="0" borderId="22" xfId="0" applyFont="1" applyFill="1" applyBorder="1" applyAlignment="1">
      <alignment horizontal="center" vertical="center" wrapText="1"/>
    </xf>
    <xf numFmtId="168" fontId="7" fillId="0" borderId="3" xfId="0" applyNumberFormat="1" applyFont="1" applyFill="1" applyBorder="1" applyAlignment="1">
      <alignment horizontal="right" vertical="center"/>
    </xf>
    <xf numFmtId="4" fontId="7" fillId="0" borderId="0" xfId="0" applyNumberFormat="1" applyFont="1" applyFill="1" applyAlignment="1">
      <alignment horizontal="right" vertical="center"/>
    </xf>
    <xf numFmtId="0" fontId="7" fillId="0" borderId="15" xfId="4" applyFont="1" applyFill="1" applyBorder="1" applyAlignment="1">
      <alignment horizontal="center" vertical="center" wrapText="1"/>
    </xf>
    <xf numFmtId="0" fontId="9" fillId="0" borderId="3" xfId="4" applyFont="1" applyFill="1" applyBorder="1" applyAlignment="1">
      <alignment horizontal="center" vertical="center" wrapText="1"/>
    </xf>
    <xf numFmtId="0" fontId="7" fillId="0" borderId="3" xfId="4" applyFont="1" applyFill="1" applyBorder="1" applyAlignment="1">
      <alignment horizontal="justify" vertical="top" wrapText="1"/>
    </xf>
    <xf numFmtId="0" fontId="8" fillId="0" borderId="3" xfId="4" applyFont="1" applyFill="1" applyBorder="1" applyAlignment="1">
      <alignment horizontal="center" vertical="center" wrapText="1"/>
    </xf>
    <xf numFmtId="14" fontId="8" fillId="0" borderId="3" xfId="0" applyNumberFormat="1" applyFont="1" applyFill="1" applyBorder="1" applyAlignment="1">
      <alignment horizontal="left" vertical="center" wrapText="1"/>
    </xf>
    <xf numFmtId="4" fontId="7" fillId="0" borderId="1" xfId="0" applyNumberFormat="1" applyFont="1" applyFill="1" applyBorder="1" applyAlignment="1">
      <alignment vertical="center" wrapText="1"/>
    </xf>
    <xf numFmtId="166" fontId="8" fillId="0" borderId="18" xfId="0" applyNumberFormat="1" applyFont="1" applyFill="1" applyBorder="1" applyAlignment="1">
      <alignment vertical="center"/>
    </xf>
    <xf numFmtId="166" fontId="8" fillId="0" borderId="3" xfId="0" applyNumberFormat="1" applyFont="1" applyFill="1" applyBorder="1" applyAlignment="1">
      <alignment horizontal="center" vertical="center" wrapText="1"/>
    </xf>
    <xf numFmtId="0" fontId="10" fillId="0" borderId="3" xfId="0" applyFont="1" applyFill="1" applyBorder="1" applyAlignment="1">
      <alignment wrapText="1"/>
    </xf>
    <xf numFmtId="0" fontId="7" fillId="0" borderId="3" xfId="0" applyFont="1" applyFill="1" applyBorder="1" applyAlignment="1">
      <alignment horizontal="left" wrapText="1"/>
    </xf>
    <xf numFmtId="0" fontId="10" fillId="0" borderId="0" xfId="0" applyFont="1" applyFill="1" applyAlignment="1">
      <alignment vertical="center" wrapText="1"/>
    </xf>
    <xf numFmtId="0" fontId="8" fillId="0" borderId="3" xfId="0" applyFont="1" applyFill="1" applyBorder="1" applyAlignment="1">
      <alignment horizontal="left" vertical="top" wrapText="1"/>
    </xf>
    <xf numFmtId="0" fontId="7" fillId="0" borderId="21"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8" fillId="0" borderId="6" xfId="0" applyFont="1" applyFill="1" applyBorder="1" applyAlignment="1">
      <alignment vertical="center" wrapText="1"/>
    </xf>
    <xf numFmtId="0" fontId="8" fillId="0" borderId="21" xfId="0" applyFont="1" applyFill="1" applyBorder="1" applyAlignment="1">
      <alignment horizontal="center" vertical="center" wrapText="1"/>
    </xf>
    <xf numFmtId="0" fontId="7" fillId="0" borderId="6" xfId="0" applyFont="1" applyFill="1" applyBorder="1" applyAlignment="1">
      <alignment horizontal="justify" vertical="top" wrapText="1"/>
    </xf>
    <xf numFmtId="14" fontId="7" fillId="0" borderId="6"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6" xfId="0" applyFont="1" applyFill="1" applyBorder="1" applyAlignment="1">
      <alignment horizontal="center" vertical="center"/>
    </xf>
    <xf numFmtId="166" fontId="7" fillId="0" borderId="6" xfId="0" applyNumberFormat="1" applyFont="1" applyFill="1" applyBorder="1" applyAlignment="1">
      <alignment horizontal="right" vertical="center" wrapText="1"/>
    </xf>
    <xf numFmtId="14" fontId="8" fillId="0" borderId="6" xfId="0" applyNumberFormat="1" applyFont="1" applyFill="1" applyBorder="1" applyAlignment="1">
      <alignment horizontal="right" vertical="center" wrapText="1"/>
    </xf>
    <xf numFmtId="4" fontId="8" fillId="0" borderId="3" xfId="0" applyNumberFormat="1" applyFont="1" applyFill="1" applyBorder="1" applyAlignment="1">
      <alignment horizontal="right" vertical="center"/>
    </xf>
    <xf numFmtId="4" fontId="8" fillId="0" borderId="5" xfId="0" applyNumberFormat="1" applyFont="1" applyFill="1" applyBorder="1" applyAlignment="1">
      <alignment vertical="center"/>
    </xf>
    <xf numFmtId="14" fontId="8" fillId="0" borderId="5" xfId="0"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xf>
    <xf numFmtId="0" fontId="7" fillId="0" borderId="15" xfId="0" applyFont="1" applyFill="1" applyBorder="1" applyAlignment="1">
      <alignment horizontal="left" vertical="top" wrapText="1"/>
    </xf>
    <xf numFmtId="166" fontId="19" fillId="0" borderId="3" xfId="1" applyNumberFormat="1" applyFont="1" applyFill="1" applyBorder="1" applyAlignment="1">
      <alignment horizontal="right" vertical="center" wrapText="1"/>
    </xf>
    <xf numFmtId="168" fontId="19" fillId="0" borderId="3" xfId="1" applyNumberFormat="1" applyFont="1" applyFill="1" applyBorder="1" applyAlignment="1">
      <alignment horizontal="right" vertical="center" wrapText="1"/>
    </xf>
    <xf numFmtId="0" fontId="2" fillId="0" borderId="0" xfId="0" applyFont="1" applyFill="1" applyAlignment="1">
      <alignment horizontal="center" vertical="center"/>
    </xf>
    <xf numFmtId="0" fontId="8" fillId="0" borderId="0" xfId="0" applyFont="1" applyFill="1" applyAlignment="1">
      <alignment horizontal="center" wrapText="1"/>
    </xf>
    <xf numFmtId="0" fontId="8" fillId="0" borderId="0" xfId="0" applyFont="1" applyFill="1" applyAlignment="1">
      <alignment horizontal="center"/>
    </xf>
    <xf numFmtId="168" fontId="8" fillId="0" borderId="0" xfId="0" applyNumberFormat="1" applyFont="1" applyFill="1"/>
    <xf numFmtId="0" fontId="26" fillId="0" borderId="0" xfId="0" applyFont="1"/>
    <xf numFmtId="0" fontId="9" fillId="2" borderId="23"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23" fillId="2" borderId="1" xfId="0" applyFont="1" applyFill="1" applyBorder="1" applyAlignment="1">
      <alignment horizontal="center" vertical="center" wrapText="1"/>
    </xf>
    <xf numFmtId="4" fontId="9" fillId="2" borderId="8" xfId="0" applyNumberFormat="1" applyFont="1" applyFill="1" applyBorder="1" applyAlignment="1">
      <alignment horizontal="center" vertical="center" wrapText="1"/>
    </xf>
    <xf numFmtId="4" fontId="9" fillId="2" borderId="12" xfId="0" applyNumberFormat="1"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3" xfId="0" applyFont="1" applyFill="1" applyBorder="1" applyAlignment="1">
      <alignment horizontal="center" vertical="center" wrapText="1"/>
    </xf>
    <xf numFmtId="4" fontId="9" fillId="2" borderId="1" xfId="0" applyNumberFormat="1" applyFont="1" applyFill="1" applyBorder="1" applyAlignment="1">
      <alignment vertical="center" wrapText="1"/>
    </xf>
    <xf numFmtId="4" fontId="9" fillId="2" borderId="1" xfId="0" applyNumberFormat="1" applyFont="1" applyFill="1" applyBorder="1" applyAlignment="1">
      <alignment vertical="center" wrapText="1"/>
    </xf>
    <xf numFmtId="3" fontId="9" fillId="2" borderId="1" xfId="0" applyNumberFormat="1" applyFont="1" applyFill="1" applyBorder="1" applyAlignment="1">
      <alignment vertical="center" wrapText="1"/>
    </xf>
    <xf numFmtId="4" fontId="9" fillId="2" borderId="8" xfId="0" applyNumberFormat="1" applyFont="1" applyFill="1" applyBorder="1" applyAlignment="1">
      <alignment vertical="center" wrapText="1"/>
    </xf>
    <xf numFmtId="0" fontId="9" fillId="2" borderId="2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3" xfId="0" applyFont="1" applyFill="1" applyBorder="1" applyAlignment="1">
      <alignment horizontal="left" vertical="center" wrapText="1"/>
    </xf>
    <xf numFmtId="0" fontId="23" fillId="2" borderId="3" xfId="0" applyFont="1" applyFill="1" applyBorder="1" applyAlignment="1">
      <alignment horizontal="center" vertical="center" wrapText="1"/>
    </xf>
    <xf numFmtId="4" fontId="9" fillId="2" borderId="9" xfId="0" applyNumberFormat="1" applyFont="1" applyFill="1" applyBorder="1" applyAlignment="1">
      <alignment horizontal="center" vertical="center" wrapText="1"/>
    </xf>
    <xf numFmtId="4" fontId="9" fillId="2" borderId="14" xfId="0" applyNumberFormat="1"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4" fontId="9" fillId="2" borderId="3" xfId="0" applyNumberFormat="1" applyFont="1" applyFill="1" applyBorder="1" applyAlignment="1">
      <alignment vertical="center" wrapText="1"/>
    </xf>
    <xf numFmtId="4" fontId="9" fillId="2" borderId="3" xfId="0" applyNumberFormat="1" applyFont="1" applyFill="1" applyBorder="1" applyAlignment="1">
      <alignment vertical="center" wrapText="1"/>
    </xf>
    <xf numFmtId="4" fontId="9" fillId="2" borderId="6" xfId="0" applyNumberFormat="1" applyFont="1" applyFill="1" applyBorder="1" applyAlignment="1">
      <alignment vertical="center" wrapText="1"/>
    </xf>
    <xf numFmtId="3" fontId="9" fillId="2" borderId="3" xfId="0" applyNumberFormat="1" applyFont="1" applyFill="1" applyBorder="1" applyAlignment="1">
      <alignment vertical="center" wrapText="1"/>
    </xf>
    <xf numFmtId="0" fontId="9" fillId="2" borderId="16"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5" xfId="0" applyFont="1" applyFill="1" applyBorder="1" applyAlignment="1">
      <alignment horizontal="center" vertical="center" wrapText="1"/>
    </xf>
    <xf numFmtId="168" fontId="9" fillId="2" borderId="3" xfId="0" applyNumberFormat="1" applyFont="1" applyFill="1" applyBorder="1" applyAlignment="1">
      <alignment vertical="center" wrapText="1"/>
    </xf>
    <xf numFmtId="4" fontId="9" fillId="2" borderId="20" xfId="0" applyNumberFormat="1" applyFont="1" applyFill="1" applyBorder="1" applyAlignment="1">
      <alignment vertical="center" wrapText="1"/>
    </xf>
  </cellXfs>
  <cellStyles count="17">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5" xfId="15" xr:uid="{00000000-0005-0000-0000-00000F000000}"/>
    <cellStyle name="Normal 6" xfId="16" xr:uid="{00000000-0005-0000-0000-000010000000}"/>
  </cellStyles>
  <dxfs count="0"/>
  <tableStyles count="0" defaultTableStyle="TableStyleMedium2" defaultPivotStyle="PivotStyleLight16"/>
  <colors>
    <mruColors>
      <color rgb="FFFFCCFF"/>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605"/>
  <sheetViews>
    <sheetView tabSelected="1" zoomScale="65" zoomScaleNormal="65" workbookViewId="0">
      <pane ySplit="1" topLeftCell="A2" activePane="bottomLeft" state="frozen"/>
      <selection pane="bottomLeft" activeCell="W4" sqref="W4"/>
    </sheetView>
  </sheetViews>
  <sheetFormatPr defaultColWidth="9.140625" defaultRowHeight="15.75" x14ac:dyDescent="0.25"/>
  <cols>
    <col min="1" max="1" width="7" style="12" customWidth="1"/>
    <col min="2" max="2" width="12.85546875" style="12" customWidth="1"/>
    <col min="3" max="3" width="13.7109375" style="26" customWidth="1"/>
    <col min="4" max="4" width="14.28515625" style="12" customWidth="1"/>
    <col min="5" max="5" width="18.5703125" style="12" customWidth="1"/>
    <col min="6" max="6" width="25.5703125" style="22" customWidth="1"/>
    <col min="7" max="7" width="26" style="222" customWidth="1"/>
    <col min="8" max="8" width="23.85546875" style="223" customWidth="1"/>
    <col min="9" max="9" width="135.85546875" style="12" customWidth="1"/>
    <col min="10" max="10" width="20.5703125" style="224" customWidth="1"/>
    <col min="11" max="11" width="20" style="224" customWidth="1"/>
    <col min="12" max="12" width="24.28515625" style="224" customWidth="1"/>
    <col min="13" max="13" width="24.42578125" style="224" customWidth="1"/>
    <col min="14" max="14" width="31.85546875" style="224" customWidth="1"/>
    <col min="15" max="15" width="20.140625" style="224" customWidth="1"/>
    <col min="16" max="16" width="17" style="224" customWidth="1"/>
    <col min="17" max="17" width="29.140625" style="224" customWidth="1"/>
    <col min="18" max="18" width="26" style="12" customWidth="1"/>
    <col min="19" max="19" width="24.7109375" style="12" customWidth="1"/>
    <col min="20" max="20" width="21.85546875" style="12" customWidth="1"/>
    <col min="21" max="21" width="23.42578125" style="12" customWidth="1"/>
    <col min="22" max="22" width="24" style="225" customWidth="1"/>
    <col min="23" max="23" width="22.5703125" style="225" customWidth="1"/>
    <col min="24" max="24" width="25.140625" style="12" customWidth="1"/>
    <col min="25" max="25" width="19.42578125" style="12" customWidth="1"/>
    <col min="26" max="26" width="19.85546875" style="12" customWidth="1"/>
    <col min="27" max="27" width="19.5703125" style="12" customWidth="1"/>
    <col min="28" max="28" width="20" style="12" customWidth="1"/>
    <col min="29" max="29" width="13.42578125" style="12" customWidth="1"/>
    <col min="30" max="30" width="29" style="12" customWidth="1"/>
    <col min="31" max="31" width="18.85546875" style="12" customWidth="1"/>
    <col min="32" max="32" width="21.85546875" style="12" customWidth="1"/>
    <col min="33" max="33" width="27.7109375" style="12" customWidth="1"/>
    <col min="34" max="34" width="25" style="72" customWidth="1"/>
    <col min="35" max="35" width="23.28515625" style="12" customWidth="1"/>
    <col min="36" max="36" width="22.42578125" style="12" bestFit="1" customWidth="1"/>
    <col min="37" max="40" width="9.140625" style="12"/>
    <col min="41" max="41" width="10" style="12" bestFit="1" customWidth="1"/>
    <col min="42" max="16384" width="9.140625" style="12"/>
  </cols>
  <sheetData>
    <row r="1" spans="1:37 16382:16382" ht="89.25" customHeight="1" x14ac:dyDescent="0.25">
      <c r="A1" s="227" t="s">
        <v>0</v>
      </c>
      <c r="B1" s="228" t="s">
        <v>375</v>
      </c>
      <c r="C1" s="229" t="s">
        <v>1389</v>
      </c>
      <c r="D1" s="229" t="s">
        <v>8</v>
      </c>
      <c r="E1" s="229" t="s">
        <v>142</v>
      </c>
      <c r="F1" s="230" t="s">
        <v>1</v>
      </c>
      <c r="G1" s="231" t="s">
        <v>14</v>
      </c>
      <c r="H1" s="228" t="s">
        <v>156</v>
      </c>
      <c r="I1" s="229" t="s">
        <v>16</v>
      </c>
      <c r="J1" s="229" t="s">
        <v>15</v>
      </c>
      <c r="K1" s="229" t="s">
        <v>17</v>
      </c>
      <c r="L1" s="229" t="s">
        <v>18</v>
      </c>
      <c r="M1" s="229" t="s">
        <v>2</v>
      </c>
      <c r="N1" s="229" t="s">
        <v>19</v>
      </c>
      <c r="O1" s="229" t="s">
        <v>3</v>
      </c>
      <c r="P1" s="229" t="s">
        <v>4</v>
      </c>
      <c r="Q1" s="229" t="s">
        <v>20</v>
      </c>
      <c r="R1" s="232" t="s">
        <v>9</v>
      </c>
      <c r="S1" s="233"/>
      <c r="T1" s="233"/>
      <c r="U1" s="233"/>
      <c r="V1" s="233"/>
      <c r="W1" s="233"/>
      <c r="X1" s="233"/>
      <c r="Y1" s="234"/>
      <c r="Z1" s="234"/>
      <c r="AA1" s="235"/>
      <c r="AB1" s="236" t="s">
        <v>4</v>
      </c>
      <c r="AC1" s="236"/>
      <c r="AD1" s="237" t="s">
        <v>139</v>
      </c>
      <c r="AE1" s="238"/>
      <c r="AF1" s="237" t="s">
        <v>5</v>
      </c>
      <c r="AG1" s="239" t="s">
        <v>13</v>
      </c>
      <c r="AH1" s="239" t="s">
        <v>6</v>
      </c>
      <c r="AI1" s="237" t="s">
        <v>22</v>
      </c>
      <c r="AJ1" s="240"/>
    </row>
    <row r="2" spans="1:37 16382:16382" ht="15.75" customHeight="1" x14ac:dyDescent="0.25">
      <c r="A2" s="241"/>
      <c r="B2" s="242"/>
      <c r="C2" s="243"/>
      <c r="D2" s="243"/>
      <c r="E2" s="243"/>
      <c r="F2" s="244"/>
      <c r="G2" s="245"/>
      <c r="H2" s="242"/>
      <c r="I2" s="243"/>
      <c r="J2" s="243"/>
      <c r="K2" s="243"/>
      <c r="L2" s="243"/>
      <c r="M2" s="243"/>
      <c r="N2" s="243"/>
      <c r="O2" s="243"/>
      <c r="P2" s="243"/>
      <c r="Q2" s="243"/>
      <c r="R2" s="246" t="s">
        <v>10</v>
      </c>
      <c r="S2" s="247"/>
      <c r="T2" s="247"/>
      <c r="U2" s="247"/>
      <c r="V2" s="248"/>
      <c r="W2" s="249"/>
      <c r="X2" s="250" t="s">
        <v>12</v>
      </c>
      <c r="Y2" s="251"/>
      <c r="Z2" s="251"/>
      <c r="AA2" s="252" t="s">
        <v>21</v>
      </c>
      <c r="AB2" s="251"/>
      <c r="AC2" s="251"/>
      <c r="AD2" s="250"/>
      <c r="AE2" s="250" t="s">
        <v>1700</v>
      </c>
      <c r="AF2" s="250"/>
      <c r="AG2" s="253"/>
      <c r="AH2" s="253"/>
      <c r="AI2" s="250" t="s">
        <v>7</v>
      </c>
      <c r="AJ2" s="250" t="s">
        <v>23</v>
      </c>
    </row>
    <row r="3" spans="1:37 16382:16382" ht="36.75" customHeight="1" thickBot="1" x14ac:dyDescent="0.3">
      <c r="A3" s="254"/>
      <c r="B3" s="255"/>
      <c r="C3" s="243"/>
      <c r="D3" s="243"/>
      <c r="E3" s="243"/>
      <c r="F3" s="244"/>
      <c r="G3" s="245"/>
      <c r="H3" s="256"/>
      <c r="I3" s="243"/>
      <c r="J3" s="243"/>
      <c r="K3" s="243"/>
      <c r="L3" s="243"/>
      <c r="M3" s="243"/>
      <c r="N3" s="243"/>
      <c r="O3" s="243"/>
      <c r="P3" s="243"/>
      <c r="Q3" s="243"/>
      <c r="R3" s="251" t="s">
        <v>7</v>
      </c>
      <c r="S3" s="251" t="s">
        <v>150</v>
      </c>
      <c r="T3" s="251" t="s">
        <v>149</v>
      </c>
      <c r="U3" s="251" t="s">
        <v>11</v>
      </c>
      <c r="V3" s="257" t="s">
        <v>150</v>
      </c>
      <c r="W3" s="257" t="s">
        <v>149</v>
      </c>
      <c r="X3" s="250"/>
      <c r="Y3" s="251" t="s">
        <v>150</v>
      </c>
      <c r="Z3" s="251" t="s">
        <v>149</v>
      </c>
      <c r="AA3" s="258"/>
      <c r="AB3" s="251" t="s">
        <v>150</v>
      </c>
      <c r="AC3" s="251" t="s">
        <v>149</v>
      </c>
      <c r="AD3" s="250"/>
      <c r="AE3" s="250"/>
      <c r="AF3" s="250"/>
      <c r="AG3" s="253"/>
      <c r="AH3" s="253"/>
      <c r="AI3" s="250"/>
      <c r="AJ3" s="250"/>
    </row>
    <row r="4" spans="1:37 16382:16382" s="51" customFormat="1" ht="178.5" customHeight="1" x14ac:dyDescent="0.25">
      <c r="A4" s="37">
        <f>1</f>
        <v>1</v>
      </c>
      <c r="B4" s="38">
        <v>110755</v>
      </c>
      <c r="C4" s="39">
        <v>121</v>
      </c>
      <c r="D4" s="40" t="s">
        <v>1985</v>
      </c>
      <c r="E4" s="24" t="s">
        <v>278</v>
      </c>
      <c r="F4" s="8" t="s">
        <v>213</v>
      </c>
      <c r="G4" s="39" t="s">
        <v>214</v>
      </c>
      <c r="H4" s="39" t="s">
        <v>151</v>
      </c>
      <c r="I4" s="41" t="s">
        <v>2014</v>
      </c>
      <c r="J4" s="42">
        <v>43145</v>
      </c>
      <c r="K4" s="42">
        <v>43630</v>
      </c>
      <c r="L4" s="43">
        <f t="shared" ref="L4:L76" si="0">R4/AD4*100</f>
        <v>84.999999517641427</v>
      </c>
      <c r="M4" s="39">
        <v>7</v>
      </c>
      <c r="N4" s="39" t="s">
        <v>222</v>
      </c>
      <c r="O4" s="39" t="s">
        <v>217</v>
      </c>
      <c r="P4" s="27" t="s">
        <v>174</v>
      </c>
      <c r="Q4" s="5" t="s">
        <v>34</v>
      </c>
      <c r="R4" s="44">
        <f t="shared" ref="R4:R6" si="1">S4+T4</f>
        <v>352434.92</v>
      </c>
      <c r="S4" s="45">
        <v>352434.92</v>
      </c>
      <c r="T4" s="44">
        <v>0</v>
      </c>
      <c r="U4" s="46">
        <f t="shared" ref="U4:U74" si="2">V4+W4</f>
        <v>53844.59</v>
      </c>
      <c r="V4" s="47">
        <v>53844.59</v>
      </c>
      <c r="W4" s="48">
        <v>0</v>
      </c>
      <c r="X4" s="46">
        <f t="shared" ref="X4" si="3">Y4+Z4</f>
        <v>8349.81</v>
      </c>
      <c r="Y4" s="45">
        <v>8349.81</v>
      </c>
      <c r="Z4" s="46">
        <v>0</v>
      </c>
      <c r="AA4" s="44">
        <f>AB4+AC4</f>
        <v>0</v>
      </c>
      <c r="AB4" s="44">
        <v>0</v>
      </c>
      <c r="AC4" s="44">
        <v>0</v>
      </c>
      <c r="AD4" s="44">
        <f>R4+U4+X4+AA4</f>
        <v>414629.32</v>
      </c>
      <c r="AE4" s="44">
        <v>0</v>
      </c>
      <c r="AF4" s="44">
        <f t="shared" ref="AF4:AF44" si="4">AD4+AE4</f>
        <v>414629.32</v>
      </c>
      <c r="AG4" s="49" t="s">
        <v>966</v>
      </c>
      <c r="AH4" s="50" t="s">
        <v>151</v>
      </c>
      <c r="AI4" s="25">
        <v>327238.19</v>
      </c>
      <c r="AJ4" s="25">
        <v>49995.08</v>
      </c>
      <c r="AK4" s="52"/>
      <c r="XFB4" s="51">
        <f>SUM(A4:XFA4)</f>
        <v>2233494.5499995179</v>
      </c>
    </row>
    <row r="5" spans="1:37 16382:16382" ht="164.25" customHeight="1" x14ac:dyDescent="0.25">
      <c r="A5" s="5">
        <f>A4+1</f>
        <v>2</v>
      </c>
      <c r="B5" s="5">
        <v>109854</v>
      </c>
      <c r="C5" s="5">
        <v>116</v>
      </c>
      <c r="D5" s="40" t="s">
        <v>1985</v>
      </c>
      <c r="E5" s="17" t="s">
        <v>278</v>
      </c>
      <c r="F5" s="8" t="s">
        <v>302</v>
      </c>
      <c r="G5" s="5" t="s">
        <v>1852</v>
      </c>
      <c r="H5" s="34" t="s">
        <v>1852</v>
      </c>
      <c r="I5" s="41" t="s">
        <v>305</v>
      </c>
      <c r="J5" s="2">
        <v>43186</v>
      </c>
      <c r="K5" s="2">
        <v>43551</v>
      </c>
      <c r="L5" s="16">
        <f t="shared" si="0"/>
        <v>85.000000944809514</v>
      </c>
      <c r="M5" s="5">
        <v>7</v>
      </c>
      <c r="N5" s="5" t="s">
        <v>222</v>
      </c>
      <c r="O5" s="5" t="s">
        <v>303</v>
      </c>
      <c r="P5" s="3" t="s">
        <v>174</v>
      </c>
      <c r="Q5" s="5" t="s">
        <v>34</v>
      </c>
      <c r="R5" s="4">
        <f t="shared" si="1"/>
        <v>359860.9</v>
      </c>
      <c r="S5" s="9">
        <v>359860.9</v>
      </c>
      <c r="T5" s="9">
        <v>0</v>
      </c>
      <c r="U5" s="4">
        <f t="shared" si="2"/>
        <v>55037.54</v>
      </c>
      <c r="V5" s="53">
        <v>55037.54</v>
      </c>
      <c r="W5" s="53">
        <v>0</v>
      </c>
      <c r="X5" s="4">
        <f>Y5+Z5</f>
        <v>8467.32</v>
      </c>
      <c r="Y5" s="9">
        <v>8467.32</v>
      </c>
      <c r="Z5" s="9">
        <v>0</v>
      </c>
      <c r="AA5" s="9">
        <f t="shared" ref="AA5:AA11" si="5">AB5+AC5</f>
        <v>0</v>
      </c>
      <c r="AB5" s="9">
        <v>0</v>
      </c>
      <c r="AC5" s="9">
        <v>0</v>
      </c>
      <c r="AD5" s="44">
        <f t="shared" ref="AD5:AD68" si="6">R5+U5+X5+AA5</f>
        <v>423365.76</v>
      </c>
      <c r="AE5" s="9">
        <v>0</v>
      </c>
      <c r="AF5" s="9">
        <f t="shared" si="4"/>
        <v>423365.76</v>
      </c>
      <c r="AG5" s="49" t="s">
        <v>966</v>
      </c>
      <c r="AH5" s="13" t="s">
        <v>296</v>
      </c>
      <c r="AI5" s="1">
        <v>267801.62000000005</v>
      </c>
      <c r="AJ5" s="1">
        <v>40957.890000000007</v>
      </c>
    </row>
    <row r="6" spans="1:37 16382:16382" ht="220.5" x14ac:dyDescent="0.25">
      <c r="A6" s="5">
        <f t="shared" ref="A6:A69" si="7">A5+1</f>
        <v>3</v>
      </c>
      <c r="B6" s="15">
        <v>119560</v>
      </c>
      <c r="C6" s="5">
        <v>471</v>
      </c>
      <c r="D6" s="40" t="s">
        <v>1985</v>
      </c>
      <c r="E6" s="17" t="s">
        <v>474</v>
      </c>
      <c r="F6" s="8" t="s">
        <v>537</v>
      </c>
      <c r="G6" s="5" t="s">
        <v>536</v>
      </c>
      <c r="H6" s="5" t="s">
        <v>284</v>
      </c>
      <c r="I6" s="8" t="s">
        <v>538</v>
      </c>
      <c r="J6" s="2">
        <v>43265</v>
      </c>
      <c r="K6" s="2">
        <v>43752</v>
      </c>
      <c r="L6" s="16">
        <f t="shared" si="0"/>
        <v>84.216178284166972</v>
      </c>
      <c r="M6" s="5">
        <v>7</v>
      </c>
      <c r="N6" s="5" t="s">
        <v>222</v>
      </c>
      <c r="O6" s="5" t="s">
        <v>539</v>
      </c>
      <c r="P6" s="3" t="s">
        <v>174</v>
      </c>
      <c r="Q6" s="5" t="s">
        <v>34</v>
      </c>
      <c r="R6" s="4">
        <f t="shared" si="1"/>
        <v>336316.07</v>
      </c>
      <c r="S6" s="9">
        <v>336316.07</v>
      </c>
      <c r="T6" s="9">
        <v>0</v>
      </c>
      <c r="U6" s="4">
        <f t="shared" si="2"/>
        <v>55045.45</v>
      </c>
      <c r="V6" s="53">
        <v>55045.45</v>
      </c>
      <c r="W6" s="53">
        <v>0</v>
      </c>
      <c r="X6" s="4">
        <f t="shared" ref="X6:X76" si="8">Y6+Z6</f>
        <v>7987.01</v>
      </c>
      <c r="Y6" s="9">
        <v>7987.01</v>
      </c>
      <c r="Z6" s="9">
        <v>0</v>
      </c>
      <c r="AA6" s="9">
        <f t="shared" si="5"/>
        <v>0</v>
      </c>
      <c r="AB6" s="9">
        <v>0</v>
      </c>
      <c r="AC6" s="9">
        <v>0</v>
      </c>
      <c r="AD6" s="44">
        <f t="shared" si="6"/>
        <v>399348.53</v>
      </c>
      <c r="AE6" s="9">
        <v>0</v>
      </c>
      <c r="AF6" s="9">
        <f t="shared" si="4"/>
        <v>399348.53</v>
      </c>
      <c r="AG6" s="49" t="s">
        <v>966</v>
      </c>
      <c r="AH6" s="13" t="s">
        <v>296</v>
      </c>
      <c r="AI6" s="1">
        <v>271156.57999999996</v>
      </c>
      <c r="AJ6" s="1">
        <v>44248.240000000005</v>
      </c>
    </row>
    <row r="7" spans="1:37 16382:16382" ht="141.75" x14ac:dyDescent="0.25">
      <c r="A7" s="5">
        <f t="shared" si="7"/>
        <v>4</v>
      </c>
      <c r="B7" s="15">
        <v>117934</v>
      </c>
      <c r="C7" s="5">
        <v>417</v>
      </c>
      <c r="D7" s="8" t="s">
        <v>1986</v>
      </c>
      <c r="E7" s="17" t="s">
        <v>540</v>
      </c>
      <c r="F7" s="8" t="s">
        <v>1987</v>
      </c>
      <c r="G7" s="5" t="s">
        <v>536</v>
      </c>
      <c r="H7" s="6" t="s">
        <v>151</v>
      </c>
      <c r="I7" s="8" t="s">
        <v>583</v>
      </c>
      <c r="J7" s="2">
        <v>43278</v>
      </c>
      <c r="K7" s="2">
        <v>43765</v>
      </c>
      <c r="L7" s="16">
        <f t="shared" si="0"/>
        <v>84.999998780098935</v>
      </c>
      <c r="M7" s="5">
        <v>7</v>
      </c>
      <c r="N7" s="5" t="s">
        <v>222</v>
      </c>
      <c r="O7" s="5" t="s">
        <v>539</v>
      </c>
      <c r="P7" s="3" t="s">
        <v>174</v>
      </c>
      <c r="Q7" s="5" t="s">
        <v>34</v>
      </c>
      <c r="R7" s="4">
        <f>S7+T7</f>
        <v>243872.23</v>
      </c>
      <c r="S7" s="9">
        <v>243872.23</v>
      </c>
      <c r="T7" s="9">
        <v>0</v>
      </c>
      <c r="U7" s="4">
        <f t="shared" si="2"/>
        <v>37298.080000000002</v>
      </c>
      <c r="V7" s="53">
        <v>37298.080000000002</v>
      </c>
      <c r="W7" s="53">
        <v>0</v>
      </c>
      <c r="X7" s="4">
        <f t="shared" si="8"/>
        <v>5738.2</v>
      </c>
      <c r="Y7" s="9">
        <v>5738.2</v>
      </c>
      <c r="Z7" s="9">
        <v>0</v>
      </c>
      <c r="AA7" s="9">
        <f t="shared" si="5"/>
        <v>0</v>
      </c>
      <c r="AB7" s="54">
        <v>0</v>
      </c>
      <c r="AC7" s="54">
        <v>0</v>
      </c>
      <c r="AD7" s="44">
        <f t="shared" si="6"/>
        <v>286908.51</v>
      </c>
      <c r="AE7" s="9">
        <v>0</v>
      </c>
      <c r="AF7" s="9">
        <f t="shared" si="4"/>
        <v>286908.51</v>
      </c>
      <c r="AG7" s="49" t="s">
        <v>966</v>
      </c>
      <c r="AH7" s="11"/>
      <c r="AI7" s="1">
        <v>223752.58</v>
      </c>
      <c r="AJ7" s="1">
        <v>34220.97</v>
      </c>
    </row>
    <row r="8" spans="1:37 16382:16382" ht="230.25" customHeight="1" x14ac:dyDescent="0.25">
      <c r="A8" s="5">
        <f t="shared" si="7"/>
        <v>5</v>
      </c>
      <c r="B8" s="15">
        <v>118740</v>
      </c>
      <c r="C8" s="5">
        <v>436</v>
      </c>
      <c r="D8" s="8" t="s">
        <v>1986</v>
      </c>
      <c r="E8" s="17" t="s">
        <v>540</v>
      </c>
      <c r="F8" s="55" t="s">
        <v>815</v>
      </c>
      <c r="G8" s="5" t="s">
        <v>214</v>
      </c>
      <c r="H8" s="6" t="s">
        <v>151</v>
      </c>
      <c r="I8" s="8" t="s">
        <v>816</v>
      </c>
      <c r="J8" s="2">
        <v>43321</v>
      </c>
      <c r="K8" s="2">
        <v>43808</v>
      </c>
      <c r="L8" s="16">
        <f t="shared" si="0"/>
        <v>85.000000362805537</v>
      </c>
      <c r="M8" s="5">
        <v>7</v>
      </c>
      <c r="N8" s="5" t="s">
        <v>222</v>
      </c>
      <c r="O8" s="5" t="s">
        <v>217</v>
      </c>
      <c r="P8" s="3" t="s">
        <v>174</v>
      </c>
      <c r="Q8" s="5" t="s">
        <v>34</v>
      </c>
      <c r="R8" s="4">
        <f t="shared" ref="R8:R10" si="9">S8+T8</f>
        <v>234285.28</v>
      </c>
      <c r="S8" s="9">
        <v>234285.28</v>
      </c>
      <c r="T8" s="9">
        <v>0</v>
      </c>
      <c r="U8" s="4">
        <f t="shared" si="2"/>
        <v>35831.870000000003</v>
      </c>
      <c r="V8" s="53">
        <v>35831.870000000003</v>
      </c>
      <c r="W8" s="53"/>
      <c r="X8" s="4">
        <f t="shared" si="8"/>
        <v>5512.59</v>
      </c>
      <c r="Y8" s="9">
        <v>5512.59</v>
      </c>
      <c r="Z8" s="9">
        <v>0</v>
      </c>
      <c r="AA8" s="9">
        <f t="shared" si="5"/>
        <v>0</v>
      </c>
      <c r="AB8" s="56">
        <v>0</v>
      </c>
      <c r="AC8" s="56">
        <v>0</v>
      </c>
      <c r="AD8" s="44">
        <f t="shared" si="6"/>
        <v>275629.74000000005</v>
      </c>
      <c r="AE8" s="9"/>
      <c r="AF8" s="9">
        <f t="shared" si="4"/>
        <v>275629.74000000005</v>
      </c>
      <c r="AG8" s="49" t="s">
        <v>966</v>
      </c>
      <c r="AH8" s="11"/>
      <c r="AI8" s="1">
        <v>204891.55</v>
      </c>
      <c r="AJ8" s="1">
        <v>31336.359999999997</v>
      </c>
    </row>
    <row r="9" spans="1:37 16382:16382" ht="219.6" customHeight="1" x14ac:dyDescent="0.25">
      <c r="A9" s="5">
        <f t="shared" si="7"/>
        <v>6</v>
      </c>
      <c r="B9" s="15">
        <v>119862</v>
      </c>
      <c r="C9" s="5">
        <v>483</v>
      </c>
      <c r="D9" s="40" t="s">
        <v>1985</v>
      </c>
      <c r="E9" s="5" t="s">
        <v>474</v>
      </c>
      <c r="F9" s="55" t="s">
        <v>838</v>
      </c>
      <c r="G9" s="5" t="s">
        <v>839</v>
      </c>
      <c r="H9" s="6" t="s">
        <v>151</v>
      </c>
      <c r="I9" s="8" t="s">
        <v>840</v>
      </c>
      <c r="J9" s="2">
        <v>43325</v>
      </c>
      <c r="K9" s="2">
        <v>43629</v>
      </c>
      <c r="L9" s="16">
        <f t="shared" si="0"/>
        <v>84.999998288155666</v>
      </c>
      <c r="M9" s="5">
        <v>7</v>
      </c>
      <c r="N9" s="5" t="s">
        <v>841</v>
      </c>
      <c r="O9" s="5" t="s">
        <v>842</v>
      </c>
      <c r="P9" s="3" t="s">
        <v>174</v>
      </c>
      <c r="Q9" s="5" t="s">
        <v>34</v>
      </c>
      <c r="R9" s="4">
        <f t="shared" si="9"/>
        <v>223443.21</v>
      </c>
      <c r="S9" s="9">
        <v>223443.21</v>
      </c>
      <c r="T9" s="9">
        <v>0</v>
      </c>
      <c r="U9" s="4">
        <f t="shared" si="2"/>
        <v>34173.67</v>
      </c>
      <c r="V9" s="53">
        <v>34173.67</v>
      </c>
      <c r="W9" s="53">
        <v>0</v>
      </c>
      <c r="X9" s="4">
        <f t="shared" si="8"/>
        <v>5257.4900000000007</v>
      </c>
      <c r="Y9" s="9">
        <v>5257.4900000000007</v>
      </c>
      <c r="Z9" s="9">
        <v>0</v>
      </c>
      <c r="AA9" s="9">
        <f t="shared" si="5"/>
        <v>0</v>
      </c>
      <c r="AB9" s="10">
        <v>0</v>
      </c>
      <c r="AC9" s="10">
        <v>0</v>
      </c>
      <c r="AD9" s="44">
        <f t="shared" si="6"/>
        <v>262874.37</v>
      </c>
      <c r="AE9" s="9"/>
      <c r="AF9" s="9">
        <f t="shared" si="4"/>
        <v>262874.37</v>
      </c>
      <c r="AG9" s="49" t="s">
        <v>966</v>
      </c>
      <c r="AH9" s="11"/>
      <c r="AI9" s="1">
        <v>197238.88999999998</v>
      </c>
      <c r="AJ9" s="1">
        <v>30165.95</v>
      </c>
      <c r="AK9" s="57"/>
    </row>
    <row r="10" spans="1:37 16382:16382" ht="219.6" customHeight="1" x14ac:dyDescent="0.25">
      <c r="A10" s="5">
        <f t="shared" si="7"/>
        <v>7</v>
      </c>
      <c r="B10" s="15">
        <v>126492</v>
      </c>
      <c r="C10" s="5">
        <v>568</v>
      </c>
      <c r="D10" s="40" t="s">
        <v>1985</v>
      </c>
      <c r="E10" s="5" t="s">
        <v>1018</v>
      </c>
      <c r="F10" s="55" t="s">
        <v>1089</v>
      </c>
      <c r="G10" s="5" t="s">
        <v>1852</v>
      </c>
      <c r="H10" s="58" t="s">
        <v>151</v>
      </c>
      <c r="I10" s="8" t="s">
        <v>1090</v>
      </c>
      <c r="J10" s="2">
        <v>43462</v>
      </c>
      <c r="K10" s="2">
        <v>44132</v>
      </c>
      <c r="L10" s="16">
        <f t="shared" si="0"/>
        <v>84.999999417414912</v>
      </c>
      <c r="M10" s="5">
        <v>7</v>
      </c>
      <c r="N10" s="5" t="s">
        <v>841</v>
      </c>
      <c r="O10" s="5" t="s">
        <v>303</v>
      </c>
      <c r="P10" s="3" t="s">
        <v>174</v>
      </c>
      <c r="Q10" s="5" t="s">
        <v>34</v>
      </c>
      <c r="R10" s="4">
        <f t="shared" si="9"/>
        <v>948359.35</v>
      </c>
      <c r="S10" s="9">
        <v>948359.35</v>
      </c>
      <c r="T10" s="9">
        <v>0</v>
      </c>
      <c r="U10" s="4">
        <f t="shared" si="2"/>
        <v>145043.20000000001</v>
      </c>
      <c r="V10" s="53">
        <v>145043.20000000001</v>
      </c>
      <c r="W10" s="53">
        <v>0</v>
      </c>
      <c r="X10" s="4">
        <f t="shared" si="8"/>
        <v>22314.34</v>
      </c>
      <c r="Y10" s="9">
        <v>22314.34</v>
      </c>
      <c r="Z10" s="9">
        <v>0</v>
      </c>
      <c r="AA10" s="9">
        <f t="shared" si="5"/>
        <v>0</v>
      </c>
      <c r="AB10" s="10">
        <v>0</v>
      </c>
      <c r="AC10" s="10">
        <v>0</v>
      </c>
      <c r="AD10" s="44">
        <f t="shared" si="6"/>
        <v>1115716.8900000001</v>
      </c>
      <c r="AE10" s="9"/>
      <c r="AF10" s="9">
        <f t="shared" si="4"/>
        <v>1115716.8900000001</v>
      </c>
      <c r="AG10" s="59" t="s">
        <v>966</v>
      </c>
      <c r="AH10" s="11" t="s">
        <v>1917</v>
      </c>
      <c r="AI10" s="1">
        <f>596988.87+37314.15+135631.95+85902.49</f>
        <v>855837.46</v>
      </c>
      <c r="AJ10" s="1">
        <f>91304.18+5706.87+20743.71+13138.03</f>
        <v>130892.78999999998</v>
      </c>
    </row>
    <row r="11" spans="1:37 16382:16382" ht="294.75" customHeight="1" x14ac:dyDescent="0.25">
      <c r="A11" s="5">
        <f t="shared" si="7"/>
        <v>8</v>
      </c>
      <c r="B11" s="15">
        <v>126520</v>
      </c>
      <c r="C11" s="5">
        <v>550</v>
      </c>
      <c r="D11" s="40" t="s">
        <v>1985</v>
      </c>
      <c r="E11" s="5" t="s">
        <v>1018</v>
      </c>
      <c r="F11" s="55" t="s">
        <v>1119</v>
      </c>
      <c r="G11" s="5" t="s">
        <v>839</v>
      </c>
      <c r="H11" s="6" t="s">
        <v>151</v>
      </c>
      <c r="I11" s="60" t="s">
        <v>1120</v>
      </c>
      <c r="J11" s="2">
        <v>43504</v>
      </c>
      <c r="K11" s="2">
        <v>44294</v>
      </c>
      <c r="L11" s="16">
        <f t="shared" si="0"/>
        <v>84.999999104679475</v>
      </c>
      <c r="M11" s="5">
        <v>7</v>
      </c>
      <c r="N11" s="5" t="s">
        <v>841</v>
      </c>
      <c r="O11" s="5" t="s">
        <v>303</v>
      </c>
      <c r="P11" s="3" t="s">
        <v>174</v>
      </c>
      <c r="Q11" s="5" t="s">
        <v>34</v>
      </c>
      <c r="R11" s="4">
        <f t="shared" ref="R11:R14" si="10">S11+T11</f>
        <v>2231044.54</v>
      </c>
      <c r="S11" s="9">
        <v>2231044.54</v>
      </c>
      <c r="T11" s="9">
        <v>0</v>
      </c>
      <c r="U11" s="4">
        <f t="shared" si="2"/>
        <v>341218.6</v>
      </c>
      <c r="V11" s="53">
        <v>341218.6</v>
      </c>
      <c r="W11" s="53">
        <v>0</v>
      </c>
      <c r="X11" s="4">
        <f t="shared" si="8"/>
        <v>52495.17</v>
      </c>
      <c r="Y11" s="9">
        <v>52495.17</v>
      </c>
      <c r="Z11" s="9">
        <v>0</v>
      </c>
      <c r="AA11" s="9">
        <f t="shared" si="5"/>
        <v>0</v>
      </c>
      <c r="AB11" s="10">
        <v>0</v>
      </c>
      <c r="AC11" s="10">
        <v>0</v>
      </c>
      <c r="AD11" s="44">
        <f t="shared" si="6"/>
        <v>2624758.31</v>
      </c>
      <c r="AE11" s="9"/>
      <c r="AF11" s="9">
        <f t="shared" si="4"/>
        <v>2624758.31</v>
      </c>
      <c r="AG11" s="59" t="s">
        <v>966</v>
      </c>
      <c r="AH11" s="11" t="s">
        <v>1291</v>
      </c>
      <c r="AI11" s="1">
        <f>1036154.83+266876.43+120061.79+31991.73+36553.52</f>
        <v>1491638.3</v>
      </c>
      <c r="AJ11" s="1">
        <f>158470.74+40816.4+18362.4+4892.85+5590.54</f>
        <v>228132.93</v>
      </c>
    </row>
    <row r="12" spans="1:37 16382:16382" ht="294.75" customHeight="1" x14ac:dyDescent="0.25">
      <c r="A12" s="5">
        <f t="shared" si="7"/>
        <v>9</v>
      </c>
      <c r="B12" s="15">
        <v>126539</v>
      </c>
      <c r="C12" s="5">
        <v>574</v>
      </c>
      <c r="D12" s="40" t="s">
        <v>1985</v>
      </c>
      <c r="E12" s="5" t="s">
        <v>1018</v>
      </c>
      <c r="F12" s="55" t="s">
        <v>1175</v>
      </c>
      <c r="G12" s="5" t="s">
        <v>214</v>
      </c>
      <c r="H12" s="6" t="s">
        <v>151</v>
      </c>
      <c r="I12" s="60" t="s">
        <v>1176</v>
      </c>
      <c r="J12" s="2">
        <v>43552</v>
      </c>
      <c r="K12" s="2">
        <v>44467</v>
      </c>
      <c r="L12" s="16">
        <f t="shared" si="0"/>
        <v>85.000000056453686</v>
      </c>
      <c r="M12" s="5">
        <v>7</v>
      </c>
      <c r="N12" s="5" t="s">
        <v>222</v>
      </c>
      <c r="O12" s="5" t="s">
        <v>217</v>
      </c>
      <c r="P12" s="3" t="s">
        <v>174</v>
      </c>
      <c r="Q12" s="5" t="s">
        <v>34</v>
      </c>
      <c r="R12" s="4">
        <f t="shared" si="10"/>
        <v>3011318.02</v>
      </c>
      <c r="S12" s="9">
        <v>3011318.02</v>
      </c>
      <c r="T12" s="9">
        <v>0</v>
      </c>
      <c r="U12" s="4">
        <f t="shared" si="2"/>
        <v>460554.52</v>
      </c>
      <c r="V12" s="53">
        <v>460554.52</v>
      </c>
      <c r="W12" s="53">
        <v>0</v>
      </c>
      <c r="X12" s="4">
        <f t="shared" si="8"/>
        <v>70854.539999999994</v>
      </c>
      <c r="Y12" s="9">
        <v>70854.539999999994</v>
      </c>
      <c r="Z12" s="9">
        <v>0</v>
      </c>
      <c r="AA12" s="9">
        <f>AB12+AC12</f>
        <v>0</v>
      </c>
      <c r="AB12" s="10">
        <v>0</v>
      </c>
      <c r="AC12" s="10">
        <v>0</v>
      </c>
      <c r="AD12" s="44">
        <f t="shared" si="6"/>
        <v>3542727.08</v>
      </c>
      <c r="AE12" s="9">
        <v>65688</v>
      </c>
      <c r="AF12" s="9">
        <f t="shared" si="4"/>
        <v>3608415.08</v>
      </c>
      <c r="AG12" s="59" t="s">
        <v>515</v>
      </c>
      <c r="AH12" s="11" t="s">
        <v>151</v>
      </c>
      <c r="AI12" s="1">
        <f>254185.09+31457.65+24031.2+22651.14+23082.6</f>
        <v>355407.68</v>
      </c>
      <c r="AJ12" s="1">
        <f>38875.36+4811.17+3675.36+3464.29+3530.28</f>
        <v>54356.46</v>
      </c>
    </row>
    <row r="13" spans="1:37 16382:16382" ht="267.75" x14ac:dyDescent="0.25">
      <c r="A13" s="5">
        <f t="shared" si="7"/>
        <v>10</v>
      </c>
      <c r="B13" s="15">
        <v>126063</v>
      </c>
      <c r="C13" s="5">
        <v>512</v>
      </c>
      <c r="D13" s="40" t="s">
        <v>1985</v>
      </c>
      <c r="E13" s="5" t="s">
        <v>1018</v>
      </c>
      <c r="F13" s="55" t="s">
        <v>1184</v>
      </c>
      <c r="G13" s="5" t="s">
        <v>536</v>
      </c>
      <c r="H13" s="5" t="s">
        <v>698</v>
      </c>
      <c r="I13" s="60" t="s">
        <v>1185</v>
      </c>
      <c r="J13" s="2">
        <v>43552</v>
      </c>
      <c r="K13" s="2">
        <v>44558</v>
      </c>
      <c r="L13" s="16">
        <f t="shared" si="0"/>
        <v>84.472368663066973</v>
      </c>
      <c r="M13" s="5">
        <v>7</v>
      </c>
      <c r="N13" s="5" t="s">
        <v>222</v>
      </c>
      <c r="O13" s="5" t="s">
        <v>539</v>
      </c>
      <c r="P13" s="3" t="s">
        <v>174</v>
      </c>
      <c r="Q13" s="5" t="s">
        <v>34</v>
      </c>
      <c r="R13" s="4">
        <f t="shared" si="10"/>
        <v>2848568.9800000004</v>
      </c>
      <c r="S13" s="9">
        <v>2848568.9800000004</v>
      </c>
      <c r="T13" s="9">
        <v>0</v>
      </c>
      <c r="U13" s="4">
        <f t="shared" si="2"/>
        <v>456177.46000000008</v>
      </c>
      <c r="V13" s="53">
        <v>456177.46000000008</v>
      </c>
      <c r="W13" s="53">
        <v>0</v>
      </c>
      <c r="X13" s="4">
        <f t="shared" si="8"/>
        <v>46511.14</v>
      </c>
      <c r="Y13" s="9">
        <v>46511.14</v>
      </c>
      <c r="Z13" s="9">
        <v>0</v>
      </c>
      <c r="AA13" s="9">
        <f t="shared" ref="AA13:AA14" si="11">AB13+AC13</f>
        <v>20932.669999999998</v>
      </c>
      <c r="AB13" s="10">
        <v>20932.669999999998</v>
      </c>
      <c r="AC13" s="10">
        <v>0</v>
      </c>
      <c r="AD13" s="44">
        <f t="shared" si="6"/>
        <v>3372190.2500000005</v>
      </c>
      <c r="AE13" s="9">
        <v>0</v>
      </c>
      <c r="AF13" s="9">
        <f t="shared" si="4"/>
        <v>3372190.2500000005</v>
      </c>
      <c r="AG13" s="59" t="s">
        <v>515</v>
      </c>
      <c r="AH13" s="59" t="s">
        <v>2216</v>
      </c>
      <c r="AI13" s="1">
        <f>746401.81-6086.31+287473.55+59837.21+61023.45+435280.65+86771.92-15305.18+74534.23</f>
        <v>1729931.3299999998</v>
      </c>
      <c r="AJ13" s="1">
        <f>86363.65+15926.41+11939.57+10559.52+29480.6+48234.8+15312.68+15305.18+11863.7</f>
        <v>244986.11</v>
      </c>
    </row>
    <row r="14" spans="1:37 16382:16382" ht="141.75" x14ac:dyDescent="0.25">
      <c r="A14" s="5">
        <f t="shared" si="7"/>
        <v>11</v>
      </c>
      <c r="B14" s="15">
        <v>128599</v>
      </c>
      <c r="C14" s="5">
        <v>637</v>
      </c>
      <c r="D14" s="40" t="s">
        <v>1985</v>
      </c>
      <c r="E14" s="5" t="s">
        <v>1246</v>
      </c>
      <c r="F14" s="55" t="s">
        <v>1294</v>
      </c>
      <c r="G14" s="5" t="s">
        <v>1852</v>
      </c>
      <c r="H14" s="34" t="s">
        <v>151</v>
      </c>
      <c r="I14" s="60" t="s">
        <v>1295</v>
      </c>
      <c r="J14" s="2">
        <v>43634</v>
      </c>
      <c r="K14" s="2">
        <v>44579</v>
      </c>
      <c r="L14" s="16">
        <f t="shared" si="0"/>
        <v>85</v>
      </c>
      <c r="M14" s="5">
        <v>7</v>
      </c>
      <c r="N14" s="5" t="s">
        <v>841</v>
      </c>
      <c r="O14" s="5" t="s">
        <v>303</v>
      </c>
      <c r="P14" s="3" t="s">
        <v>174</v>
      </c>
      <c r="Q14" s="5" t="s">
        <v>34</v>
      </c>
      <c r="R14" s="4">
        <f t="shared" si="10"/>
        <v>848667.88</v>
      </c>
      <c r="S14" s="9">
        <v>848667.88</v>
      </c>
      <c r="T14" s="9">
        <v>0</v>
      </c>
      <c r="U14" s="4">
        <f t="shared" si="2"/>
        <v>129796.26</v>
      </c>
      <c r="V14" s="53">
        <v>129796.26</v>
      </c>
      <c r="W14" s="53">
        <v>0</v>
      </c>
      <c r="X14" s="4">
        <f t="shared" si="8"/>
        <v>19968.66</v>
      </c>
      <c r="Y14" s="9">
        <v>19968.66</v>
      </c>
      <c r="Z14" s="9">
        <v>0</v>
      </c>
      <c r="AA14" s="9">
        <f t="shared" si="11"/>
        <v>0</v>
      </c>
      <c r="AB14" s="10">
        <v>0</v>
      </c>
      <c r="AC14" s="10">
        <v>0</v>
      </c>
      <c r="AD14" s="44">
        <f t="shared" si="6"/>
        <v>998432.8</v>
      </c>
      <c r="AE14" s="9">
        <v>0</v>
      </c>
      <c r="AF14" s="9">
        <f t="shared" si="4"/>
        <v>998432.8</v>
      </c>
      <c r="AG14" s="59" t="s">
        <v>515</v>
      </c>
      <c r="AH14" s="59" t="s">
        <v>2121</v>
      </c>
      <c r="AI14" s="1">
        <f>81051.49+105245.93+35474.75+122545.35+82881.8</f>
        <v>427199.32</v>
      </c>
      <c r="AJ14" s="1">
        <f>8948.51+19544.04+5425.55+18742.23+12676.04</f>
        <v>65336.37</v>
      </c>
    </row>
    <row r="15" spans="1:37 16382:16382" ht="180" x14ac:dyDescent="0.25">
      <c r="A15" s="5">
        <f t="shared" si="7"/>
        <v>12</v>
      </c>
      <c r="B15" s="61">
        <v>135372</v>
      </c>
      <c r="C15" s="62">
        <v>802</v>
      </c>
      <c r="D15" s="40" t="s">
        <v>1985</v>
      </c>
      <c r="E15" s="17" t="s">
        <v>1701</v>
      </c>
      <c r="F15" s="55" t="s">
        <v>1702</v>
      </c>
      <c r="G15" s="5" t="s">
        <v>839</v>
      </c>
      <c r="H15" s="5" t="s">
        <v>151</v>
      </c>
      <c r="I15" s="41" t="s">
        <v>1703</v>
      </c>
      <c r="J15" s="63">
        <v>43949</v>
      </c>
      <c r="K15" s="63">
        <v>44862</v>
      </c>
      <c r="L15" s="64">
        <f t="shared" si="0"/>
        <v>85.000000179076224</v>
      </c>
      <c r="M15" s="62">
        <v>7</v>
      </c>
      <c r="N15" s="62" t="s">
        <v>841</v>
      </c>
      <c r="O15" s="62" t="s">
        <v>839</v>
      </c>
      <c r="P15" s="65" t="s">
        <v>174</v>
      </c>
      <c r="Q15" s="62" t="s">
        <v>34</v>
      </c>
      <c r="R15" s="66">
        <f>S15+T15</f>
        <v>2847949.35</v>
      </c>
      <c r="S15" s="66">
        <v>2847949.35</v>
      </c>
      <c r="T15" s="66">
        <v>0</v>
      </c>
      <c r="U15" s="67">
        <f t="shared" si="2"/>
        <v>435568.72</v>
      </c>
      <c r="V15" s="68">
        <v>435568.72</v>
      </c>
      <c r="W15" s="68">
        <v>0</v>
      </c>
      <c r="X15" s="67">
        <f t="shared" si="8"/>
        <v>67010.570000000007</v>
      </c>
      <c r="Y15" s="66">
        <v>67010.570000000007</v>
      </c>
      <c r="Z15" s="66">
        <v>0</v>
      </c>
      <c r="AA15" s="66">
        <f>AB15+AC15</f>
        <v>0</v>
      </c>
      <c r="AB15" s="66">
        <v>0</v>
      </c>
      <c r="AC15" s="66">
        <v>0</v>
      </c>
      <c r="AD15" s="44">
        <f t="shared" si="6"/>
        <v>3350528.64</v>
      </c>
      <c r="AE15" s="66">
        <v>76569.36</v>
      </c>
      <c r="AF15" s="66">
        <f t="shared" si="4"/>
        <v>3427098</v>
      </c>
      <c r="AG15" s="59" t="s">
        <v>515</v>
      </c>
      <c r="AH15" s="11"/>
      <c r="AI15" s="1">
        <f>17501.5+29868.15+334717.81-23634.13</f>
        <v>358453.33</v>
      </c>
      <c r="AJ15" s="1">
        <f>2676.7+4568.07+23634.13</f>
        <v>30878.9</v>
      </c>
    </row>
    <row r="16" spans="1:37 16382:16382" ht="252" x14ac:dyDescent="0.25">
      <c r="A16" s="5">
        <f t="shared" si="7"/>
        <v>13</v>
      </c>
      <c r="B16" s="61">
        <v>136003</v>
      </c>
      <c r="C16" s="62">
        <v>773</v>
      </c>
      <c r="D16" s="40" t="s">
        <v>1985</v>
      </c>
      <c r="E16" s="17" t="s">
        <v>1701</v>
      </c>
      <c r="F16" s="55" t="s">
        <v>1843</v>
      </c>
      <c r="G16" s="5" t="s">
        <v>536</v>
      </c>
      <c r="H16" s="5" t="s">
        <v>151</v>
      </c>
      <c r="I16" s="41" t="s">
        <v>1844</v>
      </c>
      <c r="J16" s="63">
        <v>44001</v>
      </c>
      <c r="K16" s="63">
        <v>44549</v>
      </c>
      <c r="L16" s="64">
        <f t="shared" si="0"/>
        <v>84.999999794981022</v>
      </c>
      <c r="M16" s="62">
        <v>7</v>
      </c>
      <c r="N16" s="62" t="s">
        <v>841</v>
      </c>
      <c r="O16" s="62" t="s">
        <v>536</v>
      </c>
      <c r="P16" s="65" t="s">
        <v>174</v>
      </c>
      <c r="Q16" s="62" t="s">
        <v>34</v>
      </c>
      <c r="R16" s="66">
        <f>S16+T16</f>
        <v>2280276.66</v>
      </c>
      <c r="S16" s="66">
        <v>2280276.66</v>
      </c>
      <c r="T16" s="66">
        <v>0</v>
      </c>
      <c r="U16" s="67">
        <f t="shared" si="2"/>
        <v>348748.2</v>
      </c>
      <c r="V16" s="68">
        <v>348748.2</v>
      </c>
      <c r="W16" s="68">
        <v>0</v>
      </c>
      <c r="X16" s="67">
        <f t="shared" si="8"/>
        <v>53653.57</v>
      </c>
      <c r="Y16" s="66">
        <v>53653.57</v>
      </c>
      <c r="Z16" s="66">
        <v>0</v>
      </c>
      <c r="AA16" s="66">
        <f>AB16+AC16</f>
        <v>0</v>
      </c>
      <c r="AB16" s="66">
        <v>0</v>
      </c>
      <c r="AC16" s="66">
        <v>0</v>
      </c>
      <c r="AD16" s="44">
        <f t="shared" si="6"/>
        <v>2682678.4300000002</v>
      </c>
      <c r="AE16" s="66">
        <v>0</v>
      </c>
      <c r="AF16" s="66">
        <f t="shared" si="4"/>
        <v>2682678.4300000002</v>
      </c>
      <c r="AG16" s="59" t="s">
        <v>515</v>
      </c>
      <c r="AH16" s="11"/>
      <c r="AI16" s="1">
        <f>138492.45+0+43604.62</f>
        <v>182097.07</v>
      </c>
      <c r="AJ16" s="1">
        <f>21181.2+0+6668.94</f>
        <v>27850.14</v>
      </c>
    </row>
    <row r="17" spans="1:36" ht="180" x14ac:dyDescent="0.25">
      <c r="A17" s="5">
        <f t="shared" si="7"/>
        <v>14</v>
      </c>
      <c r="B17" s="61">
        <v>136237</v>
      </c>
      <c r="C17" s="62">
        <v>810</v>
      </c>
      <c r="D17" s="40" t="s">
        <v>1985</v>
      </c>
      <c r="E17" s="17" t="s">
        <v>1701</v>
      </c>
      <c r="F17" s="55" t="s">
        <v>1851</v>
      </c>
      <c r="G17" s="5" t="s">
        <v>1852</v>
      </c>
      <c r="H17" s="34" t="s">
        <v>151</v>
      </c>
      <c r="I17" s="41" t="s">
        <v>1853</v>
      </c>
      <c r="J17" s="63">
        <v>43998</v>
      </c>
      <c r="K17" s="63">
        <v>44546</v>
      </c>
      <c r="L17" s="64">
        <f t="shared" si="0"/>
        <v>84.999999919211149</v>
      </c>
      <c r="M17" s="62">
        <v>7</v>
      </c>
      <c r="N17" s="62" t="s">
        <v>841</v>
      </c>
      <c r="O17" s="62" t="s">
        <v>1852</v>
      </c>
      <c r="P17" s="65" t="s">
        <v>174</v>
      </c>
      <c r="Q17" s="62" t="s">
        <v>34</v>
      </c>
      <c r="R17" s="66">
        <f>S17+T17</f>
        <v>1052125.29</v>
      </c>
      <c r="S17" s="66">
        <v>1052125.29</v>
      </c>
      <c r="T17" s="66">
        <v>0</v>
      </c>
      <c r="U17" s="67">
        <f t="shared" si="2"/>
        <v>160913.28</v>
      </c>
      <c r="V17" s="68">
        <v>160913.28</v>
      </c>
      <c r="W17" s="68">
        <v>0</v>
      </c>
      <c r="X17" s="67">
        <f t="shared" si="8"/>
        <v>24755.89</v>
      </c>
      <c r="Y17" s="66">
        <v>24755.89</v>
      </c>
      <c r="Z17" s="66">
        <v>0</v>
      </c>
      <c r="AA17" s="66">
        <f>AB17+AC17</f>
        <v>0</v>
      </c>
      <c r="AB17" s="66">
        <v>0</v>
      </c>
      <c r="AC17" s="66">
        <v>0</v>
      </c>
      <c r="AD17" s="44">
        <f t="shared" si="6"/>
        <v>1237794.46</v>
      </c>
      <c r="AE17" s="66">
        <v>0</v>
      </c>
      <c r="AF17" s="66">
        <f t="shared" si="4"/>
        <v>1237794.46</v>
      </c>
      <c r="AG17" s="59" t="s">
        <v>515</v>
      </c>
      <c r="AH17" s="11"/>
      <c r="AI17" s="1">
        <f>62006.65+123779-12443.6-3551.15+123779</f>
        <v>293569.90000000002</v>
      </c>
      <c r="AJ17" s="1">
        <f>9483.37+12443.6+4041.05</f>
        <v>25968.02</v>
      </c>
    </row>
    <row r="18" spans="1:36" ht="180" x14ac:dyDescent="0.25">
      <c r="A18" s="5">
        <f t="shared" si="7"/>
        <v>15</v>
      </c>
      <c r="B18" s="61">
        <v>136017</v>
      </c>
      <c r="C18" s="62">
        <v>855</v>
      </c>
      <c r="D18" s="40" t="s">
        <v>1985</v>
      </c>
      <c r="E18" s="17" t="s">
        <v>1701</v>
      </c>
      <c r="F18" s="55" t="s">
        <v>1898</v>
      </c>
      <c r="G18" s="5" t="s">
        <v>214</v>
      </c>
      <c r="H18" s="5" t="s">
        <v>151</v>
      </c>
      <c r="I18" s="41" t="s">
        <v>1899</v>
      </c>
      <c r="J18" s="63">
        <v>44021</v>
      </c>
      <c r="K18" s="63">
        <v>44935</v>
      </c>
      <c r="L18" s="64">
        <f t="shared" si="0"/>
        <v>85.000000121607897</v>
      </c>
      <c r="M18" s="62">
        <v>7</v>
      </c>
      <c r="N18" s="62" t="s">
        <v>841</v>
      </c>
      <c r="O18" s="62" t="s">
        <v>217</v>
      </c>
      <c r="P18" s="65" t="s">
        <v>174</v>
      </c>
      <c r="Q18" s="62" t="s">
        <v>34</v>
      </c>
      <c r="R18" s="66">
        <f>S18+T18</f>
        <v>2096903.27</v>
      </c>
      <c r="S18" s="66">
        <v>2096903.27</v>
      </c>
      <c r="T18" s="66">
        <v>0</v>
      </c>
      <c r="U18" s="67">
        <f t="shared" si="2"/>
        <v>320702.84999999998</v>
      </c>
      <c r="V18" s="68">
        <v>320702.84999999998</v>
      </c>
      <c r="W18" s="68">
        <v>0</v>
      </c>
      <c r="X18" s="67">
        <f t="shared" si="8"/>
        <v>49338.9</v>
      </c>
      <c r="Y18" s="66">
        <v>49338.9</v>
      </c>
      <c r="Z18" s="66">
        <v>0</v>
      </c>
      <c r="AA18" s="66">
        <f>AB18+AC18</f>
        <v>0</v>
      </c>
      <c r="AB18" s="66">
        <v>0</v>
      </c>
      <c r="AC18" s="66">
        <v>0</v>
      </c>
      <c r="AD18" s="44">
        <f t="shared" si="6"/>
        <v>2466945.02</v>
      </c>
      <c r="AE18" s="66">
        <v>0</v>
      </c>
      <c r="AF18" s="66">
        <f t="shared" si="4"/>
        <v>2466945.02</v>
      </c>
      <c r="AG18" s="59" t="s">
        <v>515</v>
      </c>
      <c r="AH18" s="11"/>
      <c r="AI18" s="1">
        <f>23885+52537.57</f>
        <v>76422.570000000007</v>
      </c>
      <c r="AJ18" s="1">
        <f>3653+8035.15</f>
        <v>11688.15</v>
      </c>
    </row>
    <row r="19" spans="1:36" ht="141.75" x14ac:dyDescent="0.25">
      <c r="A19" s="5">
        <f t="shared" si="7"/>
        <v>16</v>
      </c>
      <c r="B19" s="15">
        <v>120637</v>
      </c>
      <c r="C19" s="5">
        <v>86</v>
      </c>
      <c r="D19" s="40" t="s">
        <v>1985</v>
      </c>
      <c r="E19" s="17" t="s">
        <v>278</v>
      </c>
      <c r="F19" s="8" t="s">
        <v>229</v>
      </c>
      <c r="G19" s="5" t="s">
        <v>230</v>
      </c>
      <c r="H19" s="5" t="s">
        <v>151</v>
      </c>
      <c r="I19" s="41" t="s">
        <v>1146</v>
      </c>
      <c r="J19" s="2">
        <v>43145</v>
      </c>
      <c r="K19" s="2">
        <v>43510</v>
      </c>
      <c r="L19" s="16">
        <f t="shared" si="0"/>
        <v>85.000001183738732</v>
      </c>
      <c r="M19" s="5">
        <v>5</v>
      </c>
      <c r="N19" s="5" t="s">
        <v>231</v>
      </c>
      <c r="O19" s="5" t="s">
        <v>231</v>
      </c>
      <c r="P19" s="3" t="s">
        <v>174</v>
      </c>
      <c r="Q19" s="5" t="s">
        <v>34</v>
      </c>
      <c r="R19" s="9">
        <f t="shared" ref="R19:R21" si="12">S19+T19</f>
        <v>359031.93</v>
      </c>
      <c r="S19" s="69">
        <v>359031.93</v>
      </c>
      <c r="T19" s="9">
        <v>0</v>
      </c>
      <c r="U19" s="4">
        <f t="shared" si="2"/>
        <v>54910.76</v>
      </c>
      <c r="V19" s="53">
        <v>54910.76</v>
      </c>
      <c r="W19" s="53">
        <v>0</v>
      </c>
      <c r="X19" s="4">
        <f t="shared" si="8"/>
        <v>8447.81</v>
      </c>
      <c r="Y19" s="9">
        <v>8447.81</v>
      </c>
      <c r="Z19" s="9">
        <v>0</v>
      </c>
      <c r="AA19" s="9">
        <f>AB19+AC19</f>
        <v>0</v>
      </c>
      <c r="AB19" s="9">
        <v>0</v>
      </c>
      <c r="AC19" s="9">
        <v>0</v>
      </c>
      <c r="AD19" s="44">
        <f t="shared" si="6"/>
        <v>422390.5</v>
      </c>
      <c r="AE19" s="9">
        <v>0</v>
      </c>
      <c r="AF19" s="9">
        <f t="shared" si="4"/>
        <v>422390.5</v>
      </c>
      <c r="AG19" s="49" t="s">
        <v>966</v>
      </c>
      <c r="AH19" s="13" t="s">
        <v>151</v>
      </c>
      <c r="AI19" s="1">
        <v>282511.96000000002</v>
      </c>
      <c r="AJ19" s="1">
        <v>43207.69</v>
      </c>
    </row>
    <row r="20" spans="1:36" ht="141.75" x14ac:dyDescent="0.25">
      <c r="A20" s="5">
        <f t="shared" si="7"/>
        <v>17</v>
      </c>
      <c r="B20" s="15">
        <v>119520</v>
      </c>
      <c r="C20" s="15">
        <v>465</v>
      </c>
      <c r="D20" s="40" t="s">
        <v>1985</v>
      </c>
      <c r="E20" s="8" t="s">
        <v>474</v>
      </c>
      <c r="F20" s="8" t="s">
        <v>675</v>
      </c>
      <c r="G20" s="5" t="s">
        <v>676</v>
      </c>
      <c r="H20" s="5" t="s">
        <v>677</v>
      </c>
      <c r="I20" s="8" t="s">
        <v>678</v>
      </c>
      <c r="J20" s="2">
        <v>43292</v>
      </c>
      <c r="K20" s="2">
        <v>44176</v>
      </c>
      <c r="L20" s="16">
        <f t="shared" si="0"/>
        <v>85.000019787644845</v>
      </c>
      <c r="M20" s="6">
        <v>5</v>
      </c>
      <c r="N20" s="5" t="s">
        <v>231</v>
      </c>
      <c r="O20" s="5" t="s">
        <v>231</v>
      </c>
      <c r="P20" s="6" t="s">
        <v>174</v>
      </c>
      <c r="Q20" s="5" t="s">
        <v>34</v>
      </c>
      <c r="R20" s="9">
        <f t="shared" si="12"/>
        <v>231962.98</v>
      </c>
      <c r="S20" s="1">
        <v>231962.98</v>
      </c>
      <c r="T20" s="70">
        <v>0</v>
      </c>
      <c r="U20" s="4">
        <f t="shared" si="2"/>
        <v>35476.620000000003</v>
      </c>
      <c r="V20" s="71">
        <v>35476.620000000003</v>
      </c>
      <c r="W20" s="71">
        <v>0</v>
      </c>
      <c r="X20" s="4">
        <f t="shared" si="8"/>
        <v>5457.96</v>
      </c>
      <c r="Y20" s="1">
        <v>5457.96</v>
      </c>
      <c r="Z20" s="1">
        <v>0</v>
      </c>
      <c r="AA20" s="9">
        <f t="shared" ref="AA20:AA21" si="13">AB20+AC20</f>
        <v>0</v>
      </c>
      <c r="AB20" s="10">
        <v>0</v>
      </c>
      <c r="AC20" s="10">
        <v>0</v>
      </c>
      <c r="AD20" s="44">
        <f t="shared" si="6"/>
        <v>272897.56000000006</v>
      </c>
      <c r="AE20" s="11">
        <v>0</v>
      </c>
      <c r="AF20" s="9">
        <f t="shared" si="4"/>
        <v>272897.56000000006</v>
      </c>
      <c r="AG20" s="59" t="s">
        <v>966</v>
      </c>
      <c r="AH20" s="59" t="s">
        <v>1590</v>
      </c>
      <c r="AI20" s="1">
        <f>152403.68+22268.18</f>
        <v>174671.86</v>
      </c>
      <c r="AJ20" s="1">
        <f>23308.79+3405.71</f>
        <v>26714.5</v>
      </c>
    </row>
    <row r="21" spans="1:36" ht="141.75" x14ac:dyDescent="0.25">
      <c r="A21" s="5">
        <f t="shared" si="7"/>
        <v>18</v>
      </c>
      <c r="B21" s="15">
        <v>116692</v>
      </c>
      <c r="C21" s="5">
        <v>408</v>
      </c>
      <c r="D21" s="8" t="s">
        <v>1986</v>
      </c>
      <c r="E21" s="8" t="s">
        <v>540</v>
      </c>
      <c r="F21" s="8" t="s">
        <v>817</v>
      </c>
      <c r="G21" s="5" t="s">
        <v>676</v>
      </c>
      <c r="H21" s="5" t="s">
        <v>151</v>
      </c>
      <c r="I21" s="72" t="s">
        <v>818</v>
      </c>
      <c r="J21" s="2">
        <v>43321</v>
      </c>
      <c r="K21" s="2">
        <v>43899</v>
      </c>
      <c r="L21" s="16">
        <f t="shared" si="0"/>
        <v>85.000000534892237</v>
      </c>
      <c r="M21" s="5">
        <v>5</v>
      </c>
      <c r="N21" s="5" t="s">
        <v>231</v>
      </c>
      <c r="O21" s="5" t="s">
        <v>231</v>
      </c>
      <c r="P21" s="6" t="s">
        <v>174</v>
      </c>
      <c r="Q21" s="5" t="s">
        <v>34</v>
      </c>
      <c r="R21" s="9">
        <f t="shared" si="12"/>
        <v>317821.02</v>
      </c>
      <c r="S21" s="1">
        <v>317821.02</v>
      </c>
      <c r="T21" s="70">
        <v>0</v>
      </c>
      <c r="U21" s="4">
        <f t="shared" si="2"/>
        <v>48607.91</v>
      </c>
      <c r="V21" s="71">
        <v>48607.91</v>
      </c>
      <c r="W21" s="71">
        <v>0</v>
      </c>
      <c r="X21" s="4">
        <f t="shared" si="8"/>
        <v>7478.15</v>
      </c>
      <c r="Y21" s="1">
        <v>7478.15</v>
      </c>
      <c r="Z21" s="1">
        <v>0</v>
      </c>
      <c r="AA21" s="9">
        <f t="shared" si="13"/>
        <v>0</v>
      </c>
      <c r="AB21" s="10">
        <v>0</v>
      </c>
      <c r="AC21" s="10">
        <v>0</v>
      </c>
      <c r="AD21" s="44">
        <f t="shared" si="6"/>
        <v>373907.08000000007</v>
      </c>
      <c r="AE21" s="59">
        <v>0</v>
      </c>
      <c r="AF21" s="9">
        <f t="shared" si="4"/>
        <v>373907.08000000007</v>
      </c>
      <c r="AG21" s="59" t="s">
        <v>966</v>
      </c>
      <c r="AH21" s="59" t="s">
        <v>1630</v>
      </c>
      <c r="AI21" s="1">
        <v>181528.22</v>
      </c>
      <c r="AJ21" s="1">
        <v>27763.119999999999</v>
      </c>
    </row>
    <row r="22" spans="1:36" ht="267.75" x14ac:dyDescent="0.25">
      <c r="A22" s="5">
        <f t="shared" si="7"/>
        <v>19</v>
      </c>
      <c r="B22" s="15">
        <v>126495</v>
      </c>
      <c r="C22" s="5">
        <v>558</v>
      </c>
      <c r="D22" s="40" t="s">
        <v>1985</v>
      </c>
      <c r="E22" s="8" t="s">
        <v>1018</v>
      </c>
      <c r="F22" s="8" t="s">
        <v>1211</v>
      </c>
      <c r="G22" s="5" t="s">
        <v>230</v>
      </c>
      <c r="H22" s="5" t="s">
        <v>151</v>
      </c>
      <c r="I22" s="73" t="s">
        <v>1212</v>
      </c>
      <c r="J22" s="2">
        <v>43570</v>
      </c>
      <c r="K22" s="2">
        <v>44607</v>
      </c>
      <c r="L22" s="16">
        <f t="shared" si="0"/>
        <v>85</v>
      </c>
      <c r="M22" s="5">
        <v>5</v>
      </c>
      <c r="N22" s="5" t="s">
        <v>231</v>
      </c>
      <c r="O22" s="5" t="s">
        <v>231</v>
      </c>
      <c r="P22" s="6" t="s">
        <v>174</v>
      </c>
      <c r="Q22" s="5" t="s">
        <v>34</v>
      </c>
      <c r="R22" s="9">
        <f t="shared" ref="R22" si="14">S22+T22</f>
        <v>3025356.04</v>
      </c>
      <c r="S22" s="1">
        <v>3025356.04</v>
      </c>
      <c r="T22" s="70">
        <v>0</v>
      </c>
      <c r="U22" s="4">
        <f t="shared" si="2"/>
        <v>462701.51</v>
      </c>
      <c r="V22" s="71">
        <v>462701.51</v>
      </c>
      <c r="W22" s="71">
        <v>0</v>
      </c>
      <c r="X22" s="4">
        <f t="shared" si="8"/>
        <v>71184.850000000006</v>
      </c>
      <c r="Y22" s="1">
        <v>71184.850000000006</v>
      </c>
      <c r="Z22" s="1">
        <v>0</v>
      </c>
      <c r="AA22" s="9">
        <f>AB22+AC22</f>
        <v>0</v>
      </c>
      <c r="AB22" s="9">
        <v>0</v>
      </c>
      <c r="AC22" s="9">
        <v>0</v>
      </c>
      <c r="AD22" s="44">
        <f t="shared" si="6"/>
        <v>3559242.4</v>
      </c>
      <c r="AE22" s="59">
        <v>0</v>
      </c>
      <c r="AF22" s="9">
        <f t="shared" si="4"/>
        <v>3559242.4</v>
      </c>
      <c r="AG22" s="59" t="s">
        <v>515</v>
      </c>
      <c r="AH22" s="59" t="s">
        <v>1970</v>
      </c>
      <c r="AI22" s="1">
        <f>82686.68+124620.54</f>
        <v>207307.21999999997</v>
      </c>
      <c r="AJ22" s="1">
        <f>12646.21+19059.61</f>
        <v>31705.82</v>
      </c>
    </row>
    <row r="23" spans="1:36" ht="141.75" x14ac:dyDescent="0.25">
      <c r="A23" s="5">
        <f t="shared" si="7"/>
        <v>20</v>
      </c>
      <c r="B23" s="15">
        <v>129702</v>
      </c>
      <c r="C23" s="5">
        <v>676</v>
      </c>
      <c r="D23" s="40" t="s">
        <v>1985</v>
      </c>
      <c r="E23" s="8" t="s">
        <v>1246</v>
      </c>
      <c r="F23" s="8" t="s">
        <v>1497</v>
      </c>
      <c r="G23" s="5" t="s">
        <v>676</v>
      </c>
      <c r="H23" s="5" t="s">
        <v>151</v>
      </c>
      <c r="I23" s="73" t="s">
        <v>1498</v>
      </c>
      <c r="J23" s="2">
        <v>43717</v>
      </c>
      <c r="K23" s="2">
        <v>44417</v>
      </c>
      <c r="L23" s="16">
        <f t="shared" si="0"/>
        <v>85</v>
      </c>
      <c r="M23" s="5">
        <v>5</v>
      </c>
      <c r="N23" s="5" t="s">
        <v>231</v>
      </c>
      <c r="O23" s="5" t="s">
        <v>231</v>
      </c>
      <c r="P23" s="6" t="s">
        <v>174</v>
      </c>
      <c r="Q23" s="5" t="s">
        <v>34</v>
      </c>
      <c r="R23" s="9">
        <f>S23+T23</f>
        <v>396508</v>
      </c>
      <c r="S23" s="1">
        <v>396508</v>
      </c>
      <c r="T23" s="70">
        <v>0</v>
      </c>
      <c r="U23" s="4">
        <f t="shared" si="2"/>
        <v>60642.400000000001</v>
      </c>
      <c r="V23" s="71">
        <v>60642.400000000001</v>
      </c>
      <c r="W23" s="71">
        <v>0</v>
      </c>
      <c r="X23" s="4">
        <f t="shared" si="8"/>
        <v>9329.6</v>
      </c>
      <c r="Y23" s="1">
        <v>9329.6</v>
      </c>
      <c r="Z23" s="1">
        <v>0</v>
      </c>
      <c r="AA23" s="9">
        <f>AB23+AC23</f>
        <v>0</v>
      </c>
      <c r="AB23" s="10">
        <v>0</v>
      </c>
      <c r="AC23" s="10">
        <v>0</v>
      </c>
      <c r="AD23" s="44">
        <f t="shared" si="6"/>
        <v>466480</v>
      </c>
      <c r="AE23" s="59">
        <v>0</v>
      </c>
      <c r="AF23" s="9">
        <f t="shared" si="4"/>
        <v>466480</v>
      </c>
      <c r="AG23" s="59" t="s">
        <v>515</v>
      </c>
      <c r="AH23" s="11" t="s">
        <v>151</v>
      </c>
      <c r="AI23" s="1">
        <v>1112.6500000000001</v>
      </c>
      <c r="AJ23" s="1">
        <v>170.17</v>
      </c>
    </row>
    <row r="24" spans="1:36" ht="141.75" x14ac:dyDescent="0.25">
      <c r="A24" s="5">
        <f t="shared" si="7"/>
        <v>21</v>
      </c>
      <c r="B24" s="15">
        <v>120652</v>
      </c>
      <c r="C24" s="6">
        <v>91</v>
      </c>
      <c r="D24" s="40" t="s">
        <v>1985</v>
      </c>
      <c r="E24" s="17" t="s">
        <v>278</v>
      </c>
      <c r="F24" s="8" t="s">
        <v>198</v>
      </c>
      <c r="G24" s="5" t="s">
        <v>620</v>
      </c>
      <c r="H24" s="5" t="s">
        <v>151</v>
      </c>
      <c r="I24" s="74" t="s">
        <v>203</v>
      </c>
      <c r="J24" s="2">
        <v>43145</v>
      </c>
      <c r="K24" s="2">
        <v>43510</v>
      </c>
      <c r="L24" s="16">
        <f t="shared" si="0"/>
        <v>84.999999389755786</v>
      </c>
      <c r="M24" s="5">
        <v>3</v>
      </c>
      <c r="N24" s="5" t="s">
        <v>200</v>
      </c>
      <c r="O24" s="5" t="s">
        <v>202</v>
      </c>
      <c r="P24" s="3" t="s">
        <v>174</v>
      </c>
      <c r="Q24" s="5" t="s">
        <v>34</v>
      </c>
      <c r="R24" s="9">
        <f t="shared" ref="R24" si="15">S24+T24</f>
        <v>348221.24</v>
      </c>
      <c r="S24" s="9">
        <v>348221.24</v>
      </c>
      <c r="T24" s="9">
        <v>0</v>
      </c>
      <c r="U24" s="4">
        <f t="shared" si="2"/>
        <v>53257.37</v>
      </c>
      <c r="V24" s="53">
        <v>53257.37</v>
      </c>
      <c r="W24" s="53">
        <v>0</v>
      </c>
      <c r="X24" s="4">
        <f t="shared" si="8"/>
        <v>8193.44</v>
      </c>
      <c r="Y24" s="9">
        <v>8193.44</v>
      </c>
      <c r="Z24" s="9">
        <v>0</v>
      </c>
      <c r="AA24" s="9">
        <f>AB24+AC24</f>
        <v>0</v>
      </c>
      <c r="AB24" s="9">
        <v>0</v>
      </c>
      <c r="AC24" s="9">
        <v>0</v>
      </c>
      <c r="AD24" s="44">
        <f t="shared" si="6"/>
        <v>409672.05</v>
      </c>
      <c r="AE24" s="9">
        <v>0</v>
      </c>
      <c r="AF24" s="9">
        <f t="shared" si="4"/>
        <v>409672.05</v>
      </c>
      <c r="AG24" s="49" t="s">
        <v>966</v>
      </c>
      <c r="AH24" s="13" t="s">
        <v>1010</v>
      </c>
      <c r="AI24" s="1">
        <v>334492.68000000005</v>
      </c>
      <c r="AJ24" s="1">
        <v>51157.71</v>
      </c>
    </row>
    <row r="25" spans="1:36" ht="141.75" x14ac:dyDescent="0.25">
      <c r="A25" s="5">
        <f t="shared" si="7"/>
        <v>22</v>
      </c>
      <c r="B25" s="15">
        <v>118191</v>
      </c>
      <c r="C25" s="75">
        <v>423</v>
      </c>
      <c r="D25" s="8" t="s">
        <v>1986</v>
      </c>
      <c r="E25" s="17" t="s">
        <v>540</v>
      </c>
      <c r="F25" s="8" t="s">
        <v>619</v>
      </c>
      <c r="G25" s="5" t="s">
        <v>620</v>
      </c>
      <c r="H25" s="5"/>
      <c r="I25" s="41" t="s">
        <v>621</v>
      </c>
      <c r="J25" s="2">
        <v>43284</v>
      </c>
      <c r="K25" s="2">
        <v>43649</v>
      </c>
      <c r="L25" s="16">
        <f t="shared" si="0"/>
        <v>85.000001358659858</v>
      </c>
      <c r="M25" s="5">
        <v>3</v>
      </c>
      <c r="N25" s="5" t="s">
        <v>200</v>
      </c>
      <c r="O25" s="5" t="s">
        <v>202</v>
      </c>
      <c r="P25" s="3" t="s">
        <v>174</v>
      </c>
      <c r="Q25" s="5" t="s">
        <v>34</v>
      </c>
      <c r="R25" s="76">
        <v>250246.6</v>
      </c>
      <c r="S25" s="1">
        <v>250246.6</v>
      </c>
      <c r="T25" s="9">
        <v>0</v>
      </c>
      <c r="U25" s="4">
        <f t="shared" si="2"/>
        <v>38273</v>
      </c>
      <c r="V25" s="77">
        <v>38273</v>
      </c>
      <c r="W25" s="53">
        <v>0</v>
      </c>
      <c r="X25" s="4">
        <f t="shared" si="8"/>
        <v>5888.16</v>
      </c>
      <c r="Y25" s="9">
        <v>5888.16</v>
      </c>
      <c r="Z25" s="9">
        <v>0</v>
      </c>
      <c r="AA25" s="9">
        <f t="shared" ref="AA25:AA40" si="16">AB25+AC25</f>
        <v>0</v>
      </c>
      <c r="AB25" s="9">
        <v>0</v>
      </c>
      <c r="AC25" s="9">
        <v>0</v>
      </c>
      <c r="AD25" s="44">
        <f t="shared" si="6"/>
        <v>294407.75999999995</v>
      </c>
      <c r="AE25" s="9"/>
      <c r="AF25" s="9">
        <f t="shared" si="4"/>
        <v>294407.75999999995</v>
      </c>
      <c r="AG25" s="49" t="s">
        <v>966</v>
      </c>
      <c r="AH25" s="13" t="s">
        <v>151</v>
      </c>
      <c r="AI25" s="1">
        <v>234372.19999999998</v>
      </c>
      <c r="AJ25" s="1">
        <v>35845.47</v>
      </c>
    </row>
    <row r="26" spans="1:36" ht="141.75" x14ac:dyDescent="0.25">
      <c r="A26" s="5">
        <f t="shared" si="7"/>
        <v>23</v>
      </c>
      <c r="B26" s="15">
        <v>118741</v>
      </c>
      <c r="C26" s="5">
        <v>459</v>
      </c>
      <c r="D26" s="40" t="s">
        <v>1985</v>
      </c>
      <c r="E26" s="8" t="s">
        <v>474</v>
      </c>
      <c r="F26" s="8" t="s">
        <v>647</v>
      </c>
      <c r="G26" s="5" t="s">
        <v>648</v>
      </c>
      <c r="H26" s="6" t="s">
        <v>151</v>
      </c>
      <c r="I26" s="8" t="s">
        <v>649</v>
      </c>
      <c r="J26" s="2">
        <v>43290</v>
      </c>
      <c r="K26" s="2">
        <v>43778</v>
      </c>
      <c r="L26" s="16">
        <f t="shared" si="0"/>
        <v>85.00000356420064</v>
      </c>
      <c r="M26" s="5">
        <v>3</v>
      </c>
      <c r="N26" s="2" t="s">
        <v>200</v>
      </c>
      <c r="O26" s="2" t="s">
        <v>202</v>
      </c>
      <c r="P26" s="2" t="s">
        <v>174</v>
      </c>
      <c r="Q26" s="5" t="s">
        <v>34</v>
      </c>
      <c r="R26" s="4">
        <v>512737.71</v>
      </c>
      <c r="S26" s="9">
        <v>512737.71</v>
      </c>
      <c r="T26" s="9">
        <v>0</v>
      </c>
      <c r="U26" s="4">
        <f t="shared" si="2"/>
        <v>78418.69</v>
      </c>
      <c r="V26" s="53">
        <v>78418.69</v>
      </c>
      <c r="W26" s="53">
        <v>0</v>
      </c>
      <c r="X26" s="4">
        <f t="shared" si="8"/>
        <v>12064.41</v>
      </c>
      <c r="Y26" s="9">
        <v>12064.41</v>
      </c>
      <c r="Z26" s="9">
        <v>0</v>
      </c>
      <c r="AA26" s="9">
        <f t="shared" si="16"/>
        <v>0</v>
      </c>
      <c r="AB26" s="9">
        <v>0</v>
      </c>
      <c r="AC26" s="9">
        <v>0</v>
      </c>
      <c r="AD26" s="44">
        <f t="shared" si="6"/>
        <v>603220.81000000006</v>
      </c>
      <c r="AE26" s="11"/>
      <c r="AF26" s="9">
        <f t="shared" si="4"/>
        <v>603220.81000000006</v>
      </c>
      <c r="AG26" s="49" t="s">
        <v>966</v>
      </c>
      <c r="AH26" s="11"/>
      <c r="AI26" s="1">
        <v>329928.18</v>
      </c>
      <c r="AJ26" s="1">
        <v>50459.58</v>
      </c>
    </row>
    <row r="27" spans="1:36" ht="141.75" x14ac:dyDescent="0.25">
      <c r="A27" s="5">
        <f t="shared" si="7"/>
        <v>24</v>
      </c>
      <c r="B27" s="78">
        <v>126349</v>
      </c>
      <c r="C27" s="6">
        <v>566</v>
      </c>
      <c r="D27" s="40" t="s">
        <v>1985</v>
      </c>
      <c r="E27" s="8" t="s">
        <v>1018</v>
      </c>
      <c r="F27" s="8" t="s">
        <v>1104</v>
      </c>
      <c r="G27" s="5" t="s">
        <v>620</v>
      </c>
      <c r="H27" s="6" t="s">
        <v>151</v>
      </c>
      <c r="I27" s="8" t="s">
        <v>1105</v>
      </c>
      <c r="J27" s="2">
        <v>43482</v>
      </c>
      <c r="K27" s="2">
        <v>44456</v>
      </c>
      <c r="L27" s="16">
        <f t="shared" si="0"/>
        <v>85.000000750761799</v>
      </c>
      <c r="M27" s="5">
        <v>3</v>
      </c>
      <c r="N27" s="2" t="s">
        <v>200</v>
      </c>
      <c r="O27" s="2" t="s">
        <v>202</v>
      </c>
      <c r="P27" s="2" t="s">
        <v>174</v>
      </c>
      <c r="Q27" s="5" t="s">
        <v>34</v>
      </c>
      <c r="R27" s="4">
        <f>S27+T27</f>
        <v>3396550.05</v>
      </c>
      <c r="S27" s="9">
        <v>3396550.05</v>
      </c>
      <c r="T27" s="9">
        <v>0</v>
      </c>
      <c r="U27" s="4">
        <f t="shared" si="2"/>
        <v>519472.32</v>
      </c>
      <c r="V27" s="53">
        <v>519472.32</v>
      </c>
      <c r="W27" s="53">
        <v>0</v>
      </c>
      <c r="X27" s="4">
        <f t="shared" si="8"/>
        <v>79918.83</v>
      </c>
      <c r="Y27" s="9">
        <v>79918.83</v>
      </c>
      <c r="Z27" s="9">
        <v>0</v>
      </c>
      <c r="AA27" s="9">
        <f>AB27+AC27</f>
        <v>0</v>
      </c>
      <c r="AB27" s="9">
        <v>0</v>
      </c>
      <c r="AC27" s="9">
        <v>0</v>
      </c>
      <c r="AD27" s="44">
        <f t="shared" si="6"/>
        <v>3995941.1999999997</v>
      </c>
      <c r="AE27" s="11">
        <v>0</v>
      </c>
      <c r="AF27" s="9">
        <f t="shared" si="4"/>
        <v>3995941.1999999997</v>
      </c>
      <c r="AG27" s="59" t="s">
        <v>515</v>
      </c>
      <c r="AH27" s="11" t="s">
        <v>1882</v>
      </c>
      <c r="AI27" s="1">
        <f>571396.75+311875.46+135188.65+671264.55+7347.4</f>
        <v>1697072.81</v>
      </c>
      <c r="AJ27" s="1">
        <f>87390.09+47698.6+20675.91+102663.99+1123.72</f>
        <v>259552.31000000003</v>
      </c>
    </row>
    <row r="28" spans="1:36" ht="141.75" x14ac:dyDescent="0.25">
      <c r="A28" s="5">
        <f t="shared" si="7"/>
        <v>25</v>
      </c>
      <c r="B28" s="78">
        <v>128987</v>
      </c>
      <c r="C28" s="6">
        <v>649</v>
      </c>
      <c r="D28" s="40" t="s">
        <v>1985</v>
      </c>
      <c r="E28" s="79" t="s">
        <v>1246</v>
      </c>
      <c r="F28" s="55" t="s">
        <v>1276</v>
      </c>
      <c r="G28" s="5" t="s">
        <v>648</v>
      </c>
      <c r="H28" s="6" t="s">
        <v>151</v>
      </c>
      <c r="I28" s="8" t="s">
        <v>1277</v>
      </c>
      <c r="J28" s="2">
        <v>43626</v>
      </c>
      <c r="K28" s="2">
        <v>44540</v>
      </c>
      <c r="L28" s="16">
        <f t="shared" si="0"/>
        <v>85.000000101931988</v>
      </c>
      <c r="M28" s="5">
        <v>3</v>
      </c>
      <c r="N28" s="2" t="s">
        <v>200</v>
      </c>
      <c r="O28" s="2" t="s">
        <v>202</v>
      </c>
      <c r="P28" s="2" t="s">
        <v>174</v>
      </c>
      <c r="Q28" s="5" t="s">
        <v>34</v>
      </c>
      <c r="R28" s="4">
        <f>S28+T28</f>
        <v>2501668.17</v>
      </c>
      <c r="S28" s="9">
        <v>2501668.17</v>
      </c>
      <c r="T28" s="9">
        <v>0</v>
      </c>
      <c r="U28" s="4">
        <f t="shared" si="2"/>
        <v>382608.07</v>
      </c>
      <c r="V28" s="53">
        <v>382608.07</v>
      </c>
      <c r="W28" s="53">
        <v>0</v>
      </c>
      <c r="X28" s="4">
        <f t="shared" si="8"/>
        <v>58862.78</v>
      </c>
      <c r="Y28" s="9">
        <v>58862.78</v>
      </c>
      <c r="Z28" s="9">
        <v>0</v>
      </c>
      <c r="AA28" s="9">
        <f>AB28+AC28</f>
        <v>0</v>
      </c>
      <c r="AB28" s="9">
        <v>0</v>
      </c>
      <c r="AC28" s="9">
        <v>0</v>
      </c>
      <c r="AD28" s="44">
        <f t="shared" si="6"/>
        <v>2943139.0199999996</v>
      </c>
      <c r="AE28" s="80">
        <v>0</v>
      </c>
      <c r="AF28" s="9">
        <f t="shared" si="4"/>
        <v>2943139.0199999996</v>
      </c>
      <c r="AG28" s="59" t="s">
        <v>515</v>
      </c>
      <c r="AH28" s="11" t="s">
        <v>151</v>
      </c>
      <c r="AI28" s="1">
        <f>172108.45+69321.51+212559.13+207716.59+176610.66</f>
        <v>838316.34000000008</v>
      </c>
      <c r="AJ28" s="1">
        <f>26322.47+10602.12+32509.04+31768.42+27011.04</f>
        <v>128213.09</v>
      </c>
    </row>
    <row r="29" spans="1:36" ht="180" x14ac:dyDescent="0.25">
      <c r="A29" s="5">
        <f t="shared" si="7"/>
        <v>26</v>
      </c>
      <c r="B29" s="78">
        <v>135776</v>
      </c>
      <c r="C29" s="6">
        <v>799</v>
      </c>
      <c r="D29" s="40" t="s">
        <v>1985</v>
      </c>
      <c r="E29" s="81" t="s">
        <v>1701</v>
      </c>
      <c r="F29" s="55" t="s">
        <v>1783</v>
      </c>
      <c r="G29" s="5" t="s">
        <v>620</v>
      </c>
      <c r="H29" s="6" t="s">
        <v>151</v>
      </c>
      <c r="I29" s="8" t="s">
        <v>1784</v>
      </c>
      <c r="J29" s="2">
        <v>43969</v>
      </c>
      <c r="K29" s="2">
        <v>44638</v>
      </c>
      <c r="L29" s="16">
        <f t="shared" si="0"/>
        <v>85.000000325618146</v>
      </c>
      <c r="M29" s="5">
        <v>3</v>
      </c>
      <c r="N29" s="2" t="s">
        <v>200</v>
      </c>
      <c r="O29" s="2" t="s">
        <v>202</v>
      </c>
      <c r="P29" s="2" t="s">
        <v>174</v>
      </c>
      <c r="Q29" s="62" t="s">
        <v>34</v>
      </c>
      <c r="R29" s="4">
        <f>S29+T29</f>
        <v>783125.93</v>
      </c>
      <c r="S29" s="9">
        <v>783125.93</v>
      </c>
      <c r="T29" s="9">
        <v>0</v>
      </c>
      <c r="U29" s="4">
        <f t="shared" si="2"/>
        <v>119772.2</v>
      </c>
      <c r="V29" s="53">
        <v>119772.2</v>
      </c>
      <c r="W29" s="53">
        <v>0</v>
      </c>
      <c r="X29" s="4">
        <f t="shared" si="8"/>
        <v>18426.490000000002</v>
      </c>
      <c r="Y29" s="9">
        <v>18426.490000000002</v>
      </c>
      <c r="Z29" s="9">
        <v>0</v>
      </c>
      <c r="AA29" s="9">
        <f>AB29+AC29</f>
        <v>0</v>
      </c>
      <c r="AB29" s="9">
        <v>0</v>
      </c>
      <c r="AC29" s="9">
        <v>0</v>
      </c>
      <c r="AD29" s="44">
        <f t="shared" si="6"/>
        <v>921324.62</v>
      </c>
      <c r="AE29" s="80">
        <v>0</v>
      </c>
      <c r="AF29" s="9">
        <f t="shared" si="4"/>
        <v>921324.62</v>
      </c>
      <c r="AG29" s="59" t="s">
        <v>515</v>
      </c>
      <c r="AH29" s="11" t="s">
        <v>151</v>
      </c>
      <c r="AI29" s="1">
        <f>27777.15+74882.45+3759.55+6011.2</f>
        <v>112430.35</v>
      </c>
      <c r="AJ29" s="1">
        <f>4248.27+11452.61+574.99+919.36</f>
        <v>17195.23</v>
      </c>
    </row>
    <row r="30" spans="1:36" ht="141.75" x14ac:dyDescent="0.25">
      <c r="A30" s="5">
        <f t="shared" si="7"/>
        <v>27</v>
      </c>
      <c r="B30" s="78">
        <v>119613</v>
      </c>
      <c r="C30" s="6">
        <v>461</v>
      </c>
      <c r="D30" s="40" t="s">
        <v>1985</v>
      </c>
      <c r="E30" s="8" t="s">
        <v>474</v>
      </c>
      <c r="F30" s="8" t="s">
        <v>808</v>
      </c>
      <c r="G30" s="5" t="s">
        <v>809</v>
      </c>
      <c r="H30" s="6" t="s">
        <v>151</v>
      </c>
      <c r="I30" s="8" t="s">
        <v>810</v>
      </c>
      <c r="J30" s="2">
        <v>43320</v>
      </c>
      <c r="K30" s="2">
        <v>43646</v>
      </c>
      <c r="L30" s="16">
        <f t="shared" si="0"/>
        <v>85.00000179686964</v>
      </c>
      <c r="M30" s="5">
        <v>1</v>
      </c>
      <c r="N30" s="5" t="s">
        <v>292</v>
      </c>
      <c r="O30" s="5" t="s">
        <v>292</v>
      </c>
      <c r="P30" s="2" t="s">
        <v>174</v>
      </c>
      <c r="Q30" s="5" t="s">
        <v>34</v>
      </c>
      <c r="R30" s="9">
        <f t="shared" ref="R30" si="17">S30+T30</f>
        <v>236522.45</v>
      </c>
      <c r="S30" s="9">
        <v>236522.45</v>
      </c>
      <c r="T30" s="9">
        <v>0</v>
      </c>
      <c r="U30" s="4">
        <f t="shared" si="2"/>
        <v>36174.019999999997</v>
      </c>
      <c r="V30" s="82">
        <v>36174.019999999997</v>
      </c>
      <c r="W30" s="83">
        <v>0</v>
      </c>
      <c r="X30" s="4">
        <f t="shared" si="8"/>
        <v>5565.23</v>
      </c>
      <c r="Y30" s="69">
        <v>5565.23</v>
      </c>
      <c r="Z30" s="84">
        <v>0</v>
      </c>
      <c r="AA30" s="9">
        <v>0</v>
      </c>
      <c r="AB30" s="9">
        <v>0</v>
      </c>
      <c r="AC30" s="9">
        <v>0</v>
      </c>
      <c r="AD30" s="44">
        <f t="shared" si="6"/>
        <v>278261.7</v>
      </c>
      <c r="AE30" s="9">
        <v>37449.300000000003</v>
      </c>
      <c r="AF30" s="9">
        <f t="shared" si="4"/>
        <v>315711</v>
      </c>
      <c r="AG30" s="49" t="s">
        <v>966</v>
      </c>
      <c r="AH30" s="13" t="s">
        <v>1256</v>
      </c>
      <c r="AI30" s="1">
        <v>227036.25</v>
      </c>
      <c r="AJ30" s="1">
        <v>34723.18</v>
      </c>
    </row>
    <row r="31" spans="1:36" ht="283.5" x14ac:dyDescent="0.25">
      <c r="A31" s="5">
        <f t="shared" si="7"/>
        <v>28</v>
      </c>
      <c r="B31" s="78">
        <v>118515</v>
      </c>
      <c r="C31" s="6">
        <v>429</v>
      </c>
      <c r="D31" s="8" t="s">
        <v>1986</v>
      </c>
      <c r="E31" s="8" t="s">
        <v>540</v>
      </c>
      <c r="F31" s="8" t="s">
        <v>858</v>
      </c>
      <c r="G31" s="5" t="s">
        <v>809</v>
      </c>
      <c r="H31" s="6" t="s">
        <v>151</v>
      </c>
      <c r="I31" s="8" t="s">
        <v>859</v>
      </c>
      <c r="J31" s="2">
        <v>43333</v>
      </c>
      <c r="K31" s="2">
        <v>43820</v>
      </c>
      <c r="L31" s="16">
        <f t="shared" si="0"/>
        <v>85</v>
      </c>
      <c r="M31" s="5">
        <v>1</v>
      </c>
      <c r="N31" s="5" t="s">
        <v>292</v>
      </c>
      <c r="O31" s="5" t="s">
        <v>292</v>
      </c>
      <c r="P31" s="2" t="s">
        <v>174</v>
      </c>
      <c r="Q31" s="5" t="s">
        <v>34</v>
      </c>
      <c r="R31" s="9">
        <f t="shared" ref="R31:R32" si="18">S31+T31</f>
        <v>339452.6</v>
      </c>
      <c r="S31" s="1">
        <v>339452.6</v>
      </c>
      <c r="T31" s="1">
        <v>0</v>
      </c>
      <c r="U31" s="4">
        <f t="shared" si="2"/>
        <v>51916.28</v>
      </c>
      <c r="V31" s="71">
        <v>51916.28</v>
      </c>
      <c r="W31" s="85">
        <v>0</v>
      </c>
      <c r="X31" s="4">
        <f t="shared" si="8"/>
        <v>7987.12</v>
      </c>
      <c r="Y31" s="1">
        <v>7987.12</v>
      </c>
      <c r="Z31" s="1">
        <v>0</v>
      </c>
      <c r="AA31" s="9">
        <f t="shared" si="16"/>
        <v>0</v>
      </c>
      <c r="AB31" s="9">
        <v>0</v>
      </c>
      <c r="AC31" s="9">
        <v>0</v>
      </c>
      <c r="AD31" s="44">
        <f t="shared" si="6"/>
        <v>399356</v>
      </c>
      <c r="AE31" s="9">
        <v>58024.99</v>
      </c>
      <c r="AF31" s="9">
        <f t="shared" si="4"/>
        <v>457380.99</v>
      </c>
      <c r="AG31" s="59" t="s">
        <v>966</v>
      </c>
      <c r="AH31" s="13" t="s">
        <v>151</v>
      </c>
      <c r="AI31" s="1">
        <v>321570.08</v>
      </c>
      <c r="AJ31" s="1">
        <v>49181.31</v>
      </c>
    </row>
    <row r="32" spans="1:36" ht="157.5" x14ac:dyDescent="0.25">
      <c r="A32" s="5">
        <f t="shared" si="7"/>
        <v>29</v>
      </c>
      <c r="B32" s="78">
        <v>126161</v>
      </c>
      <c r="C32" s="6">
        <v>571</v>
      </c>
      <c r="D32" s="40" t="s">
        <v>1985</v>
      </c>
      <c r="E32" s="8" t="s">
        <v>1018</v>
      </c>
      <c r="F32" s="8" t="s">
        <v>1048</v>
      </c>
      <c r="G32" s="5" t="s">
        <v>288</v>
      </c>
      <c r="H32" s="6" t="s">
        <v>151</v>
      </c>
      <c r="I32" s="8" t="s">
        <v>1049</v>
      </c>
      <c r="J32" s="2">
        <v>43444</v>
      </c>
      <c r="K32" s="2">
        <v>44479</v>
      </c>
      <c r="L32" s="16">
        <f t="shared" si="0"/>
        <v>84.999999835393808</v>
      </c>
      <c r="M32" s="5">
        <v>1</v>
      </c>
      <c r="N32" s="5" t="s">
        <v>292</v>
      </c>
      <c r="O32" s="5" t="s">
        <v>292</v>
      </c>
      <c r="P32" s="2" t="s">
        <v>174</v>
      </c>
      <c r="Q32" s="5" t="s">
        <v>34</v>
      </c>
      <c r="R32" s="9">
        <f t="shared" si="18"/>
        <v>2323727.9300000002</v>
      </c>
      <c r="S32" s="1">
        <v>2323727.9300000002</v>
      </c>
      <c r="T32" s="1">
        <v>0</v>
      </c>
      <c r="U32" s="4">
        <f t="shared" si="2"/>
        <v>355393.68</v>
      </c>
      <c r="V32" s="71">
        <v>355393.68</v>
      </c>
      <c r="W32" s="85">
        <v>0</v>
      </c>
      <c r="X32" s="4">
        <f t="shared" si="8"/>
        <v>54675.96</v>
      </c>
      <c r="Y32" s="1">
        <v>54675.96</v>
      </c>
      <c r="Z32" s="1">
        <v>0</v>
      </c>
      <c r="AA32" s="9">
        <f t="shared" si="16"/>
        <v>0</v>
      </c>
      <c r="AB32" s="9">
        <v>0</v>
      </c>
      <c r="AC32" s="9">
        <v>0</v>
      </c>
      <c r="AD32" s="44">
        <f t="shared" si="6"/>
        <v>2733797.5700000003</v>
      </c>
      <c r="AE32" s="9">
        <v>80920</v>
      </c>
      <c r="AF32" s="9">
        <f t="shared" si="4"/>
        <v>2814717.5700000003</v>
      </c>
      <c r="AG32" s="59" t="s">
        <v>515</v>
      </c>
      <c r="AH32" s="13" t="s">
        <v>2112</v>
      </c>
      <c r="AI32" s="1">
        <f>250763.77+23449.8+19694.5+1046062.95+19963.1+59091.83+236490.4</f>
        <v>1655516.35</v>
      </c>
      <c r="AJ32" s="1">
        <f>38352.11+3586.44+3012.1+159986.1+3053.18+9037.57+36169.12</f>
        <v>253196.62</v>
      </c>
    </row>
    <row r="33" spans="1:36" ht="141.75" x14ac:dyDescent="0.25">
      <c r="A33" s="5">
        <f t="shared" si="7"/>
        <v>30</v>
      </c>
      <c r="B33" s="78">
        <v>128880</v>
      </c>
      <c r="C33" s="6">
        <v>652</v>
      </c>
      <c r="D33" s="40" t="s">
        <v>1985</v>
      </c>
      <c r="E33" s="8" t="s">
        <v>1246</v>
      </c>
      <c r="F33" s="8" t="s">
        <v>1320</v>
      </c>
      <c r="G33" s="5" t="s">
        <v>809</v>
      </c>
      <c r="H33" s="6" t="s">
        <v>151</v>
      </c>
      <c r="I33" s="8" t="s">
        <v>1321</v>
      </c>
      <c r="J33" s="2">
        <v>43643</v>
      </c>
      <c r="K33" s="2">
        <v>44557</v>
      </c>
      <c r="L33" s="16">
        <f t="shared" si="0"/>
        <v>85</v>
      </c>
      <c r="M33" s="5">
        <v>1</v>
      </c>
      <c r="N33" s="5" t="s">
        <v>292</v>
      </c>
      <c r="O33" s="5" t="s">
        <v>292</v>
      </c>
      <c r="P33" s="2" t="s">
        <v>174</v>
      </c>
      <c r="Q33" s="5" t="s">
        <v>34</v>
      </c>
      <c r="R33" s="9">
        <f>S33+T33</f>
        <v>2545487.35</v>
      </c>
      <c r="S33" s="1">
        <v>2545487.35</v>
      </c>
      <c r="T33" s="1">
        <v>0</v>
      </c>
      <c r="U33" s="4">
        <f t="shared" si="2"/>
        <v>389309.83</v>
      </c>
      <c r="V33" s="71">
        <v>389309.83</v>
      </c>
      <c r="W33" s="71">
        <v>0</v>
      </c>
      <c r="X33" s="4">
        <f t="shared" si="8"/>
        <v>59893.82</v>
      </c>
      <c r="Y33" s="1">
        <v>59893.82</v>
      </c>
      <c r="Z33" s="1">
        <v>0</v>
      </c>
      <c r="AA33" s="9">
        <f>AB33+AC33</f>
        <v>0</v>
      </c>
      <c r="AB33" s="4">
        <v>0</v>
      </c>
      <c r="AC33" s="4">
        <v>0</v>
      </c>
      <c r="AD33" s="44">
        <f t="shared" si="6"/>
        <v>2994691</v>
      </c>
      <c r="AE33" s="9">
        <v>0</v>
      </c>
      <c r="AF33" s="9">
        <f t="shared" si="4"/>
        <v>2994691</v>
      </c>
      <c r="AG33" s="59" t="s">
        <v>515</v>
      </c>
      <c r="AH33" s="13" t="s">
        <v>2056</v>
      </c>
      <c r="AI33" s="1">
        <f>36393.57+45074.65+33467.9+14357.35+42214.4+402357.54+39890.5+32996.15+1008556.09</f>
        <v>1655308.15</v>
      </c>
      <c r="AJ33" s="1">
        <f>5566.07+6893.77+5118.62+2195.83+6456.32+61537.02+6100.9+5046.47+154249.76</f>
        <v>253164.76</v>
      </c>
    </row>
    <row r="34" spans="1:36" ht="141.75" x14ac:dyDescent="0.25">
      <c r="A34" s="5">
        <f t="shared" si="7"/>
        <v>31</v>
      </c>
      <c r="B34" s="15">
        <v>120769</v>
      </c>
      <c r="C34" s="6">
        <v>96</v>
      </c>
      <c r="D34" s="40" t="s">
        <v>1985</v>
      </c>
      <c r="E34" s="17" t="s">
        <v>278</v>
      </c>
      <c r="F34" s="8" t="s">
        <v>289</v>
      </c>
      <c r="G34" s="5" t="s">
        <v>288</v>
      </c>
      <c r="H34" s="5" t="s">
        <v>290</v>
      </c>
      <c r="I34" s="86" t="s">
        <v>291</v>
      </c>
      <c r="J34" s="2">
        <v>43186</v>
      </c>
      <c r="K34" s="2">
        <v>43673</v>
      </c>
      <c r="L34" s="16">
        <f t="shared" si="0"/>
        <v>84.154097257132506</v>
      </c>
      <c r="M34" s="5">
        <v>1</v>
      </c>
      <c r="N34" s="5" t="s">
        <v>292</v>
      </c>
      <c r="O34" s="5" t="s">
        <v>292</v>
      </c>
      <c r="P34" s="3" t="s">
        <v>174</v>
      </c>
      <c r="Q34" s="5" t="s">
        <v>34</v>
      </c>
      <c r="R34" s="9">
        <f t="shared" ref="R34:R38" si="19">S34+T34</f>
        <v>357519.4</v>
      </c>
      <c r="S34" s="9">
        <v>357519.4</v>
      </c>
      <c r="T34" s="9">
        <v>0</v>
      </c>
      <c r="U34" s="4">
        <f t="shared" si="2"/>
        <v>58822.79</v>
      </c>
      <c r="V34" s="53">
        <v>58822.79</v>
      </c>
      <c r="W34" s="53">
        <v>0</v>
      </c>
      <c r="X34" s="4">
        <f t="shared" si="8"/>
        <v>8496.7800000000007</v>
      </c>
      <c r="Y34" s="9">
        <v>8496.7800000000007</v>
      </c>
      <c r="Z34" s="9">
        <v>0</v>
      </c>
      <c r="AA34" s="9">
        <f t="shared" ref="AA34" si="20">AB34+AC34</f>
        <v>0</v>
      </c>
      <c r="AB34" s="9">
        <v>0</v>
      </c>
      <c r="AC34" s="9">
        <v>0</v>
      </c>
      <c r="AD34" s="44">
        <f t="shared" si="6"/>
        <v>424838.97000000003</v>
      </c>
      <c r="AE34" s="9">
        <v>0</v>
      </c>
      <c r="AF34" s="9">
        <f t="shared" si="4"/>
        <v>424838.97000000003</v>
      </c>
      <c r="AG34" s="49" t="s">
        <v>966</v>
      </c>
      <c r="AH34" s="13" t="s">
        <v>151</v>
      </c>
      <c r="AI34" s="1">
        <v>328987.4200000001</v>
      </c>
      <c r="AJ34" s="1">
        <v>54146.78</v>
      </c>
    </row>
    <row r="35" spans="1:36" ht="267.75" x14ac:dyDescent="0.25">
      <c r="A35" s="5">
        <f t="shared" si="7"/>
        <v>32</v>
      </c>
      <c r="B35" s="15">
        <v>128863</v>
      </c>
      <c r="C35" s="6">
        <v>638</v>
      </c>
      <c r="D35" s="40" t="s">
        <v>1985</v>
      </c>
      <c r="E35" s="17" t="s">
        <v>1246</v>
      </c>
      <c r="F35" s="8" t="s">
        <v>1402</v>
      </c>
      <c r="G35" s="5" t="s">
        <v>1403</v>
      </c>
      <c r="H35" s="5" t="s">
        <v>362</v>
      </c>
      <c r="I35" s="86" t="s">
        <v>1405</v>
      </c>
      <c r="J35" s="2">
        <v>43679</v>
      </c>
      <c r="K35" s="2">
        <v>44471</v>
      </c>
      <c r="L35" s="16">
        <f t="shared" si="0"/>
        <v>84.99999967540424</v>
      </c>
      <c r="M35" s="5">
        <v>1</v>
      </c>
      <c r="N35" s="5" t="s">
        <v>292</v>
      </c>
      <c r="O35" s="5" t="s">
        <v>1404</v>
      </c>
      <c r="P35" s="3" t="s">
        <v>174</v>
      </c>
      <c r="Q35" s="5" t="s">
        <v>34</v>
      </c>
      <c r="R35" s="9">
        <f t="shared" si="19"/>
        <v>2356777.4300000002</v>
      </c>
      <c r="S35" s="9">
        <v>2356777.4300000002</v>
      </c>
      <c r="T35" s="9">
        <v>0</v>
      </c>
      <c r="U35" s="4">
        <f t="shared" si="2"/>
        <v>360448.32</v>
      </c>
      <c r="V35" s="53">
        <v>360448.32</v>
      </c>
      <c r="W35" s="53">
        <v>0</v>
      </c>
      <c r="X35" s="4">
        <f t="shared" si="8"/>
        <v>55453.59</v>
      </c>
      <c r="Y35" s="9">
        <v>55453.59</v>
      </c>
      <c r="Z35" s="9">
        <v>0</v>
      </c>
      <c r="AA35" s="9">
        <v>0</v>
      </c>
      <c r="AB35" s="9">
        <v>0</v>
      </c>
      <c r="AC35" s="9">
        <v>0</v>
      </c>
      <c r="AD35" s="44">
        <f t="shared" si="6"/>
        <v>2772679.34</v>
      </c>
      <c r="AE35" s="9">
        <v>0</v>
      </c>
      <c r="AF35" s="9">
        <f t="shared" si="4"/>
        <v>2772679.34</v>
      </c>
      <c r="AG35" s="59" t="s">
        <v>515</v>
      </c>
      <c r="AH35" s="13" t="s">
        <v>2120</v>
      </c>
      <c r="AI35" s="1">
        <f>2811.97+97537.5+36969.05+997291.46+249334.75+469958.2</f>
        <v>1853902.93</v>
      </c>
      <c r="AJ35" s="1">
        <f>430.07+14917.5+5654.09+152526.93+38133.55+71875.96</f>
        <v>283538.10000000003</v>
      </c>
    </row>
    <row r="36" spans="1:36" ht="283.5" x14ac:dyDescent="0.25">
      <c r="A36" s="5">
        <f t="shared" si="7"/>
        <v>33</v>
      </c>
      <c r="B36" s="15">
        <v>135485</v>
      </c>
      <c r="C36" s="6">
        <v>790</v>
      </c>
      <c r="D36" s="40" t="s">
        <v>1985</v>
      </c>
      <c r="E36" s="17" t="s">
        <v>1701</v>
      </c>
      <c r="F36" s="8" t="s">
        <v>1712</v>
      </c>
      <c r="G36" s="5" t="s">
        <v>1403</v>
      </c>
      <c r="H36" s="5" t="s">
        <v>362</v>
      </c>
      <c r="I36" s="41" t="s">
        <v>1713</v>
      </c>
      <c r="J36" s="2">
        <v>43949</v>
      </c>
      <c r="K36" s="2">
        <v>44589</v>
      </c>
      <c r="L36" s="16">
        <f t="shared" si="0"/>
        <v>85.000000553699934</v>
      </c>
      <c r="M36" s="5">
        <v>1</v>
      </c>
      <c r="N36" s="5" t="s">
        <v>292</v>
      </c>
      <c r="O36" s="5" t="s">
        <v>1404</v>
      </c>
      <c r="P36" s="3" t="s">
        <v>174</v>
      </c>
      <c r="Q36" s="5" t="s">
        <v>1714</v>
      </c>
      <c r="R36" s="9">
        <f t="shared" si="19"/>
        <v>2302691.2400000002</v>
      </c>
      <c r="S36" s="9">
        <v>2302691.2400000002</v>
      </c>
      <c r="T36" s="9">
        <v>0</v>
      </c>
      <c r="U36" s="4">
        <f t="shared" si="2"/>
        <v>352176.29</v>
      </c>
      <c r="V36" s="53">
        <v>352176.29</v>
      </c>
      <c r="W36" s="53">
        <v>0</v>
      </c>
      <c r="X36" s="4">
        <f t="shared" si="8"/>
        <v>54180.969999999994</v>
      </c>
      <c r="Y36" s="9">
        <v>54180.969999999994</v>
      </c>
      <c r="Z36" s="9">
        <v>0</v>
      </c>
      <c r="AA36" s="9">
        <v>0</v>
      </c>
      <c r="AB36" s="9">
        <v>0</v>
      </c>
      <c r="AC36" s="9">
        <v>0</v>
      </c>
      <c r="AD36" s="44">
        <f t="shared" si="6"/>
        <v>2709048.5000000005</v>
      </c>
      <c r="AE36" s="9">
        <v>0</v>
      </c>
      <c r="AF36" s="9">
        <f t="shared" si="4"/>
        <v>2709048.5000000005</v>
      </c>
      <c r="AG36" s="59" t="s">
        <v>515</v>
      </c>
      <c r="AH36" s="13" t="s">
        <v>2046</v>
      </c>
      <c r="AI36" s="1">
        <f>24515.7+74707.79+52395.7</f>
        <v>151619.19</v>
      </c>
      <c r="AJ36" s="1">
        <f>3749.46+11425.9+8013.46</f>
        <v>23188.82</v>
      </c>
    </row>
    <row r="37" spans="1:36" ht="283.5" x14ac:dyDescent="0.25">
      <c r="A37" s="5">
        <f t="shared" si="7"/>
        <v>34</v>
      </c>
      <c r="B37" s="15">
        <v>136322</v>
      </c>
      <c r="C37" s="5">
        <v>833</v>
      </c>
      <c r="D37" s="40" t="s">
        <v>1985</v>
      </c>
      <c r="E37" s="17" t="s">
        <v>1701</v>
      </c>
      <c r="F37" s="8" t="s">
        <v>1717</v>
      </c>
      <c r="G37" s="5" t="s">
        <v>288</v>
      </c>
      <c r="H37" s="5" t="s">
        <v>362</v>
      </c>
      <c r="I37" s="41" t="s">
        <v>1718</v>
      </c>
      <c r="J37" s="2">
        <v>43957</v>
      </c>
      <c r="K37" s="2">
        <v>44506</v>
      </c>
      <c r="L37" s="16">
        <f t="shared" si="0"/>
        <v>85</v>
      </c>
      <c r="M37" s="5">
        <v>1</v>
      </c>
      <c r="N37" s="5" t="s">
        <v>292</v>
      </c>
      <c r="O37" s="5" t="s">
        <v>292</v>
      </c>
      <c r="P37" s="3" t="s">
        <v>174</v>
      </c>
      <c r="Q37" s="5" t="s">
        <v>1714</v>
      </c>
      <c r="R37" s="9">
        <f t="shared" si="19"/>
        <v>813366.19</v>
      </c>
      <c r="S37" s="9">
        <v>813366.19</v>
      </c>
      <c r="T37" s="9">
        <v>0</v>
      </c>
      <c r="U37" s="4">
        <f t="shared" si="2"/>
        <v>124397.18</v>
      </c>
      <c r="V37" s="53">
        <v>124397.18</v>
      </c>
      <c r="W37" s="53">
        <v>0</v>
      </c>
      <c r="X37" s="4">
        <f t="shared" si="8"/>
        <v>19138.03</v>
      </c>
      <c r="Y37" s="9">
        <v>19138.03</v>
      </c>
      <c r="Z37" s="9">
        <v>0</v>
      </c>
      <c r="AA37" s="9">
        <v>0</v>
      </c>
      <c r="AB37" s="9">
        <v>0</v>
      </c>
      <c r="AC37" s="9">
        <v>0</v>
      </c>
      <c r="AD37" s="44">
        <f t="shared" si="6"/>
        <v>956901.39999999991</v>
      </c>
      <c r="AE37" s="9">
        <v>0</v>
      </c>
      <c r="AF37" s="9">
        <f t="shared" si="4"/>
        <v>956901.39999999991</v>
      </c>
      <c r="AG37" s="59" t="s">
        <v>515</v>
      </c>
      <c r="AH37" s="13" t="s">
        <v>151</v>
      </c>
      <c r="AI37" s="1">
        <f>35884.37+50135.18+9778.4+63310.55+10298.6</f>
        <v>169407.1</v>
      </c>
      <c r="AJ37" s="1">
        <f>5488.19+7667.73+1495.52+9682.79+1575.08</f>
        <v>25909.309999999998</v>
      </c>
    </row>
    <row r="38" spans="1:36" ht="283.5" x14ac:dyDescent="0.25">
      <c r="A38" s="5">
        <f t="shared" si="7"/>
        <v>35</v>
      </c>
      <c r="B38" s="15">
        <v>136013</v>
      </c>
      <c r="C38" s="5">
        <v>808</v>
      </c>
      <c r="D38" s="40" t="s">
        <v>1985</v>
      </c>
      <c r="E38" s="17" t="s">
        <v>1701</v>
      </c>
      <c r="F38" s="8" t="s">
        <v>1860</v>
      </c>
      <c r="G38" s="5" t="s">
        <v>809</v>
      </c>
      <c r="H38" s="5" t="s">
        <v>362</v>
      </c>
      <c r="I38" s="41" t="s">
        <v>1861</v>
      </c>
      <c r="J38" s="2">
        <v>44011</v>
      </c>
      <c r="K38" s="2">
        <v>44924</v>
      </c>
      <c r="L38" s="16">
        <f t="shared" si="0"/>
        <v>85.000000296794198</v>
      </c>
      <c r="M38" s="5">
        <v>1</v>
      </c>
      <c r="N38" s="5" t="s">
        <v>292</v>
      </c>
      <c r="O38" s="5" t="s">
        <v>292</v>
      </c>
      <c r="P38" s="3" t="s">
        <v>174</v>
      </c>
      <c r="Q38" s="5" t="s">
        <v>1714</v>
      </c>
      <c r="R38" s="9">
        <f t="shared" si="19"/>
        <v>2863937.31</v>
      </c>
      <c r="S38" s="9">
        <v>2863937.31</v>
      </c>
      <c r="T38" s="9">
        <v>0</v>
      </c>
      <c r="U38" s="4">
        <f t="shared" si="2"/>
        <v>438012.95</v>
      </c>
      <c r="V38" s="53">
        <v>438012.95</v>
      </c>
      <c r="W38" s="53">
        <v>0</v>
      </c>
      <c r="X38" s="4">
        <f t="shared" si="8"/>
        <v>67387.740000000005</v>
      </c>
      <c r="Y38" s="9">
        <v>67387.740000000005</v>
      </c>
      <c r="Z38" s="9">
        <v>0</v>
      </c>
      <c r="AA38" s="9">
        <v>0</v>
      </c>
      <c r="AB38" s="9">
        <v>0</v>
      </c>
      <c r="AC38" s="9">
        <v>0</v>
      </c>
      <c r="AD38" s="44">
        <f t="shared" si="6"/>
        <v>3369338.0000000005</v>
      </c>
      <c r="AE38" s="9">
        <v>0</v>
      </c>
      <c r="AF38" s="9">
        <f t="shared" si="4"/>
        <v>3369338.0000000005</v>
      </c>
      <c r="AG38" s="59" t="s">
        <v>515</v>
      </c>
      <c r="AH38" s="13" t="s">
        <v>151</v>
      </c>
      <c r="AI38" s="1">
        <f>164751.47+35609.9+75630.45</f>
        <v>275991.82</v>
      </c>
      <c r="AJ38" s="1">
        <f>25196.79+5446.22+11567.01</f>
        <v>42210.020000000004</v>
      </c>
    </row>
    <row r="39" spans="1:36" ht="186" customHeight="1" x14ac:dyDescent="0.25">
      <c r="A39" s="5">
        <f t="shared" si="7"/>
        <v>36</v>
      </c>
      <c r="B39" s="15">
        <v>122823</v>
      </c>
      <c r="C39" s="5">
        <v>71</v>
      </c>
      <c r="D39" s="40" t="s">
        <v>1985</v>
      </c>
      <c r="E39" s="17" t="s">
        <v>278</v>
      </c>
      <c r="F39" s="18" t="s">
        <v>435</v>
      </c>
      <c r="G39" s="5" t="s">
        <v>433</v>
      </c>
      <c r="H39" s="5" t="s">
        <v>151</v>
      </c>
      <c r="I39" s="41" t="s">
        <v>434</v>
      </c>
      <c r="J39" s="2">
        <v>43244</v>
      </c>
      <c r="K39" s="2">
        <v>43823</v>
      </c>
      <c r="L39" s="16">
        <f t="shared" si="0"/>
        <v>85.000001791562255</v>
      </c>
      <c r="M39" s="5">
        <v>6</v>
      </c>
      <c r="N39" s="8" t="s">
        <v>431</v>
      </c>
      <c r="O39" s="8" t="s">
        <v>432</v>
      </c>
      <c r="P39" s="18" t="s">
        <v>174</v>
      </c>
      <c r="Q39" s="8" t="s">
        <v>34</v>
      </c>
      <c r="R39" s="9">
        <f t="shared" ref="R39:R44" si="21">S39+T39</f>
        <v>355834.7</v>
      </c>
      <c r="S39" s="1">
        <v>355834.7</v>
      </c>
      <c r="T39" s="9">
        <v>0</v>
      </c>
      <c r="U39" s="4">
        <f t="shared" si="2"/>
        <v>54421.769999999982</v>
      </c>
      <c r="V39" s="71">
        <v>54421.769999999982</v>
      </c>
      <c r="W39" s="83">
        <v>0</v>
      </c>
      <c r="X39" s="4">
        <f t="shared" si="8"/>
        <v>8372.58</v>
      </c>
      <c r="Y39" s="69">
        <v>8372.58</v>
      </c>
      <c r="Z39" s="84">
        <v>0</v>
      </c>
      <c r="AA39" s="9">
        <v>0</v>
      </c>
      <c r="AB39" s="9">
        <v>0</v>
      </c>
      <c r="AC39" s="9">
        <v>0</v>
      </c>
      <c r="AD39" s="44">
        <f t="shared" si="6"/>
        <v>418629.05</v>
      </c>
      <c r="AE39" s="9">
        <v>0</v>
      </c>
      <c r="AF39" s="9">
        <f t="shared" si="4"/>
        <v>418629.05</v>
      </c>
      <c r="AG39" s="59" t="s">
        <v>966</v>
      </c>
      <c r="AH39" s="13" t="s">
        <v>1424</v>
      </c>
      <c r="AI39" s="1">
        <v>317160.34000000008</v>
      </c>
      <c r="AJ39" s="1">
        <f>32329.21+5317.87+5421.22+5438.54</f>
        <v>48506.840000000004</v>
      </c>
    </row>
    <row r="40" spans="1:36" ht="141.75" x14ac:dyDescent="0.25">
      <c r="A40" s="5">
        <f t="shared" si="7"/>
        <v>37</v>
      </c>
      <c r="B40" s="17">
        <v>119767</v>
      </c>
      <c r="C40" s="17">
        <v>475</v>
      </c>
      <c r="D40" s="40" t="s">
        <v>1985</v>
      </c>
      <c r="E40" s="8" t="s">
        <v>474</v>
      </c>
      <c r="F40" s="18" t="s">
        <v>746</v>
      </c>
      <c r="G40" s="3" t="s">
        <v>747</v>
      </c>
      <c r="H40" s="5" t="s">
        <v>151</v>
      </c>
      <c r="I40" s="41" t="s">
        <v>748</v>
      </c>
      <c r="J40" s="2">
        <v>43306</v>
      </c>
      <c r="K40" s="2">
        <v>43976</v>
      </c>
      <c r="L40" s="16">
        <f t="shared" si="0"/>
        <v>85.000000000000014</v>
      </c>
      <c r="M40" s="5">
        <v>6</v>
      </c>
      <c r="N40" s="2" t="s">
        <v>431</v>
      </c>
      <c r="O40" s="2" t="s">
        <v>749</v>
      </c>
      <c r="P40" s="2" t="s">
        <v>174</v>
      </c>
      <c r="Q40" s="5" t="s">
        <v>34</v>
      </c>
      <c r="R40" s="9">
        <f t="shared" si="21"/>
        <v>518392.9</v>
      </c>
      <c r="S40" s="9">
        <v>518392.9</v>
      </c>
      <c r="T40" s="9">
        <v>0</v>
      </c>
      <c r="U40" s="4">
        <f t="shared" si="2"/>
        <v>79283.62</v>
      </c>
      <c r="V40" s="71">
        <v>79283.62</v>
      </c>
      <c r="W40" s="83">
        <v>0</v>
      </c>
      <c r="X40" s="4">
        <f t="shared" si="8"/>
        <v>12197.48</v>
      </c>
      <c r="Y40" s="87">
        <v>12197.48</v>
      </c>
      <c r="Z40" s="84">
        <v>0</v>
      </c>
      <c r="AA40" s="9">
        <f t="shared" si="16"/>
        <v>0</v>
      </c>
      <c r="AB40" s="9">
        <v>0</v>
      </c>
      <c r="AC40" s="9">
        <v>0</v>
      </c>
      <c r="AD40" s="44">
        <f t="shared" si="6"/>
        <v>609874</v>
      </c>
      <c r="AE40" s="9">
        <v>0</v>
      </c>
      <c r="AF40" s="9">
        <f t="shared" si="4"/>
        <v>609874</v>
      </c>
      <c r="AG40" s="59" t="s">
        <v>966</v>
      </c>
      <c r="AH40" s="13" t="s">
        <v>1523</v>
      </c>
      <c r="AI40" s="1">
        <f>446121.14+44941.37</f>
        <v>491062.51</v>
      </c>
      <c r="AJ40" s="1">
        <f>68230.29+6873.39</f>
        <v>75103.679999999993</v>
      </c>
    </row>
    <row r="41" spans="1:36" ht="269.25" customHeight="1" x14ac:dyDescent="0.25">
      <c r="A41" s="5">
        <f t="shared" si="7"/>
        <v>38</v>
      </c>
      <c r="B41" s="17">
        <v>129383</v>
      </c>
      <c r="C41" s="17">
        <v>685</v>
      </c>
      <c r="D41" s="40" t="s">
        <v>1985</v>
      </c>
      <c r="E41" s="8" t="s">
        <v>1246</v>
      </c>
      <c r="F41" s="18" t="s">
        <v>1355</v>
      </c>
      <c r="G41" s="3" t="s">
        <v>1508</v>
      </c>
      <c r="H41" s="5" t="s">
        <v>362</v>
      </c>
      <c r="I41" s="41" t="s">
        <v>1354</v>
      </c>
      <c r="J41" s="2">
        <v>43657</v>
      </c>
      <c r="K41" s="2">
        <v>44572</v>
      </c>
      <c r="L41" s="16">
        <f t="shared" si="0"/>
        <v>85.000000150473397</v>
      </c>
      <c r="M41" s="5">
        <v>6</v>
      </c>
      <c r="N41" s="2" t="s">
        <v>431</v>
      </c>
      <c r="O41" s="2" t="s">
        <v>1353</v>
      </c>
      <c r="P41" s="2" t="s">
        <v>174</v>
      </c>
      <c r="Q41" s="5" t="s">
        <v>34</v>
      </c>
      <c r="R41" s="9">
        <f t="shared" si="21"/>
        <v>2541977.39</v>
      </c>
      <c r="S41" s="9">
        <v>2541977.39</v>
      </c>
      <c r="T41" s="9">
        <v>0</v>
      </c>
      <c r="U41" s="4">
        <f t="shared" si="2"/>
        <v>388773.02</v>
      </c>
      <c r="V41" s="71">
        <v>388773.02</v>
      </c>
      <c r="W41" s="83">
        <v>0</v>
      </c>
      <c r="X41" s="4">
        <f t="shared" si="8"/>
        <v>59811.22</v>
      </c>
      <c r="Y41" s="87">
        <v>59811.22</v>
      </c>
      <c r="Z41" s="84">
        <v>0</v>
      </c>
      <c r="AA41" s="9">
        <v>0</v>
      </c>
      <c r="AB41" s="9">
        <v>0</v>
      </c>
      <c r="AC41" s="9">
        <v>0</v>
      </c>
      <c r="AD41" s="44">
        <f t="shared" si="6"/>
        <v>2990561.6300000004</v>
      </c>
      <c r="AE41" s="9">
        <v>0</v>
      </c>
      <c r="AF41" s="9">
        <f t="shared" si="4"/>
        <v>2990561.6300000004</v>
      </c>
      <c r="AG41" s="59" t="s">
        <v>515</v>
      </c>
      <c r="AH41" s="13" t="s">
        <v>2092</v>
      </c>
      <c r="AI41" s="1">
        <f>130989.25+2398.77</f>
        <v>133388.01999999999</v>
      </c>
      <c r="AJ41" s="1">
        <f>20033.65+366.87</f>
        <v>20400.52</v>
      </c>
    </row>
    <row r="42" spans="1:36" ht="269.25" customHeight="1" x14ac:dyDescent="0.25">
      <c r="A42" s="5">
        <f t="shared" si="7"/>
        <v>39</v>
      </c>
      <c r="B42" s="17">
        <v>129525</v>
      </c>
      <c r="C42" s="17">
        <v>678</v>
      </c>
      <c r="D42" s="40" t="s">
        <v>1985</v>
      </c>
      <c r="E42" s="88" t="s">
        <v>1246</v>
      </c>
      <c r="F42" s="18" t="s">
        <v>1507</v>
      </c>
      <c r="G42" s="3" t="s">
        <v>747</v>
      </c>
      <c r="H42" s="5" t="s">
        <v>151</v>
      </c>
      <c r="I42" s="41" t="s">
        <v>1509</v>
      </c>
      <c r="J42" s="2">
        <v>43724</v>
      </c>
      <c r="K42" s="2">
        <v>44636</v>
      </c>
      <c r="L42" s="16">
        <f t="shared" si="0"/>
        <v>85.000000715914808</v>
      </c>
      <c r="M42" s="5">
        <v>6</v>
      </c>
      <c r="N42" s="2" t="s">
        <v>431</v>
      </c>
      <c r="O42" s="2" t="s">
        <v>1353</v>
      </c>
      <c r="P42" s="2" t="s">
        <v>174</v>
      </c>
      <c r="Q42" s="5" t="s">
        <v>34</v>
      </c>
      <c r="R42" s="9">
        <f t="shared" si="21"/>
        <v>2255855.02</v>
      </c>
      <c r="S42" s="9">
        <v>2255855.02</v>
      </c>
      <c r="T42" s="9">
        <v>0</v>
      </c>
      <c r="U42" s="4">
        <f t="shared" si="2"/>
        <v>345013.09</v>
      </c>
      <c r="V42" s="71">
        <v>345013.09</v>
      </c>
      <c r="W42" s="83">
        <v>0</v>
      </c>
      <c r="X42" s="4">
        <f t="shared" si="8"/>
        <v>53078.95</v>
      </c>
      <c r="Y42" s="87">
        <v>53078.95</v>
      </c>
      <c r="Z42" s="84">
        <v>0</v>
      </c>
      <c r="AA42" s="9">
        <v>0</v>
      </c>
      <c r="AB42" s="9">
        <v>0</v>
      </c>
      <c r="AC42" s="9">
        <v>0</v>
      </c>
      <c r="AD42" s="44">
        <f t="shared" si="6"/>
        <v>2653947.06</v>
      </c>
      <c r="AE42" s="9">
        <v>0</v>
      </c>
      <c r="AF42" s="9">
        <f t="shared" si="4"/>
        <v>2653947.06</v>
      </c>
      <c r="AG42" s="59" t="s">
        <v>515</v>
      </c>
      <c r="AH42" s="13" t="s">
        <v>362</v>
      </c>
      <c r="AI42" s="1">
        <f>210000-16810.94-18.2+12969.09+32363.75</f>
        <v>238503.69999999998</v>
      </c>
      <c r="AJ42" s="1">
        <f>16810.94+18.2+14698.15+4949.75</f>
        <v>36477.040000000001</v>
      </c>
    </row>
    <row r="43" spans="1:36" ht="255" x14ac:dyDescent="0.25">
      <c r="A43" s="5">
        <f t="shared" si="7"/>
        <v>40</v>
      </c>
      <c r="B43" s="89">
        <v>135923</v>
      </c>
      <c r="C43" s="90">
        <v>789</v>
      </c>
      <c r="D43" s="40" t="s">
        <v>1985</v>
      </c>
      <c r="E43" s="91" t="s">
        <v>1701</v>
      </c>
      <c r="F43" s="92" t="s">
        <v>1750</v>
      </c>
      <c r="G43" s="92" t="s">
        <v>1751</v>
      </c>
      <c r="H43" s="93" t="s">
        <v>362</v>
      </c>
      <c r="I43" s="94" t="s">
        <v>1752</v>
      </c>
      <c r="J43" s="95">
        <v>43969</v>
      </c>
      <c r="K43" s="95">
        <v>44548</v>
      </c>
      <c r="L43" s="16">
        <f t="shared" si="0"/>
        <v>85.000001598813043</v>
      </c>
      <c r="M43" s="92">
        <v>6</v>
      </c>
      <c r="N43" s="92" t="s">
        <v>431</v>
      </c>
      <c r="O43" s="92" t="s">
        <v>1753</v>
      </c>
      <c r="P43" s="96" t="s">
        <v>174</v>
      </c>
      <c r="Q43" s="93" t="s">
        <v>1714</v>
      </c>
      <c r="R43" s="9">
        <f t="shared" si="21"/>
        <v>531644.41</v>
      </c>
      <c r="S43" s="97">
        <v>531644.41</v>
      </c>
      <c r="T43" s="97">
        <v>0</v>
      </c>
      <c r="U43" s="4">
        <f t="shared" si="2"/>
        <v>81310.31</v>
      </c>
      <c r="V43" s="98">
        <v>81310.31</v>
      </c>
      <c r="W43" s="98">
        <v>0</v>
      </c>
      <c r="X43" s="4">
        <f t="shared" si="8"/>
        <v>12509.28</v>
      </c>
      <c r="Y43" s="97">
        <v>12509.28</v>
      </c>
      <c r="Z43" s="97">
        <v>0</v>
      </c>
      <c r="AA43" s="9">
        <v>0</v>
      </c>
      <c r="AB43" s="9">
        <v>0</v>
      </c>
      <c r="AC43" s="9">
        <v>0</v>
      </c>
      <c r="AD43" s="44">
        <f t="shared" si="6"/>
        <v>625464</v>
      </c>
      <c r="AE43" s="9">
        <v>0</v>
      </c>
      <c r="AF43" s="9">
        <f t="shared" si="4"/>
        <v>625464</v>
      </c>
      <c r="AG43" s="59" t="s">
        <v>515</v>
      </c>
      <c r="AH43" s="13" t="s">
        <v>2153</v>
      </c>
      <c r="AI43" s="1">
        <v>12749.15</v>
      </c>
      <c r="AJ43" s="1">
        <v>1949.87</v>
      </c>
    </row>
    <row r="44" spans="1:36" ht="255" x14ac:dyDescent="0.25">
      <c r="A44" s="5">
        <f t="shared" si="7"/>
        <v>41</v>
      </c>
      <c r="B44" s="89">
        <v>135973</v>
      </c>
      <c r="C44" s="90">
        <v>820</v>
      </c>
      <c r="D44" s="40" t="s">
        <v>1985</v>
      </c>
      <c r="E44" s="99" t="s">
        <v>1701</v>
      </c>
      <c r="F44" s="92" t="s">
        <v>1847</v>
      </c>
      <c r="G44" s="92" t="s">
        <v>1508</v>
      </c>
      <c r="H44" s="93" t="s">
        <v>362</v>
      </c>
      <c r="I44" s="94" t="s">
        <v>1848</v>
      </c>
      <c r="J44" s="95">
        <v>44001</v>
      </c>
      <c r="K44" s="95">
        <v>44914</v>
      </c>
      <c r="L44" s="16">
        <f t="shared" si="0"/>
        <v>84.999999931972425</v>
      </c>
      <c r="M44" s="92">
        <v>6</v>
      </c>
      <c r="N44" s="92" t="s">
        <v>431</v>
      </c>
      <c r="O44" s="92" t="s">
        <v>1508</v>
      </c>
      <c r="P44" s="96" t="s">
        <v>174</v>
      </c>
      <c r="Q44" s="93" t="s">
        <v>1714</v>
      </c>
      <c r="R44" s="9">
        <f t="shared" si="21"/>
        <v>3123733.72</v>
      </c>
      <c r="S44" s="97">
        <v>3123733.72</v>
      </c>
      <c r="T44" s="97">
        <v>0</v>
      </c>
      <c r="U44" s="4">
        <f t="shared" si="2"/>
        <v>477747.51</v>
      </c>
      <c r="V44" s="98">
        <v>477747.51</v>
      </c>
      <c r="W44" s="98">
        <v>0</v>
      </c>
      <c r="X44" s="4">
        <f t="shared" si="8"/>
        <v>73499.62</v>
      </c>
      <c r="Y44" s="97">
        <v>73499.62</v>
      </c>
      <c r="Z44" s="97">
        <v>0</v>
      </c>
      <c r="AA44" s="9">
        <v>0</v>
      </c>
      <c r="AB44" s="9">
        <v>0</v>
      </c>
      <c r="AC44" s="9">
        <v>0</v>
      </c>
      <c r="AD44" s="44">
        <f t="shared" si="6"/>
        <v>3674980.8500000006</v>
      </c>
      <c r="AE44" s="9">
        <v>0</v>
      </c>
      <c r="AF44" s="9">
        <f t="shared" si="4"/>
        <v>3674980.8500000006</v>
      </c>
      <c r="AG44" s="59" t="s">
        <v>515</v>
      </c>
      <c r="AH44" s="13" t="s">
        <v>362</v>
      </c>
      <c r="AI44" s="1">
        <v>0</v>
      </c>
      <c r="AJ44" s="1">
        <v>0</v>
      </c>
    </row>
    <row r="45" spans="1:36" s="100" customFormat="1" ht="141.75" x14ac:dyDescent="0.25">
      <c r="A45" s="5">
        <f t="shared" si="7"/>
        <v>42</v>
      </c>
      <c r="B45" s="15">
        <v>120599</v>
      </c>
      <c r="C45" s="5">
        <v>75</v>
      </c>
      <c r="D45" s="40" t="s">
        <v>1985</v>
      </c>
      <c r="E45" s="17" t="s">
        <v>278</v>
      </c>
      <c r="F45" s="18" t="s">
        <v>204</v>
      </c>
      <c r="G45" s="5" t="s">
        <v>205</v>
      </c>
      <c r="H45" s="5" t="s">
        <v>151</v>
      </c>
      <c r="I45" s="18" t="s">
        <v>750</v>
      </c>
      <c r="J45" s="2">
        <v>43145</v>
      </c>
      <c r="K45" s="2">
        <v>43813</v>
      </c>
      <c r="L45" s="16">
        <f t="shared" si="0"/>
        <v>84.999998786570643</v>
      </c>
      <c r="M45" s="5">
        <v>6</v>
      </c>
      <c r="N45" s="8" t="s">
        <v>219</v>
      </c>
      <c r="O45" s="8" t="s">
        <v>206</v>
      </c>
      <c r="P45" s="18" t="s">
        <v>174</v>
      </c>
      <c r="Q45" s="8" t="s">
        <v>34</v>
      </c>
      <c r="R45" s="9">
        <f t="shared" ref="R45:R50" si="22">S45+T45</f>
        <v>350247</v>
      </c>
      <c r="S45" s="9">
        <v>350247</v>
      </c>
      <c r="T45" s="9">
        <v>0</v>
      </c>
      <c r="U45" s="4">
        <f t="shared" si="2"/>
        <v>53567.19</v>
      </c>
      <c r="V45" s="71">
        <v>53567.19</v>
      </c>
      <c r="W45" s="83">
        <v>0</v>
      </c>
      <c r="X45" s="4">
        <f t="shared" si="8"/>
        <v>8241.11</v>
      </c>
      <c r="Y45" s="87">
        <v>8241.11</v>
      </c>
      <c r="Z45" s="4">
        <v>0</v>
      </c>
      <c r="AA45" s="9">
        <v>0</v>
      </c>
      <c r="AB45" s="9">
        <v>0</v>
      </c>
      <c r="AC45" s="9">
        <v>0</v>
      </c>
      <c r="AD45" s="44">
        <f t="shared" si="6"/>
        <v>412055.3</v>
      </c>
      <c r="AE45" s="9">
        <v>0</v>
      </c>
      <c r="AF45" s="9">
        <f t="shared" ref="AF45:AF48" si="23">AD45+AE45</f>
        <v>412055.3</v>
      </c>
      <c r="AG45" s="49" t="s">
        <v>966</v>
      </c>
      <c r="AH45" s="13" t="s">
        <v>1290</v>
      </c>
      <c r="AI45" s="1">
        <v>299284.74</v>
      </c>
      <c r="AJ45" s="1">
        <v>45772.95</v>
      </c>
    </row>
    <row r="46" spans="1:36" s="100" customFormat="1" ht="141.75" x14ac:dyDescent="0.25">
      <c r="A46" s="5">
        <f t="shared" si="7"/>
        <v>43</v>
      </c>
      <c r="B46" s="15">
        <v>128636</v>
      </c>
      <c r="C46" s="5">
        <v>687</v>
      </c>
      <c r="D46" s="40" t="s">
        <v>1985</v>
      </c>
      <c r="E46" s="17" t="s">
        <v>1246</v>
      </c>
      <c r="F46" s="7" t="s">
        <v>1540</v>
      </c>
      <c r="G46" s="5" t="s">
        <v>205</v>
      </c>
      <c r="H46" s="5" t="s">
        <v>151</v>
      </c>
      <c r="I46" s="18" t="s">
        <v>1541</v>
      </c>
      <c r="J46" s="2">
        <v>43739</v>
      </c>
      <c r="K46" s="2">
        <v>44287</v>
      </c>
      <c r="L46" s="16">
        <f t="shared" si="0"/>
        <v>85</v>
      </c>
      <c r="M46" s="5">
        <v>6</v>
      </c>
      <c r="N46" s="8" t="s">
        <v>219</v>
      </c>
      <c r="O46" s="8" t="s">
        <v>206</v>
      </c>
      <c r="P46" s="18" t="s">
        <v>174</v>
      </c>
      <c r="Q46" s="8" t="s">
        <v>34</v>
      </c>
      <c r="R46" s="9">
        <f t="shared" si="22"/>
        <v>1364282.3</v>
      </c>
      <c r="S46" s="9">
        <v>1364282.3</v>
      </c>
      <c r="T46" s="9">
        <v>0</v>
      </c>
      <c r="U46" s="4">
        <f t="shared" si="2"/>
        <v>208654.94</v>
      </c>
      <c r="V46" s="71">
        <v>208654.94</v>
      </c>
      <c r="W46" s="83">
        <v>0</v>
      </c>
      <c r="X46" s="4">
        <f t="shared" si="8"/>
        <v>32100.76</v>
      </c>
      <c r="Y46" s="87">
        <v>32100.76</v>
      </c>
      <c r="Z46" s="4">
        <v>0</v>
      </c>
      <c r="AA46" s="9">
        <v>0</v>
      </c>
      <c r="AB46" s="9">
        <v>0</v>
      </c>
      <c r="AC46" s="9">
        <v>0</v>
      </c>
      <c r="AD46" s="44">
        <f t="shared" si="6"/>
        <v>1605038</v>
      </c>
      <c r="AE46" s="9">
        <v>0</v>
      </c>
      <c r="AF46" s="9">
        <f t="shared" si="23"/>
        <v>1605038</v>
      </c>
      <c r="AG46" s="59" t="s">
        <v>966</v>
      </c>
      <c r="AH46" s="13" t="s">
        <v>2092</v>
      </c>
      <c r="AI46" s="1">
        <f>50302.83+49799.8+40727.75+36651.15+171566.55+974297.03</f>
        <v>1323345.1099999999</v>
      </c>
      <c r="AJ46" s="1">
        <f>7693.37+7616.44+6228.95+5605.47+26239.59+149010.13</f>
        <v>202393.95</v>
      </c>
    </row>
    <row r="47" spans="1:36" s="100" customFormat="1" ht="204.75" x14ac:dyDescent="0.25">
      <c r="A47" s="5">
        <f t="shared" si="7"/>
        <v>44</v>
      </c>
      <c r="B47" s="15">
        <v>129687</v>
      </c>
      <c r="C47" s="5">
        <v>667</v>
      </c>
      <c r="D47" s="40" t="s">
        <v>1985</v>
      </c>
      <c r="E47" s="88" t="s">
        <v>1246</v>
      </c>
      <c r="F47" s="7" t="s">
        <v>1340</v>
      </c>
      <c r="G47" s="5" t="s">
        <v>1341</v>
      </c>
      <c r="H47" s="5" t="str">
        <f>$H$45</f>
        <v>n.a</v>
      </c>
      <c r="I47" s="18" t="s">
        <v>1339</v>
      </c>
      <c r="J47" s="2">
        <v>43654</v>
      </c>
      <c r="K47" s="2">
        <v>44508</v>
      </c>
      <c r="L47" s="16">
        <f t="shared" si="0"/>
        <v>85</v>
      </c>
      <c r="M47" s="5">
        <f>$M$45</f>
        <v>6</v>
      </c>
      <c r="N47" s="8" t="str">
        <f t="shared" ref="N47" si="24">N45</f>
        <v>Bistrița-Năsăud</v>
      </c>
      <c r="O47" s="8" t="str">
        <f>O45</f>
        <v>Bistrița</v>
      </c>
      <c r="P47" s="18" t="s">
        <v>174</v>
      </c>
      <c r="Q47" s="8" t="s">
        <v>34</v>
      </c>
      <c r="R47" s="9">
        <f t="shared" si="22"/>
        <v>2626630.9</v>
      </c>
      <c r="S47" s="9">
        <v>2626630.9</v>
      </c>
      <c r="T47" s="9">
        <v>0</v>
      </c>
      <c r="U47" s="4">
        <f t="shared" si="2"/>
        <v>401720.02</v>
      </c>
      <c r="V47" s="71">
        <v>401720.02</v>
      </c>
      <c r="W47" s="83">
        <v>0</v>
      </c>
      <c r="X47" s="4">
        <f t="shared" si="8"/>
        <v>61803.08</v>
      </c>
      <c r="Y47" s="87">
        <v>61803.08</v>
      </c>
      <c r="Z47" s="4">
        <v>0</v>
      </c>
      <c r="AA47" s="9">
        <v>0</v>
      </c>
      <c r="AB47" s="9">
        <v>0</v>
      </c>
      <c r="AC47" s="9">
        <v>0</v>
      </c>
      <c r="AD47" s="44">
        <f t="shared" si="6"/>
        <v>3090154</v>
      </c>
      <c r="AE47" s="9">
        <v>0</v>
      </c>
      <c r="AF47" s="9">
        <f t="shared" si="23"/>
        <v>3090154</v>
      </c>
      <c r="AG47" s="49" t="s">
        <v>1690</v>
      </c>
      <c r="AH47" s="13" t="s">
        <v>2189</v>
      </c>
      <c r="AI47" s="1">
        <f>71886.37+17000+26602.45+30668.85+392844.76+327144.99</f>
        <v>866147.41999999993</v>
      </c>
      <c r="AJ47" s="1">
        <f>10994.39+2600+4068.61+4690.53+60082.13+50033.94</f>
        <v>132469.6</v>
      </c>
    </row>
    <row r="48" spans="1:36" s="100" customFormat="1" ht="180" x14ac:dyDescent="0.25">
      <c r="A48" s="5">
        <f t="shared" si="7"/>
        <v>45</v>
      </c>
      <c r="B48" s="61">
        <v>135977</v>
      </c>
      <c r="C48" s="62">
        <v>766</v>
      </c>
      <c r="D48" s="40" t="s">
        <v>1985</v>
      </c>
      <c r="E48" s="81" t="s">
        <v>1701</v>
      </c>
      <c r="F48" s="62" t="s">
        <v>1785</v>
      </c>
      <c r="G48" s="5" t="s">
        <v>205</v>
      </c>
      <c r="H48" s="62" t="s">
        <v>151</v>
      </c>
      <c r="I48" s="101" t="s">
        <v>1786</v>
      </c>
      <c r="J48" s="63">
        <v>43973</v>
      </c>
      <c r="K48" s="63">
        <v>44826</v>
      </c>
      <c r="L48" s="16">
        <f t="shared" si="0"/>
        <v>84.99999942527073</v>
      </c>
      <c r="M48" s="62">
        <v>6</v>
      </c>
      <c r="N48" s="62" t="s">
        <v>1787</v>
      </c>
      <c r="O48" s="62" t="s">
        <v>1788</v>
      </c>
      <c r="P48" s="65" t="s">
        <v>174</v>
      </c>
      <c r="Q48" s="62" t="s">
        <v>34</v>
      </c>
      <c r="R48" s="9">
        <f t="shared" si="22"/>
        <v>665530.76</v>
      </c>
      <c r="S48" s="66">
        <v>665530.76</v>
      </c>
      <c r="T48" s="66">
        <v>0</v>
      </c>
      <c r="U48" s="4">
        <f t="shared" si="2"/>
        <v>101787.06</v>
      </c>
      <c r="V48" s="68">
        <v>101787.06</v>
      </c>
      <c r="W48" s="68">
        <v>0</v>
      </c>
      <c r="X48" s="4">
        <f t="shared" si="8"/>
        <v>15659.55</v>
      </c>
      <c r="Y48" s="66">
        <v>15659.55</v>
      </c>
      <c r="Z48" s="66">
        <v>0</v>
      </c>
      <c r="AA48" s="9">
        <v>0</v>
      </c>
      <c r="AB48" s="9">
        <v>0</v>
      </c>
      <c r="AC48" s="9">
        <v>0</v>
      </c>
      <c r="AD48" s="44">
        <f t="shared" si="6"/>
        <v>782977.37000000011</v>
      </c>
      <c r="AE48" s="9">
        <v>0</v>
      </c>
      <c r="AF48" s="9">
        <f t="shared" si="23"/>
        <v>782977.37000000011</v>
      </c>
      <c r="AG48" s="49" t="s">
        <v>1690</v>
      </c>
      <c r="AH48" s="13" t="s">
        <v>2210</v>
      </c>
      <c r="AI48" s="1">
        <f>35945.1+78297.73</f>
        <v>114242.82999999999</v>
      </c>
      <c r="AJ48" s="1">
        <v>5497.48</v>
      </c>
    </row>
    <row r="49" spans="1:37" ht="291" customHeight="1" x14ac:dyDescent="0.25">
      <c r="A49" s="5">
        <f t="shared" si="7"/>
        <v>46</v>
      </c>
      <c r="B49" s="78">
        <v>119593</v>
      </c>
      <c r="C49" s="6">
        <v>467</v>
      </c>
      <c r="D49" s="40" t="s">
        <v>1985</v>
      </c>
      <c r="E49" s="8" t="s">
        <v>474</v>
      </c>
      <c r="F49" s="8" t="s">
        <v>691</v>
      </c>
      <c r="G49" s="5" t="s">
        <v>692</v>
      </c>
      <c r="H49" s="6" t="s">
        <v>284</v>
      </c>
      <c r="I49" s="8" t="s">
        <v>693</v>
      </c>
      <c r="J49" s="2">
        <v>43293</v>
      </c>
      <c r="K49" s="2">
        <v>43811</v>
      </c>
      <c r="L49" s="16">
        <f t="shared" si="0"/>
        <v>84.262029230668674</v>
      </c>
      <c r="M49" s="5">
        <v>1</v>
      </c>
      <c r="N49" s="5" t="s">
        <v>482</v>
      </c>
      <c r="O49" s="5" t="s">
        <v>694</v>
      </c>
      <c r="P49" s="5" t="s">
        <v>174</v>
      </c>
      <c r="Q49" s="5" t="s">
        <v>34</v>
      </c>
      <c r="R49" s="4">
        <f t="shared" ref="R49" si="25">S49+T49</f>
        <v>349239.24</v>
      </c>
      <c r="S49" s="1">
        <v>349239.24</v>
      </c>
      <c r="T49" s="9">
        <v>0</v>
      </c>
      <c r="U49" s="4">
        <f t="shared" si="2"/>
        <v>56939.5</v>
      </c>
      <c r="V49" s="71">
        <v>56939.5</v>
      </c>
      <c r="W49" s="53">
        <v>0</v>
      </c>
      <c r="X49" s="4">
        <f t="shared" si="8"/>
        <v>4690.93</v>
      </c>
      <c r="Y49" s="1">
        <v>4690.93</v>
      </c>
      <c r="Z49" s="1">
        <v>0</v>
      </c>
      <c r="AA49" s="9">
        <f t="shared" ref="AA49" si="26">AB49+AC49</f>
        <v>3598.44</v>
      </c>
      <c r="AB49" s="9">
        <v>3598.44</v>
      </c>
      <c r="AC49" s="9">
        <v>0</v>
      </c>
      <c r="AD49" s="44">
        <f t="shared" si="6"/>
        <v>414468.11</v>
      </c>
      <c r="AE49" s="11"/>
      <c r="AF49" s="9">
        <f t="shared" ref="AF49" si="27">AD49+AE49</f>
        <v>414468.11</v>
      </c>
      <c r="AG49" s="49" t="s">
        <v>966</v>
      </c>
      <c r="AH49" s="11"/>
      <c r="AI49" s="1">
        <v>304992.26</v>
      </c>
      <c r="AJ49" s="1">
        <v>49408.55</v>
      </c>
    </row>
    <row r="50" spans="1:37" ht="215.25" customHeight="1" x14ac:dyDescent="0.25">
      <c r="A50" s="5">
        <f t="shared" si="7"/>
        <v>47</v>
      </c>
      <c r="B50" s="15">
        <v>118690</v>
      </c>
      <c r="C50" s="5">
        <v>433</v>
      </c>
      <c r="D50" s="8" t="s">
        <v>1986</v>
      </c>
      <c r="E50" s="8" t="s">
        <v>540</v>
      </c>
      <c r="F50" s="8" t="s">
        <v>867</v>
      </c>
      <c r="G50" s="5" t="s">
        <v>692</v>
      </c>
      <c r="H50" s="5" t="s">
        <v>876</v>
      </c>
      <c r="I50" s="8" t="s">
        <v>868</v>
      </c>
      <c r="J50" s="2">
        <v>43333</v>
      </c>
      <c r="K50" s="2">
        <v>43790</v>
      </c>
      <c r="L50" s="16">
        <f t="shared" si="0"/>
        <v>84.169367233766351</v>
      </c>
      <c r="M50" s="5">
        <v>1</v>
      </c>
      <c r="N50" s="5" t="s">
        <v>694</v>
      </c>
      <c r="O50" s="5" t="s">
        <v>694</v>
      </c>
      <c r="P50" s="5" t="s">
        <v>174</v>
      </c>
      <c r="Q50" s="5" t="s">
        <v>869</v>
      </c>
      <c r="R50" s="9">
        <f t="shared" si="22"/>
        <v>242198.44</v>
      </c>
      <c r="S50" s="1">
        <v>242198.44</v>
      </c>
      <c r="T50" s="10">
        <v>0</v>
      </c>
      <c r="U50" s="4">
        <f t="shared" si="2"/>
        <v>39797.81</v>
      </c>
      <c r="V50" s="71">
        <v>39797.81</v>
      </c>
      <c r="W50" s="71">
        <v>0</v>
      </c>
      <c r="X50" s="4">
        <f t="shared" si="8"/>
        <v>5755.04</v>
      </c>
      <c r="Y50" s="1">
        <v>5755.04</v>
      </c>
      <c r="Z50" s="1">
        <v>0</v>
      </c>
      <c r="AA50" s="9">
        <v>0</v>
      </c>
      <c r="AB50" s="10">
        <v>0</v>
      </c>
      <c r="AC50" s="10">
        <v>0</v>
      </c>
      <c r="AD50" s="44">
        <f t="shared" si="6"/>
        <v>287751.28999999998</v>
      </c>
      <c r="AE50" s="11"/>
      <c r="AF50" s="9">
        <f t="shared" ref="AF50" si="28">AD50+AE50</f>
        <v>287751.28999999998</v>
      </c>
      <c r="AG50" s="49" t="s">
        <v>966</v>
      </c>
      <c r="AH50" s="11"/>
      <c r="AI50" s="1">
        <v>204673.28999999998</v>
      </c>
      <c r="AJ50" s="1">
        <v>33582.770000000004</v>
      </c>
    </row>
    <row r="51" spans="1:37" ht="141.75" x14ac:dyDescent="0.25">
      <c r="A51" s="5">
        <f t="shared" si="7"/>
        <v>48</v>
      </c>
      <c r="B51" s="78">
        <v>126412</v>
      </c>
      <c r="C51" s="6">
        <v>553</v>
      </c>
      <c r="D51" s="40" t="s">
        <v>1985</v>
      </c>
      <c r="E51" s="8" t="s">
        <v>1018</v>
      </c>
      <c r="F51" s="8" t="s">
        <v>1199</v>
      </c>
      <c r="G51" s="5" t="s">
        <v>1200</v>
      </c>
      <c r="H51" s="6" t="s">
        <v>299</v>
      </c>
      <c r="I51" s="8" t="s">
        <v>1201</v>
      </c>
      <c r="J51" s="2">
        <v>43564</v>
      </c>
      <c r="K51" s="2">
        <v>44386</v>
      </c>
      <c r="L51" s="16">
        <f t="shared" si="0"/>
        <v>85.000000068999867</v>
      </c>
      <c r="M51" s="6">
        <v>1</v>
      </c>
      <c r="N51" s="5" t="s">
        <v>694</v>
      </c>
      <c r="O51" s="5" t="s">
        <v>694</v>
      </c>
      <c r="P51" s="5" t="s">
        <v>174</v>
      </c>
      <c r="Q51" s="5" t="s">
        <v>34</v>
      </c>
      <c r="R51" s="9">
        <f>S51+T51</f>
        <v>2463772.67</v>
      </c>
      <c r="S51" s="1">
        <v>2463772.67</v>
      </c>
      <c r="T51" s="10">
        <v>0</v>
      </c>
      <c r="U51" s="4">
        <f t="shared" si="2"/>
        <v>376812.29</v>
      </c>
      <c r="V51" s="71">
        <v>376812.29</v>
      </c>
      <c r="W51" s="71">
        <v>0</v>
      </c>
      <c r="X51" s="4">
        <f t="shared" si="8"/>
        <v>57971.12</v>
      </c>
      <c r="Y51" s="1">
        <v>57971.12</v>
      </c>
      <c r="Z51" s="1">
        <v>0</v>
      </c>
      <c r="AA51" s="9">
        <v>0</v>
      </c>
      <c r="AB51" s="10">
        <v>0</v>
      </c>
      <c r="AC51" s="10">
        <v>0</v>
      </c>
      <c r="AD51" s="44">
        <f t="shared" si="6"/>
        <v>2898556.08</v>
      </c>
      <c r="AE51" s="11"/>
      <c r="AF51" s="9">
        <f>AD51+AE51</f>
        <v>2898556.08</v>
      </c>
      <c r="AG51" s="59" t="s">
        <v>515</v>
      </c>
      <c r="AH51" s="59" t="s">
        <v>2156</v>
      </c>
      <c r="AI51" s="1">
        <f>154953.36+31847.8+249699.67+1140494.35+32440.25+355467.67</f>
        <v>1964903.1</v>
      </c>
      <c r="AJ51" s="1">
        <f>23698.73+4870.84+38189.36+174428.55+4961.45+54365.65</f>
        <v>300514.58</v>
      </c>
    </row>
    <row r="52" spans="1:37" ht="239.25" customHeight="1" x14ac:dyDescent="0.25">
      <c r="A52" s="5">
        <f t="shared" si="7"/>
        <v>49</v>
      </c>
      <c r="B52" s="15">
        <v>128790</v>
      </c>
      <c r="C52" s="78">
        <v>644</v>
      </c>
      <c r="D52" s="40" t="s">
        <v>1985</v>
      </c>
      <c r="E52" s="17" t="s">
        <v>1246</v>
      </c>
      <c r="F52" s="31" t="s">
        <v>1284</v>
      </c>
      <c r="G52" s="5" t="s">
        <v>692</v>
      </c>
      <c r="H52" s="6" t="s">
        <v>151</v>
      </c>
      <c r="I52" s="41" t="s">
        <v>1288</v>
      </c>
      <c r="J52" s="2">
        <v>43629</v>
      </c>
      <c r="K52" s="2">
        <v>44482</v>
      </c>
      <c r="L52" s="16">
        <f t="shared" si="0"/>
        <v>85.000000118502641</v>
      </c>
      <c r="M52" s="3">
        <v>1</v>
      </c>
      <c r="N52" s="5" t="s">
        <v>1286</v>
      </c>
      <c r="O52" s="5" t="s">
        <v>694</v>
      </c>
      <c r="P52" s="27" t="s">
        <v>174</v>
      </c>
      <c r="Q52" s="5" t="s">
        <v>34</v>
      </c>
      <c r="R52" s="9">
        <f>S52+T52</f>
        <v>2510492.42</v>
      </c>
      <c r="S52" s="1">
        <v>2510492.42</v>
      </c>
      <c r="T52" s="10">
        <v>0</v>
      </c>
      <c r="U52" s="4">
        <f t="shared" si="2"/>
        <v>383957.66</v>
      </c>
      <c r="V52" s="71">
        <v>383957.66</v>
      </c>
      <c r="W52" s="71">
        <v>0</v>
      </c>
      <c r="X52" s="4">
        <f t="shared" si="8"/>
        <v>59070.41</v>
      </c>
      <c r="Y52" s="1">
        <v>59070.41</v>
      </c>
      <c r="Z52" s="1">
        <v>0</v>
      </c>
      <c r="AA52" s="9">
        <v>0</v>
      </c>
      <c r="AB52" s="10">
        <v>0</v>
      </c>
      <c r="AC52" s="10">
        <v>0</v>
      </c>
      <c r="AD52" s="44">
        <f t="shared" si="6"/>
        <v>2953520.49</v>
      </c>
      <c r="AE52" s="10">
        <v>0</v>
      </c>
      <c r="AF52" s="9">
        <f>AD52+AE52</f>
        <v>2953520.49</v>
      </c>
      <c r="AG52" s="59" t="s">
        <v>515</v>
      </c>
      <c r="AH52" s="13"/>
      <c r="AI52" s="1">
        <f>25513.52+216514.86-3202.29-3349.26-3120.39+21498.34</f>
        <v>253854.77999999994</v>
      </c>
      <c r="AJ52" s="1">
        <f>3202.29+3349.26+3120.39+29152.92</f>
        <v>38824.86</v>
      </c>
    </row>
    <row r="53" spans="1:37" ht="239.25" customHeight="1" x14ac:dyDescent="0.25">
      <c r="A53" s="5">
        <f t="shared" si="7"/>
        <v>50</v>
      </c>
      <c r="B53" s="15">
        <v>136104</v>
      </c>
      <c r="C53" s="78">
        <v>848</v>
      </c>
      <c r="D53" s="40" t="s">
        <v>1985</v>
      </c>
      <c r="E53" s="17" t="s">
        <v>1701</v>
      </c>
      <c r="F53" s="31" t="s">
        <v>1836</v>
      </c>
      <c r="G53" s="5" t="s">
        <v>1837</v>
      </c>
      <c r="H53" s="6" t="s">
        <v>1838</v>
      </c>
      <c r="I53" s="41" t="s">
        <v>1839</v>
      </c>
      <c r="J53" s="2">
        <v>43998</v>
      </c>
      <c r="K53" s="2">
        <v>44850</v>
      </c>
      <c r="L53" s="16">
        <f t="shared" si="0"/>
        <v>84.490458053736376</v>
      </c>
      <c r="M53" s="3">
        <v>1</v>
      </c>
      <c r="N53" s="5" t="s">
        <v>1286</v>
      </c>
      <c r="O53" s="5" t="s">
        <v>1840</v>
      </c>
      <c r="P53" s="27" t="s">
        <v>174</v>
      </c>
      <c r="Q53" s="5" t="s">
        <v>34</v>
      </c>
      <c r="R53" s="9">
        <f>S53+T53</f>
        <v>3017836.94</v>
      </c>
      <c r="S53" s="1">
        <v>3017836.94</v>
      </c>
      <c r="T53" s="10">
        <v>0</v>
      </c>
      <c r="U53" s="4">
        <f t="shared" si="2"/>
        <v>482534.9</v>
      </c>
      <c r="V53" s="71">
        <v>482534.9</v>
      </c>
      <c r="W53" s="71">
        <v>0</v>
      </c>
      <c r="X53" s="4">
        <f t="shared" si="8"/>
        <v>50024.56</v>
      </c>
      <c r="Y53" s="1">
        <v>50024.56</v>
      </c>
      <c r="Z53" s="1">
        <v>0</v>
      </c>
      <c r="AA53" s="9">
        <f>AB53+AC53</f>
        <v>21411.599999999999</v>
      </c>
      <c r="AB53" s="10">
        <v>21411.599999999999</v>
      </c>
      <c r="AC53" s="10">
        <v>0</v>
      </c>
      <c r="AD53" s="44">
        <f t="shared" si="6"/>
        <v>3571808</v>
      </c>
      <c r="AE53" s="10">
        <v>0</v>
      </c>
      <c r="AF53" s="9">
        <f>AD53+AE53</f>
        <v>3571808</v>
      </c>
      <c r="AG53" s="59" t="s">
        <v>515</v>
      </c>
      <c r="AH53" s="13"/>
      <c r="AI53" s="1">
        <f>107058-9939.36+357180.79+4714.77</f>
        <v>459014.2</v>
      </c>
      <c r="AJ53" s="1">
        <f>17138.58+19724.61</f>
        <v>36863.19</v>
      </c>
    </row>
    <row r="54" spans="1:37" ht="187.5" customHeight="1" x14ac:dyDescent="0.25">
      <c r="A54" s="5">
        <f t="shared" si="7"/>
        <v>51</v>
      </c>
      <c r="B54" s="15">
        <v>135796</v>
      </c>
      <c r="C54" s="78">
        <v>830</v>
      </c>
      <c r="D54" s="40" t="s">
        <v>1985</v>
      </c>
      <c r="E54" s="17" t="s">
        <v>1701</v>
      </c>
      <c r="F54" s="31" t="s">
        <v>1849</v>
      </c>
      <c r="G54" s="5" t="s">
        <v>692</v>
      </c>
      <c r="H54" s="6" t="s">
        <v>362</v>
      </c>
      <c r="I54" s="41" t="s">
        <v>1850</v>
      </c>
      <c r="J54" s="2">
        <v>44001</v>
      </c>
      <c r="K54" s="2">
        <v>44853</v>
      </c>
      <c r="L54" s="16">
        <f t="shared" si="0"/>
        <v>85.000000085834074</v>
      </c>
      <c r="M54" s="3">
        <v>1</v>
      </c>
      <c r="N54" s="5" t="s">
        <v>1286</v>
      </c>
      <c r="O54" s="5" t="s">
        <v>692</v>
      </c>
      <c r="P54" s="27" t="s">
        <v>174</v>
      </c>
      <c r="Q54" s="5" t="s">
        <v>34</v>
      </c>
      <c r="R54" s="9">
        <f>S54+T54</f>
        <v>2475707.2400000002</v>
      </c>
      <c r="S54" s="1">
        <v>2475707.2400000002</v>
      </c>
      <c r="T54" s="10">
        <v>0</v>
      </c>
      <c r="U54" s="4">
        <f t="shared" si="2"/>
        <v>378637.57</v>
      </c>
      <c r="V54" s="71">
        <v>378637.57</v>
      </c>
      <c r="W54" s="71">
        <v>0</v>
      </c>
      <c r="X54" s="4">
        <f t="shared" si="8"/>
        <v>58251.94</v>
      </c>
      <c r="Y54" s="1">
        <v>58251.94</v>
      </c>
      <c r="Z54" s="1">
        <v>0</v>
      </c>
      <c r="AA54" s="9">
        <f>AB54+AC54</f>
        <v>0</v>
      </c>
      <c r="AB54" s="10">
        <v>0</v>
      </c>
      <c r="AC54" s="10">
        <v>0</v>
      </c>
      <c r="AD54" s="44">
        <f t="shared" si="6"/>
        <v>2912596.75</v>
      </c>
      <c r="AE54" s="10">
        <v>0</v>
      </c>
      <c r="AF54" s="9">
        <f>AD54+AE54</f>
        <v>2912596.75</v>
      </c>
      <c r="AG54" s="59" t="s">
        <v>515</v>
      </c>
      <c r="AH54" s="13"/>
      <c r="AI54" s="1">
        <f>30000-3959.41</f>
        <v>26040.59</v>
      </c>
      <c r="AJ54" s="1">
        <v>3959.41</v>
      </c>
    </row>
    <row r="55" spans="1:37" ht="173.25" x14ac:dyDescent="0.25">
      <c r="A55" s="5">
        <f t="shared" si="7"/>
        <v>52</v>
      </c>
      <c r="B55" s="5">
        <v>120555</v>
      </c>
      <c r="C55" s="6">
        <v>93</v>
      </c>
      <c r="D55" s="40" t="s">
        <v>1985</v>
      </c>
      <c r="E55" s="17" t="s">
        <v>278</v>
      </c>
      <c r="F55" s="17" t="s">
        <v>345</v>
      </c>
      <c r="G55" s="5" t="s">
        <v>344</v>
      </c>
      <c r="H55" s="3" t="s">
        <v>346</v>
      </c>
      <c r="I55" s="41" t="s">
        <v>347</v>
      </c>
      <c r="J55" s="2">
        <v>43208</v>
      </c>
      <c r="K55" s="2">
        <v>43817</v>
      </c>
      <c r="L55" s="16">
        <f t="shared" si="0"/>
        <v>84.163181877958579</v>
      </c>
      <c r="M55" s="5">
        <v>2</v>
      </c>
      <c r="N55" s="5" t="s">
        <v>367</v>
      </c>
      <c r="O55" s="5" t="s">
        <v>367</v>
      </c>
      <c r="P55" s="3" t="s">
        <v>174</v>
      </c>
      <c r="Q55" s="5" t="s">
        <v>34</v>
      </c>
      <c r="R55" s="4">
        <f t="shared" ref="R55:R59" si="29">S55+T55</f>
        <v>356789.4</v>
      </c>
      <c r="S55" s="9">
        <v>356789.4</v>
      </c>
      <c r="T55" s="9">
        <v>0</v>
      </c>
      <c r="U55" s="4">
        <f t="shared" si="2"/>
        <v>58657.85</v>
      </c>
      <c r="V55" s="53">
        <v>58657.85</v>
      </c>
      <c r="W55" s="53">
        <v>0</v>
      </c>
      <c r="X55" s="4">
        <f t="shared" si="8"/>
        <v>4304.97</v>
      </c>
      <c r="Y55" s="9">
        <v>4304.97</v>
      </c>
      <c r="Z55" s="9">
        <v>0</v>
      </c>
      <c r="AA55" s="9">
        <f t="shared" ref="AA55:AA57" si="30">AB55+AC55</f>
        <v>4173.53</v>
      </c>
      <c r="AB55" s="9">
        <v>4173.53</v>
      </c>
      <c r="AC55" s="9">
        <v>0</v>
      </c>
      <c r="AD55" s="44">
        <f t="shared" si="6"/>
        <v>423925.75</v>
      </c>
      <c r="AE55" s="9">
        <v>0</v>
      </c>
      <c r="AF55" s="9">
        <f t="shared" ref="AF55:AF57" si="31">AD55+AE55</f>
        <v>423925.75</v>
      </c>
      <c r="AG55" s="59" t="s">
        <v>966</v>
      </c>
      <c r="AH55" s="59" t="s">
        <v>1588</v>
      </c>
      <c r="AI55" s="1">
        <v>331987.39999999997</v>
      </c>
      <c r="AJ55" s="1">
        <v>54793.37</v>
      </c>
    </row>
    <row r="56" spans="1:37" ht="141.75" x14ac:dyDescent="0.25">
      <c r="A56" s="5">
        <f t="shared" si="7"/>
        <v>53</v>
      </c>
      <c r="B56" s="5">
        <v>119189</v>
      </c>
      <c r="C56" s="6">
        <v>466</v>
      </c>
      <c r="D56" s="40" t="s">
        <v>1985</v>
      </c>
      <c r="E56" s="5" t="s">
        <v>474</v>
      </c>
      <c r="F56" s="5" t="s">
        <v>607</v>
      </c>
      <c r="G56" s="5" t="s">
        <v>711</v>
      </c>
      <c r="H56" s="5" t="s">
        <v>151</v>
      </c>
      <c r="I56" s="41" t="s">
        <v>710</v>
      </c>
      <c r="J56" s="2">
        <v>43278</v>
      </c>
      <c r="K56" s="2">
        <v>43765</v>
      </c>
      <c r="L56" s="16">
        <f t="shared" si="0"/>
        <v>85.000000991333039</v>
      </c>
      <c r="M56" s="5">
        <v>2</v>
      </c>
      <c r="N56" s="5" t="s">
        <v>367</v>
      </c>
      <c r="O56" s="5" t="s">
        <v>367</v>
      </c>
      <c r="P56" s="3" t="s">
        <v>174</v>
      </c>
      <c r="Q56" s="5" t="s">
        <v>34</v>
      </c>
      <c r="R56" s="4">
        <f t="shared" si="29"/>
        <v>514458.8</v>
      </c>
      <c r="S56" s="9">
        <v>514458.8</v>
      </c>
      <c r="T56" s="9">
        <v>0</v>
      </c>
      <c r="U56" s="4">
        <f t="shared" si="2"/>
        <v>78681.929999999978</v>
      </c>
      <c r="V56" s="53">
        <v>78681.929999999978</v>
      </c>
      <c r="W56" s="53">
        <v>0</v>
      </c>
      <c r="X56" s="4">
        <f t="shared" si="8"/>
        <v>12104.91</v>
      </c>
      <c r="Y56" s="9">
        <v>12104.91</v>
      </c>
      <c r="Z56" s="9">
        <v>0</v>
      </c>
      <c r="AA56" s="9">
        <f t="shared" si="30"/>
        <v>0</v>
      </c>
      <c r="AB56" s="9">
        <v>0</v>
      </c>
      <c r="AC56" s="9">
        <v>0</v>
      </c>
      <c r="AD56" s="44">
        <f t="shared" si="6"/>
        <v>605245.64</v>
      </c>
      <c r="AE56" s="9"/>
      <c r="AF56" s="9">
        <f t="shared" si="31"/>
        <v>605245.64</v>
      </c>
      <c r="AG56" s="49" t="s">
        <v>966</v>
      </c>
      <c r="AH56" s="13" t="s">
        <v>151</v>
      </c>
      <c r="AI56" s="1">
        <v>360382.24999999994</v>
      </c>
      <c r="AJ56" s="1">
        <v>55117.29</v>
      </c>
    </row>
    <row r="57" spans="1:37" ht="151.5" customHeight="1" x14ac:dyDescent="0.25">
      <c r="A57" s="5">
        <f t="shared" si="7"/>
        <v>54</v>
      </c>
      <c r="B57" s="5">
        <v>125782</v>
      </c>
      <c r="C57" s="6">
        <v>520</v>
      </c>
      <c r="D57" s="40" t="s">
        <v>1985</v>
      </c>
      <c r="E57" s="8" t="s">
        <v>1018</v>
      </c>
      <c r="F57" s="5" t="s">
        <v>1055</v>
      </c>
      <c r="G57" s="5" t="s">
        <v>711</v>
      </c>
      <c r="H57" s="5" t="s">
        <v>151</v>
      </c>
      <c r="I57" s="41" t="s">
        <v>1056</v>
      </c>
      <c r="J57" s="2">
        <v>43445</v>
      </c>
      <c r="K57" s="2">
        <v>44450</v>
      </c>
      <c r="L57" s="16">
        <f t="shared" si="0"/>
        <v>84.999999737203865</v>
      </c>
      <c r="M57" s="5">
        <v>2</v>
      </c>
      <c r="N57" s="5" t="s">
        <v>367</v>
      </c>
      <c r="O57" s="5" t="s">
        <v>367</v>
      </c>
      <c r="P57" s="3" t="s">
        <v>174</v>
      </c>
      <c r="Q57" s="5" t="s">
        <v>34</v>
      </c>
      <c r="R57" s="4">
        <f t="shared" si="29"/>
        <v>1132056.27</v>
      </c>
      <c r="S57" s="9">
        <v>1132056.27</v>
      </c>
      <c r="T57" s="9">
        <v>0</v>
      </c>
      <c r="U57" s="4">
        <f t="shared" si="2"/>
        <v>173138.02</v>
      </c>
      <c r="V57" s="53">
        <v>173138.02</v>
      </c>
      <c r="W57" s="53">
        <v>0</v>
      </c>
      <c r="X57" s="4">
        <f t="shared" si="8"/>
        <v>26636.62</v>
      </c>
      <c r="Y57" s="9">
        <v>26636.62</v>
      </c>
      <c r="Z57" s="1">
        <v>0</v>
      </c>
      <c r="AA57" s="9">
        <f t="shared" si="30"/>
        <v>0</v>
      </c>
      <c r="AB57" s="9">
        <v>0</v>
      </c>
      <c r="AC57" s="9">
        <v>0</v>
      </c>
      <c r="AD57" s="44">
        <f t="shared" si="6"/>
        <v>1331830.9100000001</v>
      </c>
      <c r="AE57" s="11"/>
      <c r="AF57" s="9">
        <f t="shared" si="31"/>
        <v>1331830.9100000001</v>
      </c>
      <c r="AG57" s="59" t="s">
        <v>515</v>
      </c>
      <c r="AH57" s="59" t="s">
        <v>2108</v>
      </c>
      <c r="AI57" s="1">
        <f>239963.16+228953.11</f>
        <v>468916.27</v>
      </c>
      <c r="AJ57" s="1">
        <f>36700.24+35016.36</f>
        <v>71716.600000000006</v>
      </c>
    </row>
    <row r="58" spans="1:37" ht="151.5" customHeight="1" x14ac:dyDescent="0.25">
      <c r="A58" s="5">
        <f t="shared" si="7"/>
        <v>55</v>
      </c>
      <c r="B58" s="5">
        <v>129167</v>
      </c>
      <c r="C58" s="6">
        <v>662</v>
      </c>
      <c r="D58" s="40" t="s">
        <v>1985</v>
      </c>
      <c r="E58" s="102" t="s">
        <v>1246</v>
      </c>
      <c r="F58" s="5" t="s">
        <v>1367</v>
      </c>
      <c r="G58" s="5" t="s">
        <v>344</v>
      </c>
      <c r="H58" s="5" t="s">
        <v>362</v>
      </c>
      <c r="I58" s="41" t="s">
        <v>1368</v>
      </c>
      <c r="J58" s="2">
        <v>43662</v>
      </c>
      <c r="K58" s="2">
        <v>44577</v>
      </c>
      <c r="L58" s="16">
        <f t="shared" si="0"/>
        <v>85.000000251461756</v>
      </c>
      <c r="M58" s="5">
        <v>2</v>
      </c>
      <c r="N58" s="5" t="s">
        <v>367</v>
      </c>
      <c r="O58" s="5" t="s">
        <v>367</v>
      </c>
      <c r="P58" s="3" t="s">
        <v>174</v>
      </c>
      <c r="Q58" s="5" t="s">
        <v>34</v>
      </c>
      <c r="R58" s="4">
        <f t="shared" si="29"/>
        <v>3211223.96</v>
      </c>
      <c r="S58" s="4">
        <v>3211223.96</v>
      </c>
      <c r="T58" s="9">
        <v>0</v>
      </c>
      <c r="U58" s="4">
        <f t="shared" si="2"/>
        <v>491128.16</v>
      </c>
      <c r="V58" s="53">
        <v>491128.16</v>
      </c>
      <c r="W58" s="53">
        <v>0</v>
      </c>
      <c r="X58" s="4">
        <f t="shared" si="8"/>
        <v>75558.41</v>
      </c>
      <c r="Y58" s="9">
        <v>75558.41</v>
      </c>
      <c r="Z58" s="1">
        <v>0</v>
      </c>
      <c r="AA58" s="9">
        <v>0</v>
      </c>
      <c r="AB58" s="9">
        <v>0</v>
      </c>
      <c r="AC58" s="9">
        <v>0</v>
      </c>
      <c r="AD58" s="44">
        <f t="shared" si="6"/>
        <v>3777910.5300000003</v>
      </c>
      <c r="AE58" s="11">
        <v>0</v>
      </c>
      <c r="AF58" s="9">
        <f>AD58+AE58</f>
        <v>3777910.5300000003</v>
      </c>
      <c r="AG58" s="59" t="s">
        <v>515</v>
      </c>
      <c r="AH58" s="59" t="s">
        <v>1923</v>
      </c>
      <c r="AI58" s="1">
        <f>7795.35+11297.44+29831.01+34402.13+65919.46</f>
        <v>149245.39000000001</v>
      </c>
      <c r="AJ58" s="1">
        <f>1192.23+1727.85+4562.37+5261.5+10081.79</f>
        <v>22825.74</v>
      </c>
    </row>
    <row r="59" spans="1:37" ht="151.5" customHeight="1" x14ac:dyDescent="0.25">
      <c r="A59" s="5">
        <f t="shared" si="7"/>
        <v>56</v>
      </c>
      <c r="B59" s="5">
        <v>135233</v>
      </c>
      <c r="C59" s="6">
        <v>825</v>
      </c>
      <c r="D59" s="40" t="s">
        <v>1985</v>
      </c>
      <c r="E59" s="81" t="s">
        <v>1701</v>
      </c>
      <c r="F59" s="5" t="s">
        <v>1875</v>
      </c>
      <c r="G59" s="5" t="s">
        <v>711</v>
      </c>
      <c r="H59" s="5" t="s">
        <v>362</v>
      </c>
      <c r="I59" s="41" t="s">
        <v>1876</v>
      </c>
      <c r="J59" s="2">
        <v>44014</v>
      </c>
      <c r="K59" s="2">
        <v>44744</v>
      </c>
      <c r="L59" s="16">
        <f t="shared" si="0"/>
        <v>85.000000166955815</v>
      </c>
      <c r="M59" s="5">
        <v>2</v>
      </c>
      <c r="N59" s="5" t="s">
        <v>367</v>
      </c>
      <c r="O59" s="5" t="s">
        <v>367</v>
      </c>
      <c r="P59" s="3" t="s">
        <v>174</v>
      </c>
      <c r="Q59" s="5" t="s">
        <v>34</v>
      </c>
      <c r="R59" s="4">
        <f t="shared" si="29"/>
        <v>2545583.83</v>
      </c>
      <c r="S59" s="4">
        <v>2545583.83</v>
      </c>
      <c r="T59" s="9">
        <v>0</v>
      </c>
      <c r="U59" s="4">
        <f t="shared" si="2"/>
        <v>389324.58</v>
      </c>
      <c r="V59" s="53">
        <v>389324.58</v>
      </c>
      <c r="W59" s="53">
        <v>0</v>
      </c>
      <c r="X59" s="4">
        <f t="shared" si="8"/>
        <v>59896.09</v>
      </c>
      <c r="Y59" s="9">
        <v>59896.09</v>
      </c>
      <c r="Z59" s="1">
        <v>0</v>
      </c>
      <c r="AA59" s="9">
        <v>0</v>
      </c>
      <c r="AB59" s="9">
        <v>0</v>
      </c>
      <c r="AC59" s="9">
        <v>0</v>
      </c>
      <c r="AD59" s="44">
        <f t="shared" si="6"/>
        <v>2994804.5</v>
      </c>
      <c r="AE59" s="11">
        <v>0</v>
      </c>
      <c r="AF59" s="9">
        <f>AD59+AE59</f>
        <v>2994804.5</v>
      </c>
      <c r="AG59" s="59" t="s">
        <v>515</v>
      </c>
      <c r="AH59" s="11"/>
      <c r="AI59" s="1">
        <v>64682.3</v>
      </c>
      <c r="AJ59" s="1">
        <v>9892.58</v>
      </c>
    </row>
    <row r="60" spans="1:37" ht="393.75" x14ac:dyDescent="0.25">
      <c r="A60" s="5">
        <f t="shared" si="7"/>
        <v>57</v>
      </c>
      <c r="B60" s="15">
        <v>111300</v>
      </c>
      <c r="C60" s="6">
        <v>123</v>
      </c>
      <c r="D60" s="40" t="s">
        <v>1985</v>
      </c>
      <c r="E60" s="17" t="s">
        <v>278</v>
      </c>
      <c r="F60" s="8" t="s">
        <v>224</v>
      </c>
      <c r="G60" s="5" t="s">
        <v>225</v>
      </c>
      <c r="H60" s="5" t="s">
        <v>151</v>
      </c>
      <c r="I60" s="60" t="s">
        <v>226</v>
      </c>
      <c r="J60" s="2">
        <v>43145</v>
      </c>
      <c r="K60" s="2">
        <v>43630</v>
      </c>
      <c r="L60" s="16">
        <f t="shared" si="0"/>
        <v>84.999999881712782</v>
      </c>
      <c r="M60" s="5">
        <v>7</v>
      </c>
      <c r="N60" s="5" t="s">
        <v>227</v>
      </c>
      <c r="O60" s="5" t="s">
        <v>228</v>
      </c>
      <c r="P60" s="3" t="s">
        <v>174</v>
      </c>
      <c r="Q60" s="5" t="s">
        <v>34</v>
      </c>
      <c r="R60" s="4">
        <f>S60+T60</f>
        <v>359294.94</v>
      </c>
      <c r="S60" s="69">
        <v>359294.94</v>
      </c>
      <c r="T60" s="4">
        <v>0</v>
      </c>
      <c r="U60" s="4">
        <f t="shared" si="2"/>
        <v>54950.99</v>
      </c>
      <c r="V60" s="82">
        <v>54950.99</v>
      </c>
      <c r="W60" s="53">
        <v>0</v>
      </c>
      <c r="X60" s="4">
        <f t="shared" si="8"/>
        <v>8454</v>
      </c>
      <c r="Y60" s="9">
        <v>8454</v>
      </c>
      <c r="Z60" s="9">
        <v>0</v>
      </c>
      <c r="AA60" s="9">
        <f t="shared" ref="AA60:AA73" si="32">AB60+AC60</f>
        <v>0</v>
      </c>
      <c r="AB60" s="103">
        <v>0</v>
      </c>
      <c r="AC60" s="103">
        <v>0</v>
      </c>
      <c r="AD60" s="44">
        <f t="shared" si="6"/>
        <v>422699.93</v>
      </c>
      <c r="AE60" s="9">
        <v>0</v>
      </c>
      <c r="AF60" s="9">
        <f>AD60+AE60</f>
        <v>422699.93</v>
      </c>
      <c r="AG60" s="49" t="s">
        <v>966</v>
      </c>
      <c r="AH60" s="13" t="s">
        <v>151</v>
      </c>
      <c r="AI60" s="1">
        <v>330029.05000000005</v>
      </c>
      <c r="AJ60" s="1">
        <v>50475.040000000001</v>
      </c>
      <c r="AK60" s="52"/>
    </row>
    <row r="61" spans="1:37" ht="166.5" customHeight="1" x14ac:dyDescent="0.25">
      <c r="A61" s="5">
        <f t="shared" si="7"/>
        <v>58</v>
      </c>
      <c r="B61" s="15">
        <v>110505</v>
      </c>
      <c r="C61" s="6">
        <v>125</v>
      </c>
      <c r="D61" s="40" t="s">
        <v>1985</v>
      </c>
      <c r="E61" s="17" t="s">
        <v>278</v>
      </c>
      <c r="F61" s="8" t="s">
        <v>263</v>
      </c>
      <c r="G61" s="5" t="s">
        <v>1490</v>
      </c>
      <c r="H61" s="5" t="s">
        <v>151</v>
      </c>
      <c r="I61" s="41" t="s">
        <v>266</v>
      </c>
      <c r="J61" s="2">
        <v>43173</v>
      </c>
      <c r="K61" s="2">
        <v>43660</v>
      </c>
      <c r="L61" s="16">
        <f t="shared" si="0"/>
        <v>84.99999981945335</v>
      </c>
      <c r="M61" s="5">
        <v>7</v>
      </c>
      <c r="N61" s="5" t="s">
        <v>227</v>
      </c>
      <c r="O61" s="5" t="s">
        <v>227</v>
      </c>
      <c r="P61" s="3" t="s">
        <v>174</v>
      </c>
      <c r="Q61" s="5" t="s">
        <v>34</v>
      </c>
      <c r="R61" s="4">
        <f>S61+T61</f>
        <v>470792.44</v>
      </c>
      <c r="S61" s="9">
        <v>470792.44</v>
      </c>
      <c r="T61" s="9">
        <v>0</v>
      </c>
      <c r="U61" s="4">
        <f t="shared" si="2"/>
        <v>72003.55</v>
      </c>
      <c r="V61" s="53">
        <v>72003.55</v>
      </c>
      <c r="W61" s="53">
        <v>0</v>
      </c>
      <c r="X61" s="4">
        <f t="shared" si="8"/>
        <v>11077.47</v>
      </c>
      <c r="Y61" s="9">
        <v>11077.47</v>
      </c>
      <c r="Z61" s="9">
        <v>0</v>
      </c>
      <c r="AA61" s="9">
        <f t="shared" si="32"/>
        <v>0</v>
      </c>
      <c r="AB61" s="103">
        <v>0</v>
      </c>
      <c r="AC61" s="103">
        <v>0</v>
      </c>
      <c r="AD61" s="44">
        <f t="shared" si="6"/>
        <v>553873.46</v>
      </c>
      <c r="AE61" s="9">
        <v>0</v>
      </c>
      <c r="AF61" s="9">
        <f t="shared" ref="AF61:AF73" si="33">AD61+AE61</f>
        <v>553873.46</v>
      </c>
      <c r="AG61" s="49" t="s">
        <v>966</v>
      </c>
      <c r="AH61" s="13" t="s">
        <v>151</v>
      </c>
      <c r="AI61" s="1">
        <v>369783.92</v>
      </c>
      <c r="AJ61" s="1">
        <v>56555.21</v>
      </c>
    </row>
    <row r="62" spans="1:37" ht="318.75" customHeight="1" x14ac:dyDescent="0.25">
      <c r="A62" s="5">
        <f t="shared" si="7"/>
        <v>59</v>
      </c>
      <c r="B62" s="15">
        <v>119450</v>
      </c>
      <c r="C62" s="6">
        <v>485</v>
      </c>
      <c r="D62" s="40" t="s">
        <v>1985</v>
      </c>
      <c r="E62" s="17" t="s">
        <v>474</v>
      </c>
      <c r="F62" s="8" t="s">
        <v>716</v>
      </c>
      <c r="G62" s="5" t="s">
        <v>1998</v>
      </c>
      <c r="H62" s="5" t="s">
        <v>151</v>
      </c>
      <c r="I62" s="41" t="s">
        <v>717</v>
      </c>
      <c r="J62" s="2">
        <v>43298</v>
      </c>
      <c r="K62" s="2">
        <v>43786</v>
      </c>
      <c r="L62" s="16">
        <f t="shared" si="0"/>
        <v>85.000002578269815</v>
      </c>
      <c r="M62" s="5">
        <v>7</v>
      </c>
      <c r="N62" s="5" t="s">
        <v>227</v>
      </c>
      <c r="O62" s="5" t="s">
        <v>923</v>
      </c>
      <c r="P62" s="3" t="s">
        <v>174</v>
      </c>
      <c r="Q62" s="5" t="s">
        <v>34</v>
      </c>
      <c r="R62" s="4">
        <f t="shared" ref="R62:R63" si="34">S62+T62</f>
        <v>329678.46000000002</v>
      </c>
      <c r="S62" s="9">
        <v>329678.46000000002</v>
      </c>
      <c r="T62" s="9">
        <v>0</v>
      </c>
      <c r="U62" s="4">
        <f t="shared" si="2"/>
        <v>50421.4</v>
      </c>
      <c r="V62" s="53">
        <v>50421.4</v>
      </c>
      <c r="W62" s="53">
        <v>0</v>
      </c>
      <c r="X62" s="4">
        <f t="shared" si="8"/>
        <v>7757.14</v>
      </c>
      <c r="Y62" s="9">
        <v>7757.14</v>
      </c>
      <c r="Z62" s="9">
        <v>0</v>
      </c>
      <c r="AA62" s="9">
        <f t="shared" si="32"/>
        <v>0</v>
      </c>
      <c r="AB62" s="103">
        <v>0</v>
      </c>
      <c r="AC62" s="103">
        <v>0</v>
      </c>
      <c r="AD62" s="44">
        <f t="shared" si="6"/>
        <v>387857.00000000006</v>
      </c>
      <c r="AE62" s="9">
        <v>0</v>
      </c>
      <c r="AF62" s="9">
        <f t="shared" si="33"/>
        <v>387857.00000000006</v>
      </c>
      <c r="AG62" s="49" t="s">
        <v>966</v>
      </c>
      <c r="AH62" s="13" t="s">
        <v>151</v>
      </c>
      <c r="AI62" s="1">
        <v>321577.40000000002</v>
      </c>
      <c r="AJ62" s="1">
        <v>49182.460000000006</v>
      </c>
    </row>
    <row r="63" spans="1:37" ht="409.5" x14ac:dyDescent="0.25">
      <c r="A63" s="5">
        <f t="shared" si="7"/>
        <v>60</v>
      </c>
      <c r="B63" s="15">
        <v>118753</v>
      </c>
      <c r="C63" s="5">
        <v>438</v>
      </c>
      <c r="D63" s="8" t="s">
        <v>1986</v>
      </c>
      <c r="E63" s="17" t="s">
        <v>540</v>
      </c>
      <c r="F63" s="8" t="s">
        <v>922</v>
      </c>
      <c r="G63" s="5" t="s">
        <v>1998</v>
      </c>
      <c r="H63" s="5" t="s">
        <v>151</v>
      </c>
      <c r="I63" s="8" t="s">
        <v>924</v>
      </c>
      <c r="J63" s="2">
        <v>43348</v>
      </c>
      <c r="K63" s="2">
        <v>43651</v>
      </c>
      <c r="L63" s="16">
        <f t="shared" si="0"/>
        <v>85.000001668065067</v>
      </c>
      <c r="M63" s="5">
        <v>7</v>
      </c>
      <c r="N63" s="5" t="s">
        <v>227</v>
      </c>
      <c r="O63" s="5" t="s">
        <v>923</v>
      </c>
      <c r="P63" s="3" t="s">
        <v>174</v>
      </c>
      <c r="Q63" s="5" t="s">
        <v>34</v>
      </c>
      <c r="R63" s="4">
        <f t="shared" si="34"/>
        <v>254786.23</v>
      </c>
      <c r="S63" s="1">
        <v>254786.23</v>
      </c>
      <c r="T63" s="9">
        <v>0</v>
      </c>
      <c r="U63" s="4">
        <f t="shared" si="2"/>
        <v>38967.300000000003</v>
      </c>
      <c r="V63" s="71">
        <v>38967.300000000003</v>
      </c>
      <c r="W63" s="53">
        <v>0</v>
      </c>
      <c r="X63" s="4">
        <f t="shared" si="8"/>
        <v>5994.97</v>
      </c>
      <c r="Y63" s="1">
        <v>5994.97</v>
      </c>
      <c r="Z63" s="1">
        <v>0</v>
      </c>
      <c r="AA63" s="9">
        <f t="shared" si="32"/>
        <v>0</v>
      </c>
      <c r="AB63" s="70">
        <v>0</v>
      </c>
      <c r="AC63" s="70">
        <v>0</v>
      </c>
      <c r="AD63" s="44">
        <f t="shared" si="6"/>
        <v>299748.5</v>
      </c>
      <c r="AE63" s="59">
        <v>0</v>
      </c>
      <c r="AF63" s="9">
        <f t="shared" si="33"/>
        <v>299748.5</v>
      </c>
      <c r="AG63" s="49" t="s">
        <v>966</v>
      </c>
      <c r="AH63" s="13" t="s">
        <v>151</v>
      </c>
      <c r="AI63" s="1">
        <v>238361.69</v>
      </c>
      <c r="AJ63" s="1">
        <v>36455.329999999994</v>
      </c>
      <c r="AK63" s="72"/>
    </row>
    <row r="64" spans="1:37" ht="141.75" x14ac:dyDescent="0.25">
      <c r="A64" s="5">
        <f t="shared" si="7"/>
        <v>61</v>
      </c>
      <c r="B64" s="15">
        <v>126380</v>
      </c>
      <c r="C64" s="5">
        <v>567</v>
      </c>
      <c r="D64" s="40" t="s">
        <v>1985</v>
      </c>
      <c r="E64" s="104" t="s">
        <v>1018</v>
      </c>
      <c r="F64" s="105" t="s">
        <v>1045</v>
      </c>
      <c r="G64" s="5" t="s">
        <v>1047</v>
      </c>
      <c r="H64" s="5" t="s">
        <v>151</v>
      </c>
      <c r="I64" s="8" t="s">
        <v>1046</v>
      </c>
      <c r="J64" s="2">
        <v>43440</v>
      </c>
      <c r="K64" s="2">
        <v>44475</v>
      </c>
      <c r="L64" s="16">
        <f t="shared" si="0"/>
        <v>85.00000001812522</v>
      </c>
      <c r="M64" s="5">
        <v>7</v>
      </c>
      <c r="N64" s="5" t="s">
        <v>227</v>
      </c>
      <c r="O64" s="5" t="s">
        <v>227</v>
      </c>
      <c r="P64" s="3" t="s">
        <v>174</v>
      </c>
      <c r="Q64" s="5" t="s">
        <v>34</v>
      </c>
      <c r="R64" s="4">
        <f>S64+T64</f>
        <v>2344798.5</v>
      </c>
      <c r="S64" s="1">
        <v>2344798.5</v>
      </c>
      <c r="T64" s="9">
        <v>0</v>
      </c>
      <c r="U64" s="4">
        <f t="shared" si="2"/>
        <v>358616.24</v>
      </c>
      <c r="V64" s="71">
        <v>358616.24</v>
      </c>
      <c r="W64" s="53">
        <v>0</v>
      </c>
      <c r="X64" s="4">
        <f t="shared" si="8"/>
        <v>55171.73</v>
      </c>
      <c r="Y64" s="1">
        <v>55171.73</v>
      </c>
      <c r="Z64" s="1">
        <v>0</v>
      </c>
      <c r="AA64" s="9">
        <f>AB64+AC64</f>
        <v>0</v>
      </c>
      <c r="AB64" s="70">
        <v>0</v>
      </c>
      <c r="AC64" s="70">
        <v>0</v>
      </c>
      <c r="AD64" s="44">
        <f t="shared" si="6"/>
        <v>2758586.47</v>
      </c>
      <c r="AE64" s="59">
        <v>78540</v>
      </c>
      <c r="AF64" s="9">
        <f>AD64+AE64+AB64</f>
        <v>2837126.47</v>
      </c>
      <c r="AG64" s="59" t="s">
        <v>515</v>
      </c>
      <c r="AH64" s="13" t="s">
        <v>2055</v>
      </c>
      <c r="AI64" s="1">
        <f>93072.41+133593.65+14946.4+380697.25+26616.05+16173.8</f>
        <v>665099.56000000006</v>
      </c>
      <c r="AJ64" s="1">
        <f>14234.6+20431.97+2285.92+58224.28+4070.69+2473.64</f>
        <v>101721.09999999999</v>
      </c>
    </row>
    <row r="65" spans="1:36" ht="173.25" x14ac:dyDescent="0.25">
      <c r="A65" s="5">
        <f t="shared" si="7"/>
        <v>62</v>
      </c>
      <c r="B65" s="15">
        <v>126524</v>
      </c>
      <c r="C65" s="5">
        <v>552</v>
      </c>
      <c r="D65" s="40" t="s">
        <v>1985</v>
      </c>
      <c r="E65" s="104" t="s">
        <v>1018</v>
      </c>
      <c r="F65" s="8" t="s">
        <v>1101</v>
      </c>
      <c r="G65" s="5" t="s">
        <v>1102</v>
      </c>
      <c r="H65" s="5" t="s">
        <v>151</v>
      </c>
      <c r="I65" s="8" t="s">
        <v>1103</v>
      </c>
      <c r="J65" s="2">
        <v>43480</v>
      </c>
      <c r="K65" s="2">
        <v>44180</v>
      </c>
      <c r="L65" s="16">
        <f t="shared" si="0"/>
        <v>84.99999981002415</v>
      </c>
      <c r="M65" s="5">
        <v>7</v>
      </c>
      <c r="N65" s="5" t="s">
        <v>227</v>
      </c>
      <c r="O65" s="5" t="s">
        <v>264</v>
      </c>
      <c r="P65" s="3" t="s">
        <v>174</v>
      </c>
      <c r="Q65" s="5" t="s">
        <v>34</v>
      </c>
      <c r="R65" s="4">
        <f t="shared" ref="R65:R66" si="35">S65+T65</f>
        <v>2460839.27</v>
      </c>
      <c r="S65" s="1">
        <v>2460839.27</v>
      </c>
      <c r="T65" s="9">
        <v>0</v>
      </c>
      <c r="U65" s="4">
        <f t="shared" si="2"/>
        <v>376363.66</v>
      </c>
      <c r="V65" s="71">
        <v>376363.66</v>
      </c>
      <c r="W65" s="53"/>
      <c r="X65" s="4">
        <f t="shared" si="8"/>
        <v>57902.1</v>
      </c>
      <c r="Y65" s="1">
        <v>57902.1</v>
      </c>
      <c r="Z65" s="1">
        <v>0</v>
      </c>
      <c r="AA65" s="9">
        <f t="shared" ref="AA65:AA66" si="36">AB65+AC65</f>
        <v>0</v>
      </c>
      <c r="AB65" s="70">
        <v>0</v>
      </c>
      <c r="AC65" s="70">
        <v>0</v>
      </c>
      <c r="AD65" s="44">
        <f t="shared" si="6"/>
        <v>2895105.0300000003</v>
      </c>
      <c r="AE65" s="59">
        <v>0</v>
      </c>
      <c r="AF65" s="9">
        <f>AD65+AE65</f>
        <v>2895105.0300000003</v>
      </c>
      <c r="AG65" s="59" t="s">
        <v>966</v>
      </c>
      <c r="AH65" s="13" t="s">
        <v>1995</v>
      </c>
      <c r="AI65" s="1">
        <f>132379.54+23465.1+1059324.47+12491.6+792382.73</f>
        <v>2020043.44</v>
      </c>
      <c r="AJ65" s="1">
        <f>20246.28+3588.78+162014.32+1910.48+121187.95</f>
        <v>308947.81</v>
      </c>
    </row>
    <row r="66" spans="1:36" ht="242.25" customHeight="1" x14ac:dyDescent="0.25">
      <c r="A66" s="5">
        <f t="shared" si="7"/>
        <v>63</v>
      </c>
      <c r="B66" s="15">
        <v>126332</v>
      </c>
      <c r="C66" s="5">
        <v>565</v>
      </c>
      <c r="D66" s="40" t="s">
        <v>1985</v>
      </c>
      <c r="E66" s="104" t="s">
        <v>1018</v>
      </c>
      <c r="F66" s="8" t="s">
        <v>1231</v>
      </c>
      <c r="G66" s="5" t="s">
        <v>1232</v>
      </c>
      <c r="H66" s="5" t="s">
        <v>151</v>
      </c>
      <c r="I66" s="60" t="s">
        <v>1233</v>
      </c>
      <c r="J66" s="2">
        <v>43601</v>
      </c>
      <c r="K66" s="2">
        <v>44516</v>
      </c>
      <c r="L66" s="16">
        <f t="shared" si="0"/>
        <v>85.000000553635857</v>
      </c>
      <c r="M66" s="5">
        <v>7</v>
      </c>
      <c r="N66" s="5" t="s">
        <v>227</v>
      </c>
      <c r="O66" s="5" t="s">
        <v>227</v>
      </c>
      <c r="P66" s="3" t="s">
        <v>174</v>
      </c>
      <c r="Q66" s="5" t="s">
        <v>34</v>
      </c>
      <c r="R66" s="4">
        <f t="shared" si="35"/>
        <v>1919131.5</v>
      </c>
      <c r="S66" s="1">
        <v>1919131.5</v>
      </c>
      <c r="T66" s="9">
        <v>0</v>
      </c>
      <c r="U66" s="4">
        <f t="shared" si="2"/>
        <v>293514.21000000002</v>
      </c>
      <c r="V66" s="71">
        <v>293514.21000000002</v>
      </c>
      <c r="W66" s="53">
        <v>0</v>
      </c>
      <c r="X66" s="4">
        <f t="shared" si="8"/>
        <v>45156.04</v>
      </c>
      <c r="Y66" s="1">
        <v>45156.04</v>
      </c>
      <c r="Z66" s="1">
        <v>0</v>
      </c>
      <c r="AA66" s="9">
        <f t="shared" si="36"/>
        <v>0</v>
      </c>
      <c r="AB66" s="70">
        <v>0</v>
      </c>
      <c r="AC66" s="70">
        <v>0</v>
      </c>
      <c r="AD66" s="44">
        <f t="shared" si="6"/>
        <v>2257801.75</v>
      </c>
      <c r="AE66" s="59">
        <v>0</v>
      </c>
      <c r="AF66" s="9">
        <f>AD66+AE66</f>
        <v>2257801.75</v>
      </c>
      <c r="AG66" s="59" t="s">
        <v>515</v>
      </c>
      <c r="AH66" s="13"/>
      <c r="AI66" s="1">
        <f>110380.85+341720.62-27335.1+206064.6</f>
        <v>630830.97</v>
      </c>
      <c r="AJ66" s="1">
        <f>9619.15+25878.71+27335.1</f>
        <v>62832.959999999999</v>
      </c>
    </row>
    <row r="67" spans="1:36" ht="242.25" customHeight="1" x14ac:dyDescent="0.25">
      <c r="A67" s="5">
        <f t="shared" si="7"/>
        <v>64</v>
      </c>
      <c r="B67" s="15">
        <v>128663</v>
      </c>
      <c r="C67" s="5">
        <v>681</v>
      </c>
      <c r="D67" s="40" t="s">
        <v>1985</v>
      </c>
      <c r="E67" s="8" t="s">
        <v>1246</v>
      </c>
      <c r="F67" s="8" t="s">
        <v>1489</v>
      </c>
      <c r="G67" s="5" t="s">
        <v>1490</v>
      </c>
      <c r="H67" s="5" t="s">
        <v>1491</v>
      </c>
      <c r="I67" s="60" t="s">
        <v>1492</v>
      </c>
      <c r="J67" s="2">
        <v>43683</v>
      </c>
      <c r="K67" s="2">
        <v>44626</v>
      </c>
      <c r="L67" s="16">
        <f t="shared" si="0"/>
        <v>84.604864390882867</v>
      </c>
      <c r="M67" s="5">
        <v>7</v>
      </c>
      <c r="N67" s="5" t="s">
        <v>227</v>
      </c>
      <c r="O67" s="5" t="s">
        <v>227</v>
      </c>
      <c r="P67" s="3" t="s">
        <v>174</v>
      </c>
      <c r="Q67" s="5" t="s">
        <v>34</v>
      </c>
      <c r="R67" s="4">
        <f>S67+T67</f>
        <v>3173338.5</v>
      </c>
      <c r="S67" s="1">
        <v>3173338.5</v>
      </c>
      <c r="T67" s="9">
        <v>0</v>
      </c>
      <c r="U67" s="4">
        <f>V67+W67</f>
        <v>502421.46</v>
      </c>
      <c r="V67" s="71">
        <v>502421.46</v>
      </c>
      <c r="W67" s="53">
        <v>0</v>
      </c>
      <c r="X67" s="4">
        <f t="shared" si="8"/>
        <v>57579.43</v>
      </c>
      <c r="Y67" s="1">
        <v>57579.43</v>
      </c>
      <c r="Z67" s="1"/>
      <c r="AA67" s="9">
        <f>AB67+AC67</f>
        <v>17436.080000000002</v>
      </c>
      <c r="AB67" s="70">
        <v>17436.080000000002</v>
      </c>
      <c r="AC67" s="70">
        <v>0</v>
      </c>
      <c r="AD67" s="44">
        <f t="shared" si="6"/>
        <v>3750775.47</v>
      </c>
      <c r="AE67" s="59">
        <v>0</v>
      </c>
      <c r="AF67" s="9">
        <f>AD67+AE67</f>
        <v>3750775.47</v>
      </c>
      <c r="AG67" s="59" t="s">
        <v>515</v>
      </c>
      <c r="AH67" s="13" t="s">
        <v>1918</v>
      </c>
      <c r="AI67" s="1">
        <f>29936.15+58571.7+142260.5+208810.2+151593.51+1032937.68+179659.48+165163.03+35595.96</f>
        <v>2004528.2100000002</v>
      </c>
      <c r="AJ67" s="1">
        <f>4578.47+10336.18+24340.57+34536.75+25937.21+157978.7+31092.75+28549.9+5705.16</f>
        <v>323055.69</v>
      </c>
    </row>
    <row r="68" spans="1:36" ht="242.25" customHeight="1" x14ac:dyDescent="0.25">
      <c r="A68" s="5">
        <f t="shared" si="7"/>
        <v>65</v>
      </c>
      <c r="B68" s="15">
        <v>135887</v>
      </c>
      <c r="C68" s="5">
        <v>771</v>
      </c>
      <c r="D68" s="40" t="s">
        <v>1985</v>
      </c>
      <c r="E68" s="81" t="s">
        <v>1701</v>
      </c>
      <c r="F68" s="8" t="s">
        <v>1791</v>
      </c>
      <c r="G68" s="5" t="s">
        <v>1490</v>
      </c>
      <c r="H68" s="5" t="s">
        <v>1792</v>
      </c>
      <c r="I68" s="60" t="s">
        <v>1793</v>
      </c>
      <c r="J68" s="2">
        <v>43973</v>
      </c>
      <c r="K68" s="2">
        <v>44887</v>
      </c>
      <c r="L68" s="16">
        <f t="shared" si="0"/>
        <v>85.000000472330711</v>
      </c>
      <c r="M68" s="5">
        <v>7</v>
      </c>
      <c r="N68" s="5" t="s">
        <v>227</v>
      </c>
      <c r="O68" s="5" t="s">
        <v>264</v>
      </c>
      <c r="P68" s="3" t="s">
        <v>174</v>
      </c>
      <c r="Q68" s="62" t="s">
        <v>34</v>
      </c>
      <c r="R68" s="4">
        <f>S68+T68</f>
        <v>2519421.23</v>
      </c>
      <c r="S68" s="1">
        <v>2519421.23</v>
      </c>
      <c r="T68" s="9">
        <v>0</v>
      </c>
      <c r="U68" s="4">
        <f>V68+W68</f>
        <v>385323.23</v>
      </c>
      <c r="V68" s="71">
        <v>385323.23</v>
      </c>
      <c r="W68" s="53">
        <v>0</v>
      </c>
      <c r="X68" s="4">
        <f t="shared" si="8"/>
        <v>59280.5</v>
      </c>
      <c r="Y68" s="1">
        <v>59280.5</v>
      </c>
      <c r="Z68" s="1">
        <v>0</v>
      </c>
      <c r="AA68" s="9">
        <f>AB68+AC68</f>
        <v>0</v>
      </c>
      <c r="AB68" s="1">
        <v>0</v>
      </c>
      <c r="AC68" s="1">
        <v>0</v>
      </c>
      <c r="AD68" s="44">
        <f t="shared" si="6"/>
        <v>2964024.96</v>
      </c>
      <c r="AE68" s="59">
        <v>0</v>
      </c>
      <c r="AF68" s="9">
        <f>AD68+AE68</f>
        <v>2964024.96</v>
      </c>
      <c r="AG68" s="59" t="s">
        <v>515</v>
      </c>
      <c r="AH68" s="13"/>
      <c r="AI68" s="1">
        <f>28723.2+29070.01+32287.08+27169.4</f>
        <v>117249.69</v>
      </c>
      <c r="AJ68" s="1">
        <f>4392.96+4446+4938.02+4155.32</f>
        <v>17932.3</v>
      </c>
    </row>
    <row r="69" spans="1:36" ht="242.25" customHeight="1" x14ac:dyDescent="0.25">
      <c r="A69" s="5">
        <f t="shared" si="7"/>
        <v>66</v>
      </c>
      <c r="B69" s="15">
        <v>136330</v>
      </c>
      <c r="C69" s="5">
        <v>840</v>
      </c>
      <c r="D69" s="40" t="s">
        <v>1985</v>
      </c>
      <c r="E69" s="81" t="s">
        <v>1701</v>
      </c>
      <c r="F69" s="8" t="s">
        <v>1834</v>
      </c>
      <c r="G69" s="5" t="s">
        <v>1102</v>
      </c>
      <c r="H69" s="5" t="s">
        <v>151</v>
      </c>
      <c r="I69" s="60" t="s">
        <v>1835</v>
      </c>
      <c r="J69" s="2">
        <v>43998</v>
      </c>
      <c r="K69" s="2">
        <v>44728</v>
      </c>
      <c r="L69" s="16">
        <f t="shared" si="0"/>
        <v>85.000000132234348</v>
      </c>
      <c r="M69" s="5">
        <v>7</v>
      </c>
      <c r="N69" s="5" t="s">
        <v>227</v>
      </c>
      <c r="O69" s="5" t="s">
        <v>923</v>
      </c>
      <c r="P69" s="3" t="s">
        <v>174</v>
      </c>
      <c r="Q69" s="62" t="s">
        <v>34</v>
      </c>
      <c r="R69" s="4">
        <f>S69+T69</f>
        <v>3213990.68</v>
      </c>
      <c r="S69" s="1">
        <v>3213990.68</v>
      </c>
      <c r="T69" s="9">
        <v>0</v>
      </c>
      <c r="U69" s="4">
        <f>V69+W69</f>
        <v>491551.51</v>
      </c>
      <c r="V69" s="71">
        <v>491551.51</v>
      </c>
      <c r="W69" s="53">
        <v>0</v>
      </c>
      <c r="X69" s="4">
        <f t="shared" si="8"/>
        <v>75623.31</v>
      </c>
      <c r="Y69" s="1">
        <v>75623.31</v>
      </c>
      <c r="Z69" s="1">
        <v>0</v>
      </c>
      <c r="AA69" s="9">
        <f>AB69+AC69</f>
        <v>0</v>
      </c>
      <c r="AB69" s="1">
        <v>0</v>
      </c>
      <c r="AC69" s="1">
        <v>0</v>
      </c>
      <c r="AD69" s="44">
        <f t="shared" ref="AD69:AD132" si="37">R69+U69+X69+AA69</f>
        <v>3781165.5000000005</v>
      </c>
      <c r="AE69" s="59">
        <v>0</v>
      </c>
      <c r="AF69" s="9">
        <f>AD69+AE69</f>
        <v>3781165.5000000005</v>
      </c>
      <c r="AG69" s="59" t="s">
        <v>515</v>
      </c>
      <c r="AH69" s="13"/>
      <c r="AI69" s="1">
        <f>18452.65+114508.06+21333.3</f>
        <v>154294.00999999998</v>
      </c>
      <c r="AJ69" s="1">
        <f>2822.17+17513+3262.74</f>
        <v>23597.909999999996</v>
      </c>
    </row>
    <row r="70" spans="1:36" ht="236.25" x14ac:dyDescent="0.25">
      <c r="A70" s="5">
        <f t="shared" ref="A70:A133" si="38">A69+1</f>
        <v>67</v>
      </c>
      <c r="B70" s="15">
        <v>120503</v>
      </c>
      <c r="C70" s="6">
        <v>80</v>
      </c>
      <c r="D70" s="40" t="s">
        <v>1985</v>
      </c>
      <c r="E70" s="17" t="s">
        <v>277</v>
      </c>
      <c r="F70" s="105" t="s">
        <v>261</v>
      </c>
      <c r="G70" s="5" t="s">
        <v>1027</v>
      </c>
      <c r="H70" s="5" t="s">
        <v>151</v>
      </c>
      <c r="I70" s="41" t="s">
        <v>265</v>
      </c>
      <c r="J70" s="2">
        <v>43173</v>
      </c>
      <c r="K70" s="2">
        <v>43599</v>
      </c>
      <c r="L70" s="16">
        <f t="shared" si="0"/>
        <v>79.999997969650394</v>
      </c>
      <c r="M70" s="5">
        <v>8</v>
      </c>
      <c r="N70" s="5" t="s">
        <v>262</v>
      </c>
      <c r="O70" s="5" t="s">
        <v>262</v>
      </c>
      <c r="P70" s="3" t="s">
        <v>174</v>
      </c>
      <c r="Q70" s="5" t="s">
        <v>34</v>
      </c>
      <c r="R70" s="4">
        <f t="shared" ref="R70:R73" si="39">S70+T70</f>
        <v>315216.64000000001</v>
      </c>
      <c r="S70" s="9">
        <v>0</v>
      </c>
      <c r="T70" s="9">
        <v>315216.64000000001</v>
      </c>
      <c r="U70" s="4">
        <f t="shared" si="2"/>
        <v>70923.75</v>
      </c>
      <c r="V70" s="53">
        <v>0</v>
      </c>
      <c r="W70" s="53">
        <v>70923.75</v>
      </c>
      <c r="X70" s="4">
        <f t="shared" si="8"/>
        <v>7880.42</v>
      </c>
      <c r="Y70" s="9">
        <v>0</v>
      </c>
      <c r="Z70" s="9">
        <v>7880.42</v>
      </c>
      <c r="AA70" s="9">
        <f t="shared" si="32"/>
        <v>0</v>
      </c>
      <c r="AB70" s="103">
        <v>0</v>
      </c>
      <c r="AC70" s="103">
        <v>0</v>
      </c>
      <c r="AD70" s="44">
        <f t="shared" si="37"/>
        <v>394020.81</v>
      </c>
      <c r="AE70" s="9">
        <v>0</v>
      </c>
      <c r="AF70" s="9">
        <f t="shared" si="33"/>
        <v>394020.81</v>
      </c>
      <c r="AG70" s="49" t="s">
        <v>966</v>
      </c>
      <c r="AH70" s="13" t="s">
        <v>151</v>
      </c>
      <c r="AI70" s="1">
        <v>238501.38</v>
      </c>
      <c r="AJ70" s="1">
        <v>53662.82</v>
      </c>
    </row>
    <row r="71" spans="1:36" ht="252" x14ac:dyDescent="0.25">
      <c r="A71" s="5">
        <f t="shared" si="38"/>
        <v>68</v>
      </c>
      <c r="B71" s="78">
        <v>120710</v>
      </c>
      <c r="C71" s="6">
        <v>103</v>
      </c>
      <c r="D71" s="40" t="s">
        <v>1985</v>
      </c>
      <c r="E71" s="102" t="s">
        <v>277</v>
      </c>
      <c r="F71" s="3" t="s">
        <v>390</v>
      </c>
      <c r="G71" s="5" t="s">
        <v>1999</v>
      </c>
      <c r="H71" s="6" t="s">
        <v>151</v>
      </c>
      <c r="I71" s="86" t="s">
        <v>391</v>
      </c>
      <c r="J71" s="2">
        <v>43227</v>
      </c>
      <c r="K71" s="2">
        <v>43776</v>
      </c>
      <c r="L71" s="16">
        <f t="shared" si="0"/>
        <v>79.999999056893557</v>
      </c>
      <c r="M71" s="5">
        <v>8</v>
      </c>
      <c r="N71" s="5" t="s">
        <v>262</v>
      </c>
      <c r="O71" s="5" t="s">
        <v>262</v>
      </c>
      <c r="P71" s="5" t="s">
        <v>174</v>
      </c>
      <c r="Q71" s="5" t="s">
        <v>34</v>
      </c>
      <c r="R71" s="4">
        <f t="shared" si="39"/>
        <v>339304.22</v>
      </c>
      <c r="S71" s="70">
        <v>0</v>
      </c>
      <c r="T71" s="106">
        <v>339304.22</v>
      </c>
      <c r="U71" s="4">
        <f t="shared" si="2"/>
        <v>76343.45</v>
      </c>
      <c r="V71" s="71">
        <v>0</v>
      </c>
      <c r="W71" s="107">
        <v>76343.45</v>
      </c>
      <c r="X71" s="4">
        <f t="shared" si="8"/>
        <v>8482.61</v>
      </c>
      <c r="Y71" s="1">
        <v>0</v>
      </c>
      <c r="Z71" s="9">
        <v>8482.61</v>
      </c>
      <c r="AA71" s="9">
        <f t="shared" si="32"/>
        <v>0</v>
      </c>
      <c r="AB71" s="1">
        <v>0</v>
      </c>
      <c r="AC71" s="1">
        <v>0</v>
      </c>
      <c r="AD71" s="44">
        <f t="shared" si="37"/>
        <v>424130.27999999997</v>
      </c>
      <c r="AE71" s="11">
        <v>0</v>
      </c>
      <c r="AF71" s="9">
        <f t="shared" si="33"/>
        <v>424130.27999999997</v>
      </c>
      <c r="AG71" s="49" t="s">
        <v>966</v>
      </c>
      <c r="AH71" s="108" t="s">
        <v>1488</v>
      </c>
      <c r="AI71" s="1">
        <f>52550.4+283857.46</f>
        <v>336407.86000000004</v>
      </c>
      <c r="AJ71" s="1">
        <f>11823.84+63867.93</f>
        <v>75691.77</v>
      </c>
    </row>
    <row r="72" spans="1:36" ht="157.5" x14ac:dyDescent="0.25">
      <c r="A72" s="5">
        <f t="shared" si="38"/>
        <v>69</v>
      </c>
      <c r="B72" s="78">
        <v>117665</v>
      </c>
      <c r="C72" s="6">
        <v>413</v>
      </c>
      <c r="D72" s="8" t="s">
        <v>1986</v>
      </c>
      <c r="E72" s="8" t="s">
        <v>541</v>
      </c>
      <c r="F72" s="3" t="s">
        <v>673</v>
      </c>
      <c r="G72" s="5" t="s">
        <v>1027</v>
      </c>
      <c r="H72" s="6" t="s">
        <v>151</v>
      </c>
      <c r="I72" s="86" t="s">
        <v>674</v>
      </c>
      <c r="J72" s="2">
        <v>43290</v>
      </c>
      <c r="K72" s="2">
        <v>43625</v>
      </c>
      <c r="L72" s="16">
        <f t="shared" si="0"/>
        <v>80</v>
      </c>
      <c r="M72" s="5">
        <v>8</v>
      </c>
      <c r="N72" s="5" t="s">
        <v>262</v>
      </c>
      <c r="O72" s="5" t="s">
        <v>262</v>
      </c>
      <c r="P72" s="5" t="s">
        <v>174</v>
      </c>
      <c r="Q72" s="5" t="s">
        <v>34</v>
      </c>
      <c r="R72" s="4">
        <f t="shared" si="39"/>
        <v>224534.64</v>
      </c>
      <c r="S72" s="70">
        <v>0</v>
      </c>
      <c r="T72" s="9">
        <v>224534.64</v>
      </c>
      <c r="U72" s="4">
        <f t="shared" si="2"/>
        <v>50520.29</v>
      </c>
      <c r="V72" s="71">
        <v>0</v>
      </c>
      <c r="W72" s="53">
        <v>50520.29</v>
      </c>
      <c r="X72" s="4">
        <f t="shared" si="8"/>
        <v>5613.37</v>
      </c>
      <c r="Y72" s="1">
        <v>0</v>
      </c>
      <c r="Z72" s="9">
        <v>5613.37</v>
      </c>
      <c r="AA72" s="9">
        <f t="shared" si="32"/>
        <v>0</v>
      </c>
      <c r="AB72" s="1">
        <v>0</v>
      </c>
      <c r="AC72" s="1">
        <v>0</v>
      </c>
      <c r="AD72" s="44">
        <f t="shared" si="37"/>
        <v>280668.3</v>
      </c>
      <c r="AE72" s="11">
        <v>0</v>
      </c>
      <c r="AF72" s="9">
        <f t="shared" si="33"/>
        <v>280668.3</v>
      </c>
      <c r="AG72" s="49" t="s">
        <v>966</v>
      </c>
      <c r="AH72" s="108" t="s">
        <v>1213</v>
      </c>
      <c r="AI72" s="1">
        <f>174905.44</f>
        <v>174905.44</v>
      </c>
      <c r="AJ72" s="1">
        <v>39353.72</v>
      </c>
    </row>
    <row r="73" spans="1:36" ht="60" customHeight="1" x14ac:dyDescent="0.25">
      <c r="A73" s="5">
        <f t="shared" si="38"/>
        <v>70</v>
      </c>
      <c r="B73" s="78">
        <v>117676</v>
      </c>
      <c r="C73" s="6">
        <v>414</v>
      </c>
      <c r="D73" s="8" t="s">
        <v>1986</v>
      </c>
      <c r="E73" s="17" t="s">
        <v>541</v>
      </c>
      <c r="F73" s="3" t="s">
        <v>925</v>
      </c>
      <c r="G73" s="5" t="s">
        <v>1053</v>
      </c>
      <c r="H73" s="6" t="s">
        <v>151</v>
      </c>
      <c r="I73" s="86" t="s">
        <v>926</v>
      </c>
      <c r="J73" s="2">
        <v>43348</v>
      </c>
      <c r="K73" s="2">
        <v>43713</v>
      </c>
      <c r="L73" s="16">
        <f t="shared" si="0"/>
        <v>80.000002000969275</v>
      </c>
      <c r="M73" s="5">
        <v>8</v>
      </c>
      <c r="N73" s="5" t="s">
        <v>262</v>
      </c>
      <c r="O73" s="5" t="s">
        <v>262</v>
      </c>
      <c r="P73" s="5" t="s">
        <v>174</v>
      </c>
      <c r="Q73" s="5" t="s">
        <v>34</v>
      </c>
      <c r="R73" s="4">
        <f t="shared" si="39"/>
        <v>239883.75</v>
      </c>
      <c r="S73" s="1">
        <v>0</v>
      </c>
      <c r="T73" s="9">
        <v>239883.75</v>
      </c>
      <c r="U73" s="4">
        <f t="shared" si="2"/>
        <v>53973.85</v>
      </c>
      <c r="V73" s="71">
        <v>0</v>
      </c>
      <c r="W73" s="53">
        <v>53973.85</v>
      </c>
      <c r="X73" s="4">
        <f t="shared" si="8"/>
        <v>5997.08</v>
      </c>
      <c r="Y73" s="1">
        <v>0</v>
      </c>
      <c r="Z73" s="9">
        <v>5997.08</v>
      </c>
      <c r="AA73" s="9">
        <f t="shared" si="32"/>
        <v>0</v>
      </c>
      <c r="AB73" s="56">
        <v>0</v>
      </c>
      <c r="AC73" s="56">
        <v>0</v>
      </c>
      <c r="AD73" s="44">
        <f t="shared" si="37"/>
        <v>299854.68</v>
      </c>
      <c r="AE73" s="11">
        <v>0</v>
      </c>
      <c r="AF73" s="9">
        <f t="shared" si="33"/>
        <v>299854.68</v>
      </c>
      <c r="AG73" s="49" t="s">
        <v>966</v>
      </c>
      <c r="AH73" s="11"/>
      <c r="AI73" s="1">
        <f>102261.61+121535.79</f>
        <v>223797.4</v>
      </c>
      <c r="AJ73" s="1">
        <f>23008.85+27345.55</f>
        <v>50354.399999999994</v>
      </c>
    </row>
    <row r="74" spans="1:36" ht="120" customHeight="1" x14ac:dyDescent="0.25">
      <c r="A74" s="5">
        <f t="shared" si="38"/>
        <v>71</v>
      </c>
      <c r="B74" s="15">
        <v>126477</v>
      </c>
      <c r="C74" s="5">
        <v>507</v>
      </c>
      <c r="D74" s="40" t="s">
        <v>1985</v>
      </c>
      <c r="E74" s="17" t="s">
        <v>1025</v>
      </c>
      <c r="F74" s="3" t="s">
        <v>1026</v>
      </c>
      <c r="G74" s="5" t="s">
        <v>1027</v>
      </c>
      <c r="H74" s="6" t="s">
        <v>362</v>
      </c>
      <c r="I74" s="86" t="s">
        <v>1028</v>
      </c>
      <c r="J74" s="2">
        <v>43433</v>
      </c>
      <c r="K74" s="2">
        <v>44225</v>
      </c>
      <c r="L74" s="16">
        <f t="shared" si="0"/>
        <v>79.999999581986273</v>
      </c>
      <c r="M74" s="5">
        <v>8</v>
      </c>
      <c r="N74" s="5" t="s">
        <v>262</v>
      </c>
      <c r="O74" s="5" t="s">
        <v>262</v>
      </c>
      <c r="P74" s="5" t="s">
        <v>174</v>
      </c>
      <c r="Q74" s="5" t="s">
        <v>34</v>
      </c>
      <c r="R74" s="4">
        <f>S74+T74</f>
        <v>3062100.2800000007</v>
      </c>
      <c r="S74" s="1">
        <v>0</v>
      </c>
      <c r="T74" s="9">
        <v>3062100.2800000007</v>
      </c>
      <c r="U74" s="4">
        <f t="shared" si="2"/>
        <v>688972.58</v>
      </c>
      <c r="V74" s="71">
        <v>0</v>
      </c>
      <c r="W74" s="53">
        <v>688972.58</v>
      </c>
      <c r="X74" s="4">
        <f t="shared" si="8"/>
        <v>76552.509999999995</v>
      </c>
      <c r="Y74" s="1">
        <v>0</v>
      </c>
      <c r="Z74" s="9">
        <v>76552.509999999995</v>
      </c>
      <c r="AA74" s="9">
        <f>AB74+AC74</f>
        <v>0</v>
      </c>
      <c r="AB74" s="9">
        <v>0</v>
      </c>
      <c r="AC74" s="9">
        <v>0</v>
      </c>
      <c r="AD74" s="44">
        <f t="shared" si="37"/>
        <v>3827625.3700000006</v>
      </c>
      <c r="AE74" s="11"/>
      <c r="AF74" s="9">
        <f>AD74+AE74</f>
        <v>3827625.3700000006</v>
      </c>
      <c r="AG74" s="59" t="s">
        <v>966</v>
      </c>
      <c r="AH74" s="59" t="s">
        <v>2035</v>
      </c>
      <c r="AI74" s="1">
        <f>858447.12+515278.43+1129072+185548</f>
        <v>2688345.55</v>
      </c>
      <c r="AJ74" s="1">
        <f>193150.61+115937.65+254041.2+41748.3</f>
        <v>604877.76</v>
      </c>
    </row>
    <row r="75" spans="1:36" ht="141.75" x14ac:dyDescent="0.25">
      <c r="A75" s="5">
        <f t="shared" si="38"/>
        <v>72</v>
      </c>
      <c r="B75" s="15">
        <v>126372</v>
      </c>
      <c r="C75" s="5">
        <v>510</v>
      </c>
      <c r="D75" s="40" t="s">
        <v>1985</v>
      </c>
      <c r="E75" s="17" t="s">
        <v>1025</v>
      </c>
      <c r="F75" s="3" t="s">
        <v>1052</v>
      </c>
      <c r="G75" s="5" t="s">
        <v>1053</v>
      </c>
      <c r="H75" s="6" t="s">
        <v>362</v>
      </c>
      <c r="I75" s="86" t="s">
        <v>1054</v>
      </c>
      <c r="J75" s="2">
        <v>43445</v>
      </c>
      <c r="K75" s="2">
        <v>44996</v>
      </c>
      <c r="L75" s="16">
        <f t="shared" si="0"/>
        <v>80</v>
      </c>
      <c r="M75" s="5">
        <v>8</v>
      </c>
      <c r="N75" s="5" t="s">
        <v>262</v>
      </c>
      <c r="O75" s="5" t="s">
        <v>262</v>
      </c>
      <c r="P75" s="5" t="s">
        <v>174</v>
      </c>
      <c r="Q75" s="5" t="s">
        <v>34</v>
      </c>
      <c r="R75" s="4">
        <f t="shared" ref="R75:R76" si="40">S75+T75</f>
        <v>2932376.8</v>
      </c>
      <c r="S75" s="1">
        <v>0</v>
      </c>
      <c r="T75" s="9">
        <v>2932376.8</v>
      </c>
      <c r="U75" s="4">
        <f t="shared" ref="U75:U76" si="41">V75+W75</f>
        <v>659784.78</v>
      </c>
      <c r="V75" s="71">
        <v>0</v>
      </c>
      <c r="W75" s="53">
        <v>659784.78</v>
      </c>
      <c r="X75" s="4">
        <f t="shared" si="8"/>
        <v>73309.42</v>
      </c>
      <c r="Y75" s="1">
        <v>0</v>
      </c>
      <c r="Z75" s="9">
        <v>73309.42</v>
      </c>
      <c r="AA75" s="9">
        <f>AB75+AC75</f>
        <v>0</v>
      </c>
      <c r="AB75" s="1">
        <v>0</v>
      </c>
      <c r="AC75" s="1">
        <v>0</v>
      </c>
      <c r="AD75" s="44">
        <f t="shared" si="37"/>
        <v>3665471</v>
      </c>
      <c r="AE75" s="10">
        <v>127687</v>
      </c>
      <c r="AF75" s="9">
        <f>AD75+AE75</f>
        <v>3793158</v>
      </c>
      <c r="AG75" s="59" t="s">
        <v>515</v>
      </c>
      <c r="AH75" s="59" t="s">
        <v>2188</v>
      </c>
      <c r="AI75" s="1">
        <f>368006.54+73168+58748.88+33607.94</f>
        <v>533531.36</v>
      </c>
      <c r="AJ75" s="1">
        <f>82801.48+16462.8+13218.5+7561.78</f>
        <v>120044.56</v>
      </c>
    </row>
    <row r="76" spans="1:36" ht="141.75" x14ac:dyDescent="0.25">
      <c r="A76" s="5">
        <f t="shared" si="38"/>
        <v>73</v>
      </c>
      <c r="B76" s="15">
        <v>128825</v>
      </c>
      <c r="C76" s="5">
        <v>661</v>
      </c>
      <c r="D76" s="40" t="s">
        <v>1985</v>
      </c>
      <c r="E76" s="17" t="s">
        <v>1303</v>
      </c>
      <c r="F76" s="3" t="s">
        <v>1304</v>
      </c>
      <c r="G76" s="5" t="s">
        <v>2000</v>
      </c>
      <c r="H76" s="6" t="s">
        <v>1092</v>
      </c>
      <c r="I76" s="86" t="s">
        <v>1307</v>
      </c>
      <c r="J76" s="2">
        <v>43635</v>
      </c>
      <c r="K76" s="2">
        <v>44427</v>
      </c>
      <c r="L76" s="16">
        <f t="shared" si="0"/>
        <v>79.493002830992353</v>
      </c>
      <c r="M76" s="5">
        <v>8</v>
      </c>
      <c r="N76" s="5" t="s">
        <v>262</v>
      </c>
      <c r="O76" s="5" t="s">
        <v>262</v>
      </c>
      <c r="P76" s="5" t="s">
        <v>174</v>
      </c>
      <c r="Q76" s="5" t="s">
        <v>34</v>
      </c>
      <c r="R76" s="4">
        <f t="shared" si="40"/>
        <v>3436600.48</v>
      </c>
      <c r="S76" s="1">
        <v>0</v>
      </c>
      <c r="T76" s="9">
        <v>3436600.48</v>
      </c>
      <c r="U76" s="4">
        <f t="shared" si="41"/>
        <v>800084.95</v>
      </c>
      <c r="V76" s="71">
        <v>0</v>
      </c>
      <c r="W76" s="53">
        <v>800084.95</v>
      </c>
      <c r="X76" s="4">
        <f t="shared" si="8"/>
        <v>59065.17</v>
      </c>
      <c r="Y76" s="1">
        <v>0</v>
      </c>
      <c r="Z76" s="9">
        <v>59065.17</v>
      </c>
      <c r="AA76" s="9">
        <f t="shared" ref="AA76" si="42">AB76+AC76</f>
        <v>27397.8</v>
      </c>
      <c r="AB76" s="1">
        <v>0</v>
      </c>
      <c r="AC76" s="1">
        <v>27397.8</v>
      </c>
      <c r="AD76" s="44">
        <f t="shared" si="37"/>
        <v>4323148.3999999994</v>
      </c>
      <c r="AE76" s="10">
        <v>29750</v>
      </c>
      <c r="AF76" s="9">
        <f t="shared" ref="AF76" si="43">AD76+AE76</f>
        <v>4352898.3999999994</v>
      </c>
      <c r="AG76" s="59" t="s">
        <v>515</v>
      </c>
      <c r="AH76" s="11" t="s">
        <v>151</v>
      </c>
      <c r="AI76" s="1">
        <f>494098.74+416251.27+88138+199995.28-7123.5+0+108947.36-19637.43+136989</f>
        <v>1417658.7200000002</v>
      </c>
      <c r="AJ76" s="1">
        <f>69892.46+9032.04+34415.41+52771.3+14876.87+7123.5+14629.74+28041.64+36800.47</f>
        <v>267583.43000000005</v>
      </c>
    </row>
    <row r="77" spans="1:36" ht="141.75" x14ac:dyDescent="0.25">
      <c r="A77" s="5">
        <f t="shared" si="38"/>
        <v>74</v>
      </c>
      <c r="B77" s="15">
        <v>129668</v>
      </c>
      <c r="C77" s="15">
        <v>673</v>
      </c>
      <c r="D77" s="40" t="s">
        <v>1985</v>
      </c>
      <c r="E77" s="17" t="s">
        <v>1303</v>
      </c>
      <c r="F77" s="31" t="s">
        <v>1305</v>
      </c>
      <c r="G77" s="5" t="s">
        <v>1999</v>
      </c>
      <c r="H77" s="6" t="s">
        <v>151</v>
      </c>
      <c r="I77" s="86" t="s">
        <v>1308</v>
      </c>
      <c r="J77" s="2">
        <v>43635</v>
      </c>
      <c r="K77" s="2">
        <v>44731</v>
      </c>
      <c r="L77" s="16">
        <f>R77/AD77*100</f>
        <v>80.000000100149578</v>
      </c>
      <c r="M77" s="5">
        <v>8</v>
      </c>
      <c r="N77" s="5" t="s">
        <v>262</v>
      </c>
      <c r="O77" s="5" t="s">
        <v>262</v>
      </c>
      <c r="P77" s="5" t="s">
        <v>174</v>
      </c>
      <c r="Q77" s="5" t="s">
        <v>34</v>
      </c>
      <c r="R77" s="4">
        <f>S77+T77</f>
        <v>3195221.02</v>
      </c>
      <c r="S77" s="1">
        <v>0</v>
      </c>
      <c r="T77" s="9">
        <v>3195221.02</v>
      </c>
      <c r="U77" s="4">
        <f>V77+W77</f>
        <v>718924.72</v>
      </c>
      <c r="V77" s="71">
        <v>0</v>
      </c>
      <c r="W77" s="53">
        <v>718924.72</v>
      </c>
      <c r="X77" s="4">
        <f>Y77+Z77</f>
        <v>79880.53</v>
      </c>
      <c r="Y77" s="1">
        <v>0</v>
      </c>
      <c r="Z77" s="9">
        <v>79880.53</v>
      </c>
      <c r="AA77" s="9">
        <f>AB77+AC77</f>
        <v>0</v>
      </c>
      <c r="AB77" s="9">
        <v>0</v>
      </c>
      <c r="AC77" s="9">
        <v>0</v>
      </c>
      <c r="AD77" s="44">
        <f t="shared" si="37"/>
        <v>3994026.27</v>
      </c>
      <c r="AE77" s="10">
        <v>0</v>
      </c>
      <c r="AF77" s="9">
        <f>AD77+AE77</f>
        <v>3994026.27</v>
      </c>
      <c r="AG77" s="59" t="s">
        <v>515</v>
      </c>
      <c r="AH77" s="59" t="s">
        <v>2215</v>
      </c>
      <c r="AI77" s="1">
        <f>246108.94+233815.2</f>
        <v>479924.14</v>
      </c>
      <c r="AJ77" s="1">
        <f>23472.39+31902.12+52608.42</f>
        <v>107982.93</v>
      </c>
    </row>
    <row r="78" spans="1:36" ht="195.75" customHeight="1" x14ac:dyDescent="0.25">
      <c r="A78" s="5">
        <f t="shared" si="38"/>
        <v>75</v>
      </c>
      <c r="B78" s="15">
        <v>128335</v>
      </c>
      <c r="C78" s="5">
        <v>634</v>
      </c>
      <c r="D78" s="40" t="s">
        <v>1985</v>
      </c>
      <c r="E78" s="17" t="s">
        <v>1303</v>
      </c>
      <c r="F78" s="3" t="s">
        <v>1329</v>
      </c>
      <c r="G78" s="5" t="s">
        <v>2001</v>
      </c>
      <c r="H78" s="6" t="s">
        <v>1330</v>
      </c>
      <c r="I78" s="86" t="s">
        <v>1331</v>
      </c>
      <c r="J78" s="2">
        <v>43647</v>
      </c>
      <c r="K78" s="2">
        <v>44562</v>
      </c>
      <c r="L78" s="16">
        <f t="shared" ref="L78:L82" si="44">R78/AD78*100</f>
        <v>79.99999994861092</v>
      </c>
      <c r="M78" s="5">
        <v>8</v>
      </c>
      <c r="N78" s="5" t="s">
        <v>262</v>
      </c>
      <c r="O78" s="5" t="s">
        <v>262</v>
      </c>
      <c r="P78" s="5" t="s">
        <v>174</v>
      </c>
      <c r="Q78" s="5" t="s">
        <v>34</v>
      </c>
      <c r="R78" s="4">
        <f t="shared" ref="R78:R82" si="45">S78+T78</f>
        <v>3113501.31</v>
      </c>
      <c r="S78" s="1">
        <v>0</v>
      </c>
      <c r="T78" s="9">
        <v>3113501.31</v>
      </c>
      <c r="U78" s="4">
        <f t="shared" ref="U78:U92" si="46">V78+W78</f>
        <v>700537.78</v>
      </c>
      <c r="V78" s="71">
        <v>0</v>
      </c>
      <c r="W78" s="53">
        <v>700537.78</v>
      </c>
      <c r="X78" s="4">
        <f t="shared" ref="X78:X92" si="47">Y78+Z78</f>
        <v>77837.55</v>
      </c>
      <c r="Y78" s="1">
        <v>0</v>
      </c>
      <c r="Z78" s="9">
        <v>77837.55</v>
      </c>
      <c r="AA78" s="9">
        <v>0</v>
      </c>
      <c r="AB78" s="1">
        <v>0</v>
      </c>
      <c r="AC78" s="1">
        <v>0</v>
      </c>
      <c r="AD78" s="44">
        <f t="shared" si="37"/>
        <v>3891876.6399999997</v>
      </c>
      <c r="AE78" s="10">
        <v>0</v>
      </c>
      <c r="AF78" s="9">
        <f t="shared" ref="AF78:AF82" si="48">AD78+AE78</f>
        <v>3891876.6399999997</v>
      </c>
      <c r="AG78" s="59" t="s">
        <v>515</v>
      </c>
      <c r="AH78" s="11" t="s">
        <v>151</v>
      </c>
      <c r="AI78" s="1">
        <f>55820.78+402496.8+116946.4</f>
        <v>575263.98</v>
      </c>
      <c r="AJ78" s="1">
        <f>12559.67+90561.78+26312.94</f>
        <v>129434.39</v>
      </c>
    </row>
    <row r="79" spans="1:36" ht="96.75" customHeight="1" x14ac:dyDescent="0.25">
      <c r="A79" s="5">
        <f t="shared" si="38"/>
        <v>76</v>
      </c>
      <c r="B79" s="15">
        <v>129694</v>
      </c>
      <c r="C79" s="5">
        <v>694</v>
      </c>
      <c r="D79" s="40" t="s">
        <v>1985</v>
      </c>
      <c r="E79" s="17" t="s">
        <v>1303</v>
      </c>
      <c r="F79" s="3" t="s">
        <v>1306</v>
      </c>
      <c r="G79" s="5" t="s">
        <v>2002</v>
      </c>
      <c r="H79" s="6" t="s">
        <v>1092</v>
      </c>
      <c r="I79" s="8" t="s">
        <v>1309</v>
      </c>
      <c r="J79" s="2">
        <v>43635</v>
      </c>
      <c r="K79" s="2">
        <v>44458</v>
      </c>
      <c r="L79" s="16">
        <f t="shared" si="44"/>
        <v>79.559234452662935</v>
      </c>
      <c r="M79" s="5">
        <v>8</v>
      </c>
      <c r="N79" s="5" t="s">
        <v>262</v>
      </c>
      <c r="O79" s="5" t="s">
        <v>262</v>
      </c>
      <c r="P79" s="5" t="s">
        <v>174</v>
      </c>
      <c r="Q79" s="5" t="s">
        <v>34</v>
      </c>
      <c r="R79" s="4">
        <f t="shared" si="45"/>
        <v>3495320.83</v>
      </c>
      <c r="S79" s="1">
        <v>0</v>
      </c>
      <c r="T79" s="9">
        <v>3495320.83</v>
      </c>
      <c r="U79" s="4">
        <f t="shared" si="46"/>
        <v>810168.58</v>
      </c>
      <c r="V79" s="71">
        <v>0</v>
      </c>
      <c r="W79" s="53">
        <v>810168.58</v>
      </c>
      <c r="X79" s="4">
        <f t="shared" si="47"/>
        <v>63661.63</v>
      </c>
      <c r="Y79" s="1">
        <v>0</v>
      </c>
      <c r="Z79" s="9">
        <v>63661.63</v>
      </c>
      <c r="AA79" s="9">
        <f>AB79+AC79</f>
        <v>24205.5</v>
      </c>
      <c r="AB79" s="1">
        <v>0</v>
      </c>
      <c r="AC79" s="1">
        <v>24205.5</v>
      </c>
      <c r="AD79" s="44">
        <f t="shared" si="37"/>
        <v>4393356.54</v>
      </c>
      <c r="AE79" s="10">
        <v>0</v>
      </c>
      <c r="AF79" s="9">
        <f t="shared" si="48"/>
        <v>4393356.54</v>
      </c>
      <c r="AG79" s="59" t="s">
        <v>515</v>
      </c>
      <c r="AH79" s="11" t="s">
        <v>151</v>
      </c>
      <c r="AI79" s="1">
        <f>275886.09+348793.51+185829.79+143853.56</f>
        <v>954362.95000000019</v>
      </c>
      <c r="AJ79" s="1">
        <f>37362.62+81124.65+44853.88+35420.78</f>
        <v>198761.93</v>
      </c>
    </row>
    <row r="80" spans="1:36" ht="216.75" customHeight="1" x14ac:dyDescent="0.25">
      <c r="A80" s="5">
        <f t="shared" si="38"/>
        <v>77</v>
      </c>
      <c r="B80" s="15">
        <v>129016</v>
      </c>
      <c r="C80" s="5">
        <v>693</v>
      </c>
      <c r="D80" s="40" t="s">
        <v>1985</v>
      </c>
      <c r="E80" s="17" t="s">
        <v>1303</v>
      </c>
      <c r="F80" s="3" t="s">
        <v>1332</v>
      </c>
      <c r="G80" s="5" t="s">
        <v>1053</v>
      </c>
      <c r="H80" s="6" t="s">
        <v>151</v>
      </c>
      <c r="I80" s="8" t="s">
        <v>1333</v>
      </c>
      <c r="J80" s="2">
        <v>43654</v>
      </c>
      <c r="K80" s="2">
        <v>44173</v>
      </c>
      <c r="L80" s="16">
        <f t="shared" si="44"/>
        <v>79.999998958694746</v>
      </c>
      <c r="M80" s="5">
        <v>8</v>
      </c>
      <c r="N80" s="5" t="s">
        <v>262</v>
      </c>
      <c r="O80" s="5" t="s">
        <v>262</v>
      </c>
      <c r="P80" s="5" t="s">
        <v>174</v>
      </c>
      <c r="Q80" s="5" t="s">
        <v>34</v>
      </c>
      <c r="R80" s="4">
        <f t="shared" si="45"/>
        <v>307306.62</v>
      </c>
      <c r="S80" s="1">
        <v>0</v>
      </c>
      <c r="T80" s="9">
        <v>307306.62</v>
      </c>
      <c r="U80" s="4">
        <f t="shared" si="46"/>
        <v>69143.95</v>
      </c>
      <c r="V80" s="71">
        <v>0</v>
      </c>
      <c r="W80" s="53">
        <v>69143.95</v>
      </c>
      <c r="X80" s="4">
        <f t="shared" si="47"/>
        <v>7682.71</v>
      </c>
      <c r="Y80" s="1">
        <v>0</v>
      </c>
      <c r="Z80" s="9">
        <v>7682.71</v>
      </c>
      <c r="AA80" s="9">
        <f>AB80+AC80</f>
        <v>0</v>
      </c>
      <c r="AB80" s="1">
        <v>0</v>
      </c>
      <c r="AC80" s="1">
        <v>0</v>
      </c>
      <c r="AD80" s="44">
        <f t="shared" si="37"/>
        <v>384133.28</v>
      </c>
      <c r="AE80" s="10">
        <v>0</v>
      </c>
      <c r="AF80" s="9">
        <f t="shared" si="48"/>
        <v>384133.28</v>
      </c>
      <c r="AG80" s="59" t="s">
        <v>966</v>
      </c>
      <c r="AH80" s="59" t="s">
        <v>2017</v>
      </c>
      <c r="AI80" s="1">
        <f>110102.97+161350.83</f>
        <v>271453.8</v>
      </c>
      <c r="AJ80" s="1">
        <f>24773.14+36303.93</f>
        <v>61077.07</v>
      </c>
    </row>
    <row r="81" spans="1:36" ht="216.75" customHeight="1" x14ac:dyDescent="0.25">
      <c r="A81" s="5">
        <f t="shared" si="38"/>
        <v>78</v>
      </c>
      <c r="B81" s="15">
        <v>136166</v>
      </c>
      <c r="C81" s="5">
        <v>856</v>
      </c>
      <c r="D81" s="40" t="s">
        <v>1985</v>
      </c>
      <c r="E81" s="17" t="s">
        <v>1692</v>
      </c>
      <c r="F81" s="3" t="s">
        <v>1693</v>
      </c>
      <c r="G81" s="5" t="s">
        <v>2001</v>
      </c>
      <c r="H81" s="6" t="s">
        <v>1694</v>
      </c>
      <c r="I81" s="8" t="s">
        <v>1695</v>
      </c>
      <c r="J81" s="2">
        <v>43900</v>
      </c>
      <c r="K81" s="2">
        <v>44630</v>
      </c>
      <c r="L81" s="16">
        <f t="shared" si="44"/>
        <v>79.999999908763286</v>
      </c>
      <c r="M81" s="5">
        <v>8</v>
      </c>
      <c r="N81" s="5" t="s">
        <v>262</v>
      </c>
      <c r="O81" s="5" t="s">
        <v>262</v>
      </c>
      <c r="P81" s="5" t="s">
        <v>174</v>
      </c>
      <c r="Q81" s="5" t="s">
        <v>34</v>
      </c>
      <c r="R81" s="4">
        <f t="shared" si="45"/>
        <v>1753679.95</v>
      </c>
      <c r="S81" s="1">
        <v>0</v>
      </c>
      <c r="T81" s="9">
        <v>1753679.95</v>
      </c>
      <c r="U81" s="4">
        <f t="shared" si="46"/>
        <v>394577.99</v>
      </c>
      <c r="V81" s="71">
        <v>0</v>
      </c>
      <c r="W81" s="53">
        <v>394577.99</v>
      </c>
      <c r="X81" s="4">
        <f t="shared" si="47"/>
        <v>43842</v>
      </c>
      <c r="Y81" s="1">
        <v>0</v>
      </c>
      <c r="Z81" s="9">
        <v>43842</v>
      </c>
      <c r="AA81" s="9">
        <f>AB81+AC81</f>
        <v>0</v>
      </c>
      <c r="AB81" s="1">
        <v>0</v>
      </c>
      <c r="AC81" s="1">
        <v>0</v>
      </c>
      <c r="AD81" s="44">
        <f t="shared" si="37"/>
        <v>2192099.94</v>
      </c>
      <c r="AE81" s="10">
        <v>0</v>
      </c>
      <c r="AF81" s="9">
        <f t="shared" si="48"/>
        <v>2192099.94</v>
      </c>
      <c r="AG81" s="59" t="s">
        <v>515</v>
      </c>
      <c r="AH81" s="11"/>
      <c r="AI81" s="1">
        <v>37692.800000000003</v>
      </c>
      <c r="AJ81" s="1">
        <v>8480.8799999999992</v>
      </c>
    </row>
    <row r="82" spans="1:36" ht="216.75" customHeight="1" x14ac:dyDescent="0.25">
      <c r="A82" s="5">
        <f t="shared" si="38"/>
        <v>79</v>
      </c>
      <c r="B82" s="15">
        <v>135779</v>
      </c>
      <c r="C82" s="5">
        <v>780</v>
      </c>
      <c r="D82" s="40" t="s">
        <v>1985</v>
      </c>
      <c r="E82" s="17" t="s">
        <v>1692</v>
      </c>
      <c r="F82" s="3" t="s">
        <v>1696</v>
      </c>
      <c r="G82" s="5" t="s">
        <v>2002</v>
      </c>
      <c r="H82" s="6" t="s">
        <v>1697</v>
      </c>
      <c r="I82" s="8" t="s">
        <v>2103</v>
      </c>
      <c r="J82" s="2">
        <v>43901</v>
      </c>
      <c r="K82" s="2">
        <v>44631</v>
      </c>
      <c r="L82" s="16">
        <f t="shared" si="44"/>
        <v>80.000000203403673</v>
      </c>
      <c r="M82" s="5">
        <v>8</v>
      </c>
      <c r="N82" s="5" t="s">
        <v>262</v>
      </c>
      <c r="O82" s="5" t="s">
        <v>262</v>
      </c>
      <c r="P82" s="5" t="s">
        <v>174</v>
      </c>
      <c r="Q82" s="5" t="s">
        <v>34</v>
      </c>
      <c r="R82" s="4">
        <f t="shared" si="45"/>
        <v>2359839.4300000002</v>
      </c>
      <c r="S82" s="1">
        <v>0</v>
      </c>
      <c r="T82" s="9">
        <v>2359839.4300000002</v>
      </c>
      <c r="U82" s="4">
        <f t="shared" si="46"/>
        <v>530963.84</v>
      </c>
      <c r="V82" s="71">
        <v>0</v>
      </c>
      <c r="W82" s="53">
        <v>530963.84</v>
      </c>
      <c r="X82" s="4">
        <f t="shared" si="47"/>
        <v>58996.01</v>
      </c>
      <c r="Y82" s="1">
        <v>0</v>
      </c>
      <c r="Z82" s="9">
        <v>58996.01</v>
      </c>
      <c r="AA82" s="9">
        <f>AB82+AC82</f>
        <v>0</v>
      </c>
      <c r="AB82" s="1">
        <v>0</v>
      </c>
      <c r="AC82" s="1">
        <v>0</v>
      </c>
      <c r="AD82" s="44">
        <f t="shared" si="37"/>
        <v>2949799.28</v>
      </c>
      <c r="AE82" s="10"/>
      <c r="AF82" s="9">
        <f t="shared" si="48"/>
        <v>2949799.28</v>
      </c>
      <c r="AG82" s="59" t="s">
        <v>515</v>
      </c>
      <c r="AH82" s="11"/>
      <c r="AI82" s="1">
        <f>46438.4+37616</f>
        <v>84054.399999999994</v>
      </c>
      <c r="AJ82" s="1">
        <f>10448.64+8463.6</f>
        <v>18912.239999999998</v>
      </c>
    </row>
    <row r="83" spans="1:36" ht="315" x14ac:dyDescent="0.25">
      <c r="A83" s="5">
        <f t="shared" si="38"/>
        <v>80</v>
      </c>
      <c r="B83" s="78">
        <v>118335</v>
      </c>
      <c r="C83" s="78">
        <v>427</v>
      </c>
      <c r="D83" s="8" t="s">
        <v>1986</v>
      </c>
      <c r="E83" s="17" t="s">
        <v>540</v>
      </c>
      <c r="F83" s="17" t="s">
        <v>612</v>
      </c>
      <c r="G83" s="5" t="s">
        <v>613</v>
      </c>
      <c r="H83" s="6" t="s">
        <v>151</v>
      </c>
      <c r="I83" s="86" t="s">
        <v>618</v>
      </c>
      <c r="J83" s="2">
        <v>43284</v>
      </c>
      <c r="K83" s="2">
        <v>43711</v>
      </c>
      <c r="L83" s="16">
        <f t="shared" ref="L83:L92" si="49">R83/AD83*100</f>
        <v>85.000001775483071</v>
      </c>
      <c r="M83" s="5">
        <v>2</v>
      </c>
      <c r="N83" s="5" t="s">
        <v>614</v>
      </c>
      <c r="O83" s="5" t="s">
        <v>614</v>
      </c>
      <c r="P83" s="5" t="s">
        <v>174</v>
      </c>
      <c r="Q83" s="5" t="s">
        <v>34</v>
      </c>
      <c r="R83" s="4">
        <v>239371.48</v>
      </c>
      <c r="S83" s="9">
        <v>239371.48</v>
      </c>
      <c r="T83" s="1">
        <v>0</v>
      </c>
      <c r="U83" s="4">
        <f t="shared" si="46"/>
        <v>36609.75</v>
      </c>
      <c r="V83" s="53">
        <v>36609.75</v>
      </c>
      <c r="W83" s="85">
        <v>0</v>
      </c>
      <c r="X83" s="4">
        <f t="shared" si="47"/>
        <v>5632.27</v>
      </c>
      <c r="Y83" s="9">
        <v>5632.27</v>
      </c>
      <c r="Z83" s="1">
        <v>0</v>
      </c>
      <c r="AA83" s="9">
        <f>AB83+AC83</f>
        <v>0</v>
      </c>
      <c r="AB83" s="1">
        <v>0</v>
      </c>
      <c r="AC83" s="1">
        <v>0</v>
      </c>
      <c r="AD83" s="44">
        <f t="shared" si="37"/>
        <v>281613.5</v>
      </c>
      <c r="AE83" s="11">
        <v>0</v>
      </c>
      <c r="AF83" s="9">
        <f t="shared" ref="AF83:AF92" si="50">AD83+AE83</f>
        <v>281613.5</v>
      </c>
      <c r="AG83" s="49" t="s">
        <v>966</v>
      </c>
      <c r="AH83" s="11" t="s">
        <v>1216</v>
      </c>
      <c r="AI83" s="1">
        <v>238071.21999999997</v>
      </c>
      <c r="AJ83" s="1">
        <v>36410.870000000003</v>
      </c>
    </row>
    <row r="84" spans="1:36" ht="362.25" x14ac:dyDescent="0.25">
      <c r="A84" s="5">
        <f t="shared" si="38"/>
        <v>81</v>
      </c>
      <c r="B84" s="78">
        <v>118396</v>
      </c>
      <c r="C84" s="78">
        <v>428</v>
      </c>
      <c r="D84" s="8" t="s">
        <v>1986</v>
      </c>
      <c r="E84" s="17" t="s">
        <v>540</v>
      </c>
      <c r="F84" s="8" t="s">
        <v>770</v>
      </c>
      <c r="G84" s="5" t="s">
        <v>771</v>
      </c>
      <c r="H84" s="5" t="s">
        <v>723</v>
      </c>
      <c r="I84" s="109" t="s">
        <v>772</v>
      </c>
      <c r="J84" s="2">
        <v>43312</v>
      </c>
      <c r="K84" s="2">
        <v>43861</v>
      </c>
      <c r="L84" s="16">
        <f t="shared" si="49"/>
        <v>84.167393553203468</v>
      </c>
      <c r="M84" s="110">
        <v>2</v>
      </c>
      <c r="N84" s="5" t="s">
        <v>614</v>
      </c>
      <c r="O84" s="5" t="s">
        <v>614</v>
      </c>
      <c r="P84" s="5" t="s">
        <v>174</v>
      </c>
      <c r="Q84" s="5" t="s">
        <v>34</v>
      </c>
      <c r="R84" s="1">
        <f>S84</f>
        <v>326686.85000000009</v>
      </c>
      <c r="S84" s="1">
        <v>326686.85000000009</v>
      </c>
      <c r="T84" s="1">
        <v>0</v>
      </c>
      <c r="U84" s="4">
        <f t="shared" si="46"/>
        <v>53689.799999999996</v>
      </c>
      <c r="V84" s="71">
        <v>53689.799999999996</v>
      </c>
      <c r="W84" s="71">
        <v>0</v>
      </c>
      <c r="X84" s="4">
        <f t="shared" si="47"/>
        <v>3960.82</v>
      </c>
      <c r="Y84" s="1">
        <v>3960.82</v>
      </c>
      <c r="Z84" s="1">
        <v>0</v>
      </c>
      <c r="AA84" s="9">
        <f>AB84+AC84</f>
        <v>3801.97</v>
      </c>
      <c r="AB84" s="1">
        <v>3801.97</v>
      </c>
      <c r="AC84" s="1">
        <v>0</v>
      </c>
      <c r="AD84" s="44">
        <f t="shared" si="37"/>
        <v>388139.44000000006</v>
      </c>
      <c r="AE84" s="11">
        <v>0</v>
      </c>
      <c r="AF84" s="9">
        <f t="shared" si="50"/>
        <v>388139.44000000006</v>
      </c>
      <c r="AG84" s="59" t="s">
        <v>966</v>
      </c>
      <c r="AH84" s="11" t="s">
        <v>1574</v>
      </c>
      <c r="AI84" s="1">
        <v>228534.63999999998</v>
      </c>
      <c r="AJ84" s="1">
        <v>38165.25</v>
      </c>
    </row>
    <row r="85" spans="1:36" ht="189" x14ac:dyDescent="0.25">
      <c r="A85" s="5">
        <f t="shared" si="38"/>
        <v>82</v>
      </c>
      <c r="B85" s="15">
        <v>119892</v>
      </c>
      <c r="C85" s="78">
        <v>480</v>
      </c>
      <c r="D85" s="40" t="s">
        <v>1985</v>
      </c>
      <c r="E85" s="17" t="s">
        <v>474</v>
      </c>
      <c r="F85" s="8" t="s">
        <v>985</v>
      </c>
      <c r="G85" s="5" t="s">
        <v>986</v>
      </c>
      <c r="H85" s="5" t="s">
        <v>362</v>
      </c>
      <c r="I85" s="41" t="s">
        <v>987</v>
      </c>
      <c r="J85" s="111">
        <v>43389</v>
      </c>
      <c r="K85" s="2">
        <v>43906</v>
      </c>
      <c r="L85" s="16">
        <f t="shared" si="49"/>
        <v>85.000001891187381</v>
      </c>
      <c r="M85" s="15">
        <v>2</v>
      </c>
      <c r="N85" s="5" t="s">
        <v>614</v>
      </c>
      <c r="O85" s="5" t="s">
        <v>988</v>
      </c>
      <c r="P85" s="31" t="s">
        <v>174</v>
      </c>
      <c r="Q85" s="5" t="s">
        <v>478</v>
      </c>
      <c r="R85" s="112">
        <f t="shared" ref="R85:R92" si="51">S85+T85</f>
        <v>337089.82</v>
      </c>
      <c r="S85" s="1">
        <v>337089.82</v>
      </c>
      <c r="T85" s="1">
        <v>0</v>
      </c>
      <c r="U85" s="4">
        <f t="shared" si="46"/>
        <v>51554.92</v>
      </c>
      <c r="V85" s="53">
        <v>51554.92</v>
      </c>
      <c r="W85" s="113">
        <v>0</v>
      </c>
      <c r="X85" s="4">
        <f t="shared" si="47"/>
        <v>7931.51</v>
      </c>
      <c r="Y85" s="114">
        <v>7931.51</v>
      </c>
      <c r="Z85" s="1">
        <v>0</v>
      </c>
      <c r="AA85" s="5">
        <v>0</v>
      </c>
      <c r="AB85" s="5">
        <v>0</v>
      </c>
      <c r="AC85" s="1">
        <v>0</v>
      </c>
      <c r="AD85" s="44">
        <f t="shared" si="37"/>
        <v>396576.25</v>
      </c>
      <c r="AE85" s="115">
        <v>2189.6</v>
      </c>
      <c r="AF85" s="9">
        <f t="shared" si="50"/>
        <v>398765.85</v>
      </c>
      <c r="AG85" s="59" t="s">
        <v>966</v>
      </c>
      <c r="AH85" s="11" t="s">
        <v>1366</v>
      </c>
      <c r="AI85" s="1">
        <v>303728.18</v>
      </c>
      <c r="AJ85" s="1">
        <v>46452.54</v>
      </c>
    </row>
    <row r="86" spans="1:36" ht="157.5" x14ac:dyDescent="0.25">
      <c r="A86" s="5">
        <f t="shared" si="38"/>
        <v>83</v>
      </c>
      <c r="B86" s="15">
        <v>126446</v>
      </c>
      <c r="C86" s="78">
        <v>543</v>
      </c>
      <c r="D86" s="40" t="s">
        <v>1985</v>
      </c>
      <c r="E86" s="17" t="s">
        <v>1018</v>
      </c>
      <c r="F86" s="8" t="s">
        <v>1021</v>
      </c>
      <c r="G86" s="5" t="s">
        <v>986</v>
      </c>
      <c r="H86" s="5" t="s">
        <v>362</v>
      </c>
      <c r="I86" s="41" t="s">
        <v>1022</v>
      </c>
      <c r="J86" s="111">
        <v>43430</v>
      </c>
      <c r="K86" s="2">
        <v>44618</v>
      </c>
      <c r="L86" s="16">
        <f t="shared" si="49"/>
        <v>85.000000017455704</v>
      </c>
      <c r="M86" s="15">
        <v>2</v>
      </c>
      <c r="N86" s="5" t="s">
        <v>614</v>
      </c>
      <c r="O86" s="5" t="s">
        <v>988</v>
      </c>
      <c r="P86" s="31" t="s">
        <v>174</v>
      </c>
      <c r="Q86" s="5" t="s">
        <v>478</v>
      </c>
      <c r="R86" s="112">
        <f t="shared" si="51"/>
        <v>2434734.11</v>
      </c>
      <c r="S86" s="1">
        <v>2434734.11</v>
      </c>
      <c r="T86" s="1">
        <v>0</v>
      </c>
      <c r="U86" s="4">
        <f t="shared" si="46"/>
        <v>372371.1</v>
      </c>
      <c r="V86" s="53">
        <v>372371.1</v>
      </c>
      <c r="W86" s="113">
        <v>0</v>
      </c>
      <c r="X86" s="4">
        <f t="shared" si="47"/>
        <v>57287.86</v>
      </c>
      <c r="Y86" s="114">
        <v>57287.86</v>
      </c>
      <c r="Z86" s="1">
        <v>0</v>
      </c>
      <c r="AA86" s="9">
        <f t="shared" ref="AA86:AA91" si="52">AB86+AC86</f>
        <v>0</v>
      </c>
      <c r="AB86" s="1">
        <v>0</v>
      </c>
      <c r="AC86" s="1">
        <v>0</v>
      </c>
      <c r="AD86" s="44">
        <f t="shared" si="37"/>
        <v>2864393.07</v>
      </c>
      <c r="AE86" s="15"/>
      <c r="AF86" s="9">
        <f t="shared" si="50"/>
        <v>2864393.07</v>
      </c>
      <c r="AG86" s="59" t="s">
        <v>515</v>
      </c>
      <c r="AH86" s="59" t="s">
        <v>2126</v>
      </c>
      <c r="AI86" s="1">
        <f>148644.99+110292.95+91247.42+379969.97+164834.04+401292.39</f>
        <v>1296281.76</v>
      </c>
      <c r="AJ86" s="1">
        <f>22733.93+16868.33+13955.48+58113.06+25209.91+61374.14</f>
        <v>198254.84999999998</v>
      </c>
    </row>
    <row r="87" spans="1:36" ht="189" x14ac:dyDescent="0.25">
      <c r="A87" s="5">
        <f t="shared" si="38"/>
        <v>84</v>
      </c>
      <c r="B87" s="15">
        <v>120730</v>
      </c>
      <c r="C87" s="6">
        <v>92</v>
      </c>
      <c r="D87" s="40" t="s">
        <v>1985</v>
      </c>
      <c r="E87" s="17" t="s">
        <v>278</v>
      </c>
      <c r="F87" s="8" t="s">
        <v>197</v>
      </c>
      <c r="G87" s="5" t="s">
        <v>196</v>
      </c>
      <c r="H87" s="5" t="s">
        <v>151</v>
      </c>
      <c r="I87" s="41" t="s">
        <v>199</v>
      </c>
      <c r="J87" s="2">
        <v>43145</v>
      </c>
      <c r="K87" s="2">
        <v>43630</v>
      </c>
      <c r="L87" s="16">
        <f t="shared" si="49"/>
        <v>85.000000355065879</v>
      </c>
      <c r="M87" s="5">
        <v>2</v>
      </c>
      <c r="N87" s="5" t="s">
        <v>614</v>
      </c>
      <c r="O87" s="5" t="s">
        <v>1168</v>
      </c>
      <c r="P87" s="3" t="s">
        <v>174</v>
      </c>
      <c r="Q87" s="5" t="s">
        <v>34</v>
      </c>
      <c r="R87" s="9">
        <f t="shared" si="51"/>
        <v>359088.29</v>
      </c>
      <c r="S87" s="9">
        <v>359088.29</v>
      </c>
      <c r="T87" s="9">
        <v>0</v>
      </c>
      <c r="U87" s="4">
        <f t="shared" si="46"/>
        <v>54919.39</v>
      </c>
      <c r="V87" s="53">
        <v>54919.39</v>
      </c>
      <c r="W87" s="53">
        <v>0</v>
      </c>
      <c r="X87" s="4">
        <f t="shared" si="47"/>
        <v>8449.1299999999992</v>
      </c>
      <c r="Y87" s="9">
        <v>8449.1299999999992</v>
      </c>
      <c r="Z87" s="9">
        <v>0</v>
      </c>
      <c r="AA87" s="9">
        <f t="shared" si="52"/>
        <v>0</v>
      </c>
      <c r="AB87" s="9">
        <v>0</v>
      </c>
      <c r="AC87" s="9">
        <v>0</v>
      </c>
      <c r="AD87" s="44">
        <f t="shared" si="37"/>
        <v>422456.81</v>
      </c>
      <c r="AE87" s="9">
        <v>66435.22</v>
      </c>
      <c r="AF87" s="9">
        <f t="shared" si="50"/>
        <v>488892.03</v>
      </c>
      <c r="AG87" s="49" t="s">
        <v>966</v>
      </c>
      <c r="AH87" s="13" t="s">
        <v>151</v>
      </c>
      <c r="AI87" s="1">
        <v>331095.73</v>
      </c>
      <c r="AJ87" s="1">
        <v>50638.16</v>
      </c>
    </row>
    <row r="88" spans="1:36" ht="141.75" x14ac:dyDescent="0.25">
      <c r="A88" s="5">
        <f t="shared" si="38"/>
        <v>85</v>
      </c>
      <c r="B88" s="15">
        <v>129270</v>
      </c>
      <c r="C88" s="5">
        <v>647</v>
      </c>
      <c r="D88" s="40" t="s">
        <v>1985</v>
      </c>
      <c r="E88" s="17" t="s">
        <v>1246</v>
      </c>
      <c r="F88" s="55" t="s">
        <v>1346</v>
      </c>
      <c r="G88" s="5" t="s">
        <v>196</v>
      </c>
      <c r="H88" s="5" t="s">
        <v>151</v>
      </c>
      <c r="I88" s="41" t="s">
        <v>1347</v>
      </c>
      <c r="J88" s="2">
        <v>43656</v>
      </c>
      <c r="K88" s="2">
        <v>44296</v>
      </c>
      <c r="L88" s="16">
        <f t="shared" si="49"/>
        <v>84.999999975703545</v>
      </c>
      <c r="M88" s="5">
        <v>2</v>
      </c>
      <c r="N88" s="5" t="s">
        <v>614</v>
      </c>
      <c r="O88" s="5" t="s">
        <v>1168</v>
      </c>
      <c r="P88" s="3" t="s">
        <v>174</v>
      </c>
      <c r="Q88" s="5" t="s">
        <v>34</v>
      </c>
      <c r="R88" s="9">
        <f t="shared" si="51"/>
        <v>1749225.82</v>
      </c>
      <c r="S88" s="9">
        <v>1749225.82</v>
      </c>
      <c r="T88" s="9">
        <v>0</v>
      </c>
      <c r="U88" s="4">
        <f t="shared" si="46"/>
        <v>267528.65999999997</v>
      </c>
      <c r="V88" s="53">
        <v>267528.65999999997</v>
      </c>
      <c r="W88" s="53">
        <v>0</v>
      </c>
      <c r="X88" s="4">
        <f t="shared" si="47"/>
        <v>41158.25</v>
      </c>
      <c r="Y88" s="9">
        <v>41158.25</v>
      </c>
      <c r="Z88" s="9">
        <v>0</v>
      </c>
      <c r="AA88" s="9">
        <f t="shared" si="52"/>
        <v>0</v>
      </c>
      <c r="AB88" s="9">
        <v>0</v>
      </c>
      <c r="AC88" s="9">
        <v>0</v>
      </c>
      <c r="AD88" s="44">
        <f t="shared" si="37"/>
        <v>2057912.73</v>
      </c>
      <c r="AE88" s="9">
        <v>0</v>
      </c>
      <c r="AF88" s="9">
        <f t="shared" si="50"/>
        <v>2057912.73</v>
      </c>
      <c r="AG88" s="59" t="s">
        <v>966</v>
      </c>
      <c r="AH88" s="13" t="s">
        <v>2105</v>
      </c>
      <c r="AI88" s="1">
        <f>166775.7+14801.9+886408.22+130598.51+13288.05+485288.13+13655.25</f>
        <v>1710815.7600000002</v>
      </c>
      <c r="AJ88" s="1">
        <f>25506.87+2263.82+135568.33+19973.88+2032.29+74220.54+2088.45</f>
        <v>261654.18</v>
      </c>
    </row>
    <row r="89" spans="1:36" ht="157.5" x14ac:dyDescent="0.25">
      <c r="A89" s="5">
        <f t="shared" si="38"/>
        <v>86</v>
      </c>
      <c r="B89" s="15">
        <v>128948</v>
      </c>
      <c r="C89" s="6">
        <v>664</v>
      </c>
      <c r="D89" s="40" t="s">
        <v>1985</v>
      </c>
      <c r="E89" s="17" t="s">
        <v>1246</v>
      </c>
      <c r="F89" s="55" t="s">
        <v>1481</v>
      </c>
      <c r="G89" s="5" t="s">
        <v>986</v>
      </c>
      <c r="H89" s="5" t="s">
        <v>151</v>
      </c>
      <c r="I89" s="41" t="s">
        <v>1482</v>
      </c>
      <c r="J89" s="2">
        <v>43712</v>
      </c>
      <c r="K89" s="2">
        <v>44443</v>
      </c>
      <c r="L89" s="16">
        <f t="shared" si="49"/>
        <v>85.000000102885792</v>
      </c>
      <c r="M89" s="5">
        <v>2</v>
      </c>
      <c r="N89" s="5" t="s">
        <v>614</v>
      </c>
      <c r="O89" s="5" t="s">
        <v>988</v>
      </c>
      <c r="P89" s="3" t="s">
        <v>174</v>
      </c>
      <c r="Q89" s="5" t="s">
        <v>34</v>
      </c>
      <c r="R89" s="9">
        <f t="shared" si="51"/>
        <v>826158.81</v>
      </c>
      <c r="S89" s="9">
        <v>826158.81</v>
      </c>
      <c r="T89" s="9">
        <v>0</v>
      </c>
      <c r="U89" s="4">
        <f t="shared" si="46"/>
        <v>126353.7</v>
      </c>
      <c r="V89" s="53">
        <v>126353.7</v>
      </c>
      <c r="W89" s="53">
        <v>0</v>
      </c>
      <c r="X89" s="4">
        <f t="shared" si="47"/>
        <v>19439.03</v>
      </c>
      <c r="Y89" s="9">
        <v>19439.03</v>
      </c>
      <c r="Z89" s="9">
        <v>0</v>
      </c>
      <c r="AA89" s="9">
        <f t="shared" si="52"/>
        <v>0</v>
      </c>
      <c r="AB89" s="9">
        <v>0</v>
      </c>
      <c r="AC89" s="9">
        <v>0</v>
      </c>
      <c r="AD89" s="44">
        <f t="shared" si="37"/>
        <v>971951.54</v>
      </c>
      <c r="AE89" s="9">
        <v>0</v>
      </c>
      <c r="AF89" s="9">
        <f t="shared" si="50"/>
        <v>971951.54</v>
      </c>
      <c r="AG89" s="59" t="s">
        <v>515</v>
      </c>
      <c r="AH89" s="13"/>
      <c r="AI89" s="1">
        <v>270562.09000000003</v>
      </c>
      <c r="AJ89" s="1">
        <v>41380.080000000002</v>
      </c>
    </row>
    <row r="90" spans="1:36" ht="180" x14ac:dyDescent="0.25">
      <c r="A90" s="5">
        <f t="shared" si="38"/>
        <v>87</v>
      </c>
      <c r="B90" s="61">
        <v>135741</v>
      </c>
      <c r="C90" s="116">
        <v>772</v>
      </c>
      <c r="D90" s="40" t="s">
        <v>1985</v>
      </c>
      <c r="E90" s="17" t="s">
        <v>1701</v>
      </c>
      <c r="F90" s="55" t="s">
        <v>1704</v>
      </c>
      <c r="G90" s="5" t="s">
        <v>986</v>
      </c>
      <c r="H90" s="5" t="s">
        <v>151</v>
      </c>
      <c r="I90" s="41" t="s">
        <v>1755</v>
      </c>
      <c r="J90" s="63">
        <v>43949</v>
      </c>
      <c r="K90" s="63">
        <v>44467</v>
      </c>
      <c r="L90" s="64">
        <f t="shared" si="49"/>
        <v>85</v>
      </c>
      <c r="M90" s="62">
        <v>2</v>
      </c>
      <c r="N90" s="62" t="s">
        <v>614</v>
      </c>
      <c r="O90" s="62" t="s">
        <v>988</v>
      </c>
      <c r="P90" s="65" t="s">
        <v>174</v>
      </c>
      <c r="Q90" s="62" t="s">
        <v>34</v>
      </c>
      <c r="R90" s="66">
        <f t="shared" si="51"/>
        <v>849255.4</v>
      </c>
      <c r="S90" s="66">
        <v>849255.4</v>
      </c>
      <c r="T90" s="66">
        <v>0</v>
      </c>
      <c r="U90" s="67">
        <f t="shared" si="46"/>
        <v>129886.12</v>
      </c>
      <c r="V90" s="68">
        <v>129886.12</v>
      </c>
      <c r="W90" s="68">
        <v>0</v>
      </c>
      <c r="X90" s="67">
        <f t="shared" si="47"/>
        <v>19982.48</v>
      </c>
      <c r="Y90" s="66">
        <v>19982.48</v>
      </c>
      <c r="Z90" s="66">
        <v>0</v>
      </c>
      <c r="AA90" s="66">
        <f t="shared" si="52"/>
        <v>0</v>
      </c>
      <c r="AB90" s="66">
        <v>0</v>
      </c>
      <c r="AC90" s="66">
        <v>0</v>
      </c>
      <c r="AD90" s="44">
        <f t="shared" si="37"/>
        <v>999124</v>
      </c>
      <c r="AE90" s="66">
        <v>0</v>
      </c>
      <c r="AF90" s="66">
        <f t="shared" si="50"/>
        <v>999124</v>
      </c>
      <c r="AG90" s="59" t="s">
        <v>515</v>
      </c>
      <c r="AH90" s="13"/>
      <c r="AI90" s="1">
        <f>35402.5+6069</f>
        <v>41471.5</v>
      </c>
      <c r="AJ90" s="1">
        <f>5414.5+928.2</f>
        <v>6342.7</v>
      </c>
    </row>
    <row r="91" spans="1:36" ht="180" x14ac:dyDescent="0.25">
      <c r="A91" s="5">
        <f t="shared" si="38"/>
        <v>88</v>
      </c>
      <c r="B91" s="61">
        <v>136038</v>
      </c>
      <c r="C91" s="116">
        <v>794</v>
      </c>
      <c r="D91" s="40" t="s">
        <v>1985</v>
      </c>
      <c r="E91" s="17" t="s">
        <v>1701</v>
      </c>
      <c r="F91" s="55" t="s">
        <v>1754</v>
      </c>
      <c r="G91" s="5" t="s">
        <v>771</v>
      </c>
      <c r="H91" s="5" t="s">
        <v>151</v>
      </c>
      <c r="I91" s="41" t="s">
        <v>1756</v>
      </c>
      <c r="J91" s="63">
        <v>43969</v>
      </c>
      <c r="K91" s="63">
        <v>44760</v>
      </c>
      <c r="L91" s="64">
        <f t="shared" si="49"/>
        <v>85</v>
      </c>
      <c r="M91" s="62">
        <v>2</v>
      </c>
      <c r="N91" s="62" t="s">
        <v>614</v>
      </c>
      <c r="O91" s="62" t="s">
        <v>988</v>
      </c>
      <c r="P91" s="65" t="s">
        <v>174</v>
      </c>
      <c r="Q91" s="62" t="s">
        <v>34</v>
      </c>
      <c r="R91" s="66">
        <f t="shared" si="51"/>
        <v>3210818.0500000003</v>
      </c>
      <c r="S91" s="66">
        <v>3210818.0500000003</v>
      </c>
      <c r="T91" s="66">
        <v>0</v>
      </c>
      <c r="U91" s="67">
        <f t="shared" si="46"/>
        <v>491066.29</v>
      </c>
      <c r="V91" s="68">
        <v>491066.29</v>
      </c>
      <c r="W91" s="68">
        <v>0</v>
      </c>
      <c r="X91" s="67">
        <f t="shared" si="47"/>
        <v>75548.66</v>
      </c>
      <c r="Y91" s="66">
        <v>75548.66</v>
      </c>
      <c r="Z91" s="66">
        <v>0</v>
      </c>
      <c r="AA91" s="66">
        <f t="shared" si="52"/>
        <v>0</v>
      </c>
      <c r="AB91" s="66">
        <v>0</v>
      </c>
      <c r="AC91" s="66">
        <v>0</v>
      </c>
      <c r="AD91" s="44">
        <f t="shared" si="37"/>
        <v>3777433.0000000005</v>
      </c>
      <c r="AE91" s="66">
        <v>95200</v>
      </c>
      <c r="AF91" s="66">
        <f t="shared" si="50"/>
        <v>3872633.0000000005</v>
      </c>
      <c r="AG91" s="59" t="s">
        <v>515</v>
      </c>
      <c r="AH91" s="13"/>
      <c r="AI91" s="1">
        <f>61207.73+24043.1</f>
        <v>85250.83</v>
      </c>
      <c r="AJ91" s="1">
        <f>9361.18+3677.18</f>
        <v>13038.36</v>
      </c>
    </row>
    <row r="92" spans="1:36" ht="267.75" x14ac:dyDescent="0.25">
      <c r="A92" s="5">
        <f t="shared" si="38"/>
        <v>89</v>
      </c>
      <c r="B92" s="61">
        <v>135535</v>
      </c>
      <c r="C92" s="116">
        <v>781</v>
      </c>
      <c r="D92" s="40" t="s">
        <v>1985</v>
      </c>
      <c r="E92" s="17" t="s">
        <v>1701</v>
      </c>
      <c r="F92" s="55" t="s">
        <v>1855</v>
      </c>
      <c r="G92" s="5" t="s">
        <v>196</v>
      </c>
      <c r="H92" s="5" t="s">
        <v>362</v>
      </c>
      <c r="I92" s="41" t="s">
        <v>1856</v>
      </c>
      <c r="J92" s="63">
        <v>44008</v>
      </c>
      <c r="K92" s="63">
        <v>44556</v>
      </c>
      <c r="L92" s="64">
        <f t="shared" si="49"/>
        <v>85.000000029541837</v>
      </c>
      <c r="M92" s="62">
        <v>2</v>
      </c>
      <c r="N92" s="62" t="s">
        <v>614</v>
      </c>
      <c r="O92" s="5" t="s">
        <v>1168</v>
      </c>
      <c r="P92" s="65" t="s">
        <v>174</v>
      </c>
      <c r="Q92" s="62" t="s">
        <v>34</v>
      </c>
      <c r="R92" s="66">
        <f t="shared" si="51"/>
        <v>2877274.6</v>
      </c>
      <c r="S92" s="66">
        <v>2877274.6</v>
      </c>
      <c r="T92" s="66">
        <v>0</v>
      </c>
      <c r="U92" s="67">
        <f t="shared" si="46"/>
        <v>440053.75</v>
      </c>
      <c r="V92" s="68">
        <v>440053.75</v>
      </c>
      <c r="W92" s="68">
        <v>0</v>
      </c>
      <c r="X92" s="67">
        <f t="shared" si="47"/>
        <v>67700.59</v>
      </c>
      <c r="Y92" s="66">
        <v>67700.59</v>
      </c>
      <c r="Z92" s="66">
        <v>0</v>
      </c>
      <c r="AA92" s="66">
        <f>AB92+AC92</f>
        <v>0</v>
      </c>
      <c r="AB92" s="66">
        <v>0</v>
      </c>
      <c r="AC92" s="66">
        <v>0</v>
      </c>
      <c r="AD92" s="44">
        <f t="shared" si="37"/>
        <v>3385028.94</v>
      </c>
      <c r="AE92" s="66">
        <v>0</v>
      </c>
      <c r="AF92" s="66">
        <f t="shared" si="50"/>
        <v>3385028.94</v>
      </c>
      <c r="AG92" s="59" t="s">
        <v>515</v>
      </c>
      <c r="AH92" s="13"/>
      <c r="AI92" s="1">
        <f>117553.13+25953.16</f>
        <v>143506.29</v>
      </c>
      <c r="AJ92" s="1">
        <f>17978.71+3969.31</f>
        <v>21948.02</v>
      </c>
    </row>
    <row r="93" spans="1:36" ht="267.75" x14ac:dyDescent="0.25">
      <c r="A93" s="5">
        <f t="shared" si="38"/>
        <v>90</v>
      </c>
      <c r="B93" s="15">
        <v>118879</v>
      </c>
      <c r="C93" s="5">
        <v>452</v>
      </c>
      <c r="D93" s="8" t="s">
        <v>1986</v>
      </c>
      <c r="E93" s="17" t="s">
        <v>540</v>
      </c>
      <c r="F93" s="8" t="s">
        <v>718</v>
      </c>
      <c r="G93" s="5" t="s">
        <v>719</v>
      </c>
      <c r="H93" s="5" t="s">
        <v>151</v>
      </c>
      <c r="I93" s="8" t="s">
        <v>720</v>
      </c>
      <c r="J93" s="2">
        <v>43293</v>
      </c>
      <c r="K93" s="2">
        <v>43781</v>
      </c>
      <c r="L93" s="16">
        <f t="shared" ref="L93:L99" si="53">R93/AD93*100</f>
        <v>85</v>
      </c>
      <c r="M93" s="5">
        <v>3</v>
      </c>
      <c r="N93" s="5" t="s">
        <v>368</v>
      </c>
      <c r="O93" s="5" t="s">
        <v>368</v>
      </c>
      <c r="P93" s="5" t="s">
        <v>174</v>
      </c>
      <c r="Q93" s="5" t="s">
        <v>34</v>
      </c>
      <c r="R93" s="1">
        <v>338205.65</v>
      </c>
      <c r="S93" s="1">
        <v>338205.65</v>
      </c>
      <c r="T93" s="1">
        <v>0</v>
      </c>
      <c r="U93" s="4">
        <f t="shared" ref="U93:U103" si="54">V93+W93</f>
        <v>51725.57</v>
      </c>
      <c r="V93" s="71">
        <v>51725.57</v>
      </c>
      <c r="W93" s="71">
        <v>0</v>
      </c>
      <c r="X93" s="4">
        <f t="shared" ref="X93:X105" si="55">Y93+Z93</f>
        <v>7957.78</v>
      </c>
      <c r="Y93" s="1">
        <v>7957.78</v>
      </c>
      <c r="Z93" s="1">
        <v>0</v>
      </c>
      <c r="AA93" s="9">
        <v>0</v>
      </c>
      <c r="AB93" s="1">
        <v>0</v>
      </c>
      <c r="AC93" s="1">
        <v>0</v>
      </c>
      <c r="AD93" s="44">
        <f t="shared" si="37"/>
        <v>397889.00000000006</v>
      </c>
      <c r="AE93" s="59">
        <v>0</v>
      </c>
      <c r="AF93" s="1">
        <f t="shared" ref="AF93:AF99" si="56">AD93+AE93</f>
        <v>397889.00000000006</v>
      </c>
      <c r="AG93" s="49" t="s">
        <v>966</v>
      </c>
      <c r="AH93" s="108" t="s">
        <v>1217</v>
      </c>
      <c r="AI93" s="1">
        <v>324878.98</v>
      </c>
      <c r="AJ93" s="1">
        <v>49687.360000000001</v>
      </c>
    </row>
    <row r="94" spans="1:36" ht="157.5" x14ac:dyDescent="0.25">
      <c r="A94" s="5">
        <f t="shared" si="38"/>
        <v>91</v>
      </c>
      <c r="B94" s="15">
        <v>118774</v>
      </c>
      <c r="C94" s="5">
        <v>442</v>
      </c>
      <c r="D94" s="8" t="s">
        <v>1986</v>
      </c>
      <c r="E94" s="17" t="s">
        <v>540</v>
      </c>
      <c r="F94" s="8" t="s">
        <v>886</v>
      </c>
      <c r="G94" s="5" t="s">
        <v>887</v>
      </c>
      <c r="H94" s="6"/>
      <c r="I94" s="8" t="s">
        <v>972</v>
      </c>
      <c r="J94" s="2">
        <v>43341</v>
      </c>
      <c r="K94" s="2">
        <v>43798</v>
      </c>
      <c r="L94" s="16">
        <f t="shared" si="53"/>
        <v>84.999996337824783</v>
      </c>
      <c r="M94" s="6">
        <v>3</v>
      </c>
      <c r="N94" s="5" t="s">
        <v>368</v>
      </c>
      <c r="O94" s="5" t="s">
        <v>368</v>
      </c>
      <c r="P94" s="5" t="s">
        <v>174</v>
      </c>
      <c r="Q94" s="5" t="s">
        <v>34</v>
      </c>
      <c r="R94" s="1">
        <f t="shared" ref="R94:R99" si="57">S94+T94</f>
        <v>220497.36</v>
      </c>
      <c r="S94" s="1">
        <v>220497.36</v>
      </c>
      <c r="T94" s="1">
        <v>0</v>
      </c>
      <c r="U94" s="4">
        <f t="shared" si="54"/>
        <v>33723.14</v>
      </c>
      <c r="V94" s="117">
        <v>33723.14</v>
      </c>
      <c r="W94" s="71">
        <v>0</v>
      </c>
      <c r="X94" s="4">
        <f t="shared" si="55"/>
        <v>5188.17</v>
      </c>
      <c r="Y94" s="1">
        <v>5188.17</v>
      </c>
      <c r="Z94" s="1">
        <v>0</v>
      </c>
      <c r="AA94" s="9">
        <f t="shared" ref="AA94:AA99" si="58">AB94+AC94</f>
        <v>0</v>
      </c>
      <c r="AB94" s="1">
        <v>0</v>
      </c>
      <c r="AC94" s="1">
        <v>0</v>
      </c>
      <c r="AD94" s="44">
        <f t="shared" si="37"/>
        <v>259408.67</v>
      </c>
      <c r="AE94" s="11"/>
      <c r="AF94" s="9">
        <f t="shared" si="56"/>
        <v>259408.67</v>
      </c>
      <c r="AG94" s="49" t="s">
        <v>966</v>
      </c>
      <c r="AH94" s="108" t="s">
        <v>151</v>
      </c>
      <c r="AI94" s="1">
        <v>202807.57</v>
      </c>
      <c r="AJ94" s="1">
        <v>31017.620000000003</v>
      </c>
    </row>
    <row r="95" spans="1:36" ht="112.5" customHeight="1" x14ac:dyDescent="0.25">
      <c r="A95" s="5">
        <f t="shared" si="38"/>
        <v>92</v>
      </c>
      <c r="B95" s="15">
        <v>119901</v>
      </c>
      <c r="C95" s="5">
        <v>486</v>
      </c>
      <c r="D95" s="40" t="s">
        <v>1985</v>
      </c>
      <c r="E95" s="8" t="s">
        <v>474</v>
      </c>
      <c r="F95" s="8" t="s">
        <v>997</v>
      </c>
      <c r="G95" s="5" t="s">
        <v>719</v>
      </c>
      <c r="H95" s="6" t="s">
        <v>362</v>
      </c>
      <c r="I95" s="41" t="s">
        <v>998</v>
      </c>
      <c r="J95" s="2">
        <v>43377</v>
      </c>
      <c r="K95" s="2">
        <v>43925</v>
      </c>
      <c r="L95" s="16">
        <f t="shared" si="53"/>
        <v>85.000004041383775</v>
      </c>
      <c r="M95" s="6">
        <v>3</v>
      </c>
      <c r="N95" s="5" t="s">
        <v>368</v>
      </c>
      <c r="O95" s="5" t="s">
        <v>999</v>
      </c>
      <c r="P95" s="5" t="s">
        <v>174</v>
      </c>
      <c r="Q95" s="5" t="s">
        <v>478</v>
      </c>
      <c r="R95" s="1">
        <f t="shared" si="57"/>
        <v>420648.02</v>
      </c>
      <c r="S95" s="1">
        <v>420648.02</v>
      </c>
      <c r="T95" s="56">
        <v>0</v>
      </c>
      <c r="U95" s="4">
        <f t="shared" si="54"/>
        <v>64334.38</v>
      </c>
      <c r="V95" s="118">
        <v>64334.38</v>
      </c>
      <c r="W95" s="85">
        <v>0</v>
      </c>
      <c r="X95" s="4">
        <f t="shared" si="55"/>
        <v>9897.6</v>
      </c>
      <c r="Y95" s="80">
        <v>9897.6</v>
      </c>
      <c r="Z95" s="80">
        <v>0</v>
      </c>
      <c r="AA95" s="9">
        <f t="shared" si="58"/>
        <v>0</v>
      </c>
      <c r="AB95" s="56">
        <v>0</v>
      </c>
      <c r="AC95" s="56">
        <v>0</v>
      </c>
      <c r="AD95" s="44">
        <f t="shared" si="37"/>
        <v>494880</v>
      </c>
      <c r="AE95" s="11"/>
      <c r="AF95" s="9">
        <f t="shared" si="56"/>
        <v>494880</v>
      </c>
      <c r="AG95" s="59" t="s">
        <v>966</v>
      </c>
      <c r="AH95" s="59" t="s">
        <v>1682</v>
      </c>
      <c r="AI95" s="1">
        <v>352319.13999999996</v>
      </c>
      <c r="AJ95" s="1">
        <v>53884.060000000019</v>
      </c>
    </row>
    <row r="96" spans="1:36" ht="243.75" customHeight="1" x14ac:dyDescent="0.25">
      <c r="A96" s="5">
        <f t="shared" si="38"/>
        <v>93</v>
      </c>
      <c r="B96" s="15">
        <v>126537</v>
      </c>
      <c r="C96" s="5">
        <v>569</v>
      </c>
      <c r="D96" s="40" t="s">
        <v>1985</v>
      </c>
      <c r="E96" s="17" t="s">
        <v>1018</v>
      </c>
      <c r="F96" s="8" t="s">
        <v>1209</v>
      </c>
      <c r="G96" s="5" t="s">
        <v>719</v>
      </c>
      <c r="H96" s="6" t="s">
        <v>362</v>
      </c>
      <c r="I96" s="41" t="s">
        <v>1210</v>
      </c>
      <c r="J96" s="2">
        <v>43567</v>
      </c>
      <c r="K96" s="2">
        <v>44451</v>
      </c>
      <c r="L96" s="16">
        <f t="shared" si="53"/>
        <v>85.000000206342506</v>
      </c>
      <c r="M96" s="6">
        <v>3</v>
      </c>
      <c r="N96" s="5" t="s">
        <v>368</v>
      </c>
      <c r="O96" s="5" t="s">
        <v>999</v>
      </c>
      <c r="P96" s="5" t="s">
        <v>174</v>
      </c>
      <c r="Q96" s="5" t="s">
        <v>478</v>
      </c>
      <c r="R96" s="1">
        <f t="shared" si="57"/>
        <v>3089523.44</v>
      </c>
      <c r="S96" s="1">
        <v>3089523.44</v>
      </c>
      <c r="T96" s="54">
        <v>0</v>
      </c>
      <c r="U96" s="4">
        <f t="shared" si="54"/>
        <v>472515.36</v>
      </c>
      <c r="V96" s="118">
        <v>472515.36</v>
      </c>
      <c r="W96" s="71">
        <v>0</v>
      </c>
      <c r="X96" s="4">
        <f t="shared" si="55"/>
        <v>72694.650000000009</v>
      </c>
      <c r="Y96" s="1">
        <v>72694.650000000009</v>
      </c>
      <c r="Z96" s="54">
        <v>0</v>
      </c>
      <c r="AA96" s="9">
        <f t="shared" si="58"/>
        <v>0</v>
      </c>
      <c r="AB96" s="54">
        <v>0</v>
      </c>
      <c r="AC96" s="54">
        <v>0</v>
      </c>
      <c r="AD96" s="44">
        <f t="shared" si="37"/>
        <v>3634733.4499999997</v>
      </c>
      <c r="AE96" s="1">
        <v>0</v>
      </c>
      <c r="AF96" s="9">
        <f t="shared" si="56"/>
        <v>3634733.4499999997</v>
      </c>
      <c r="AG96" s="59" t="s">
        <v>515</v>
      </c>
      <c r="AH96" s="59" t="s">
        <v>2144</v>
      </c>
      <c r="AI96" s="1">
        <f>101326.08+67116+473703.3+529750.17-28548.49+365060-26190.17+363473-46589.69</f>
        <v>1799100.2000000002</v>
      </c>
      <c r="AJ96" s="1">
        <f>15496.93+26880.76+85630.48+46856.66+51827.17+46589.69</f>
        <v>273281.69</v>
      </c>
    </row>
    <row r="97" spans="1:36" ht="141.75" x14ac:dyDescent="0.25">
      <c r="A97" s="5">
        <f t="shared" si="38"/>
        <v>94</v>
      </c>
      <c r="B97" s="15">
        <v>129241</v>
      </c>
      <c r="C97" s="15">
        <v>650</v>
      </c>
      <c r="D97" s="40" t="s">
        <v>1985</v>
      </c>
      <c r="E97" s="119" t="s">
        <v>1246</v>
      </c>
      <c r="F97" s="55" t="s">
        <v>1255</v>
      </c>
      <c r="G97" s="5" t="s">
        <v>2003</v>
      </c>
      <c r="H97" s="6" t="s">
        <v>151</v>
      </c>
      <c r="I97" s="41" t="s">
        <v>1247</v>
      </c>
      <c r="J97" s="2">
        <v>43608</v>
      </c>
      <c r="K97" s="2">
        <v>44462</v>
      </c>
      <c r="L97" s="16">
        <f t="shared" si="53"/>
        <v>85.000000168986716</v>
      </c>
      <c r="M97" s="6">
        <v>3</v>
      </c>
      <c r="N97" s="5" t="s">
        <v>368</v>
      </c>
      <c r="O97" s="5" t="s">
        <v>999</v>
      </c>
      <c r="P97" s="5" t="s">
        <v>174</v>
      </c>
      <c r="Q97" s="5" t="s">
        <v>478</v>
      </c>
      <c r="R97" s="1">
        <f t="shared" si="57"/>
        <v>2514990.63</v>
      </c>
      <c r="S97" s="1">
        <v>2514990.63</v>
      </c>
      <c r="T97" s="54">
        <v>0</v>
      </c>
      <c r="U97" s="4">
        <f t="shared" si="54"/>
        <v>384645.62</v>
      </c>
      <c r="V97" s="118">
        <v>384645.62</v>
      </c>
      <c r="W97" s="71">
        <v>0</v>
      </c>
      <c r="X97" s="4">
        <f t="shared" si="55"/>
        <v>59176.25</v>
      </c>
      <c r="Y97" s="1">
        <v>59176.25</v>
      </c>
      <c r="Z97" s="1">
        <v>0</v>
      </c>
      <c r="AA97" s="9">
        <f t="shared" si="58"/>
        <v>0</v>
      </c>
      <c r="AB97" s="54">
        <v>0</v>
      </c>
      <c r="AC97" s="54">
        <v>0</v>
      </c>
      <c r="AD97" s="44">
        <f t="shared" si="37"/>
        <v>2958812.5</v>
      </c>
      <c r="AE97" s="1">
        <v>0</v>
      </c>
      <c r="AF97" s="9">
        <f t="shared" si="56"/>
        <v>2958812.5</v>
      </c>
      <c r="AG97" s="59" t="s">
        <v>515</v>
      </c>
      <c r="AH97" s="11"/>
      <c r="AI97" s="1">
        <f>81663.7+16254.4+2062406.83-2565.16+19337.36-2397.2+18071.2-2468.57</f>
        <v>2190302.56</v>
      </c>
      <c r="AJ97" s="1">
        <f>9110.66+2608.32+315426.93+2565.16+2397.2+2468.57</f>
        <v>334576.83999999997</v>
      </c>
    </row>
    <row r="98" spans="1:36" ht="141.75" x14ac:dyDescent="0.25">
      <c r="A98" s="5">
        <f t="shared" si="38"/>
        <v>95</v>
      </c>
      <c r="B98" s="78">
        <v>129152</v>
      </c>
      <c r="C98" s="78">
        <v>656</v>
      </c>
      <c r="D98" s="40" t="s">
        <v>1985</v>
      </c>
      <c r="E98" s="119" t="str">
        <f>E97</f>
        <v>CP 12 less/2018</v>
      </c>
      <c r="F98" s="55" t="s">
        <v>1264</v>
      </c>
      <c r="G98" s="15" t="s">
        <v>887</v>
      </c>
      <c r="H98" s="6" t="s">
        <v>151</v>
      </c>
      <c r="I98" s="41" t="s">
        <v>1265</v>
      </c>
      <c r="J98" s="2">
        <v>43621</v>
      </c>
      <c r="K98" s="2">
        <v>44352</v>
      </c>
      <c r="L98" s="16">
        <f t="shared" si="53"/>
        <v>85.000000171199162</v>
      </c>
      <c r="M98" s="6">
        <f>M97</f>
        <v>3</v>
      </c>
      <c r="N98" s="5" t="str">
        <f>N97</f>
        <v>CĂLĂRAȘI</v>
      </c>
      <c r="O98" s="5" t="s">
        <v>999</v>
      </c>
      <c r="P98" s="5" t="s">
        <v>174</v>
      </c>
      <c r="Q98" s="5" t="s">
        <v>478</v>
      </c>
      <c r="R98" s="1">
        <f t="shared" si="57"/>
        <v>2482488.84</v>
      </c>
      <c r="S98" s="1">
        <v>2482488.84</v>
      </c>
      <c r="T98" s="54">
        <v>0</v>
      </c>
      <c r="U98" s="4">
        <f t="shared" si="54"/>
        <v>379674.76</v>
      </c>
      <c r="V98" s="118">
        <v>379674.76</v>
      </c>
      <c r="W98" s="71">
        <v>0</v>
      </c>
      <c r="X98" s="4">
        <f t="shared" si="55"/>
        <v>58411.5</v>
      </c>
      <c r="Y98" s="1">
        <v>58411.5</v>
      </c>
      <c r="Z98" s="1">
        <v>0</v>
      </c>
      <c r="AA98" s="9">
        <f t="shared" si="58"/>
        <v>0</v>
      </c>
      <c r="AB98" s="54">
        <v>0</v>
      </c>
      <c r="AC98" s="54">
        <v>0</v>
      </c>
      <c r="AD98" s="44">
        <f t="shared" si="37"/>
        <v>2920575.0999999996</v>
      </c>
      <c r="AE98" s="1">
        <v>11900</v>
      </c>
      <c r="AF98" s="9">
        <f t="shared" si="56"/>
        <v>2932475.0999999996</v>
      </c>
      <c r="AG98" s="59" t="s">
        <v>966</v>
      </c>
      <c r="AH98" s="11"/>
      <c r="AI98" s="1">
        <f>80009.94+18030.19+9429.9+12478.84+487781.48+546784.53+1249054.82</f>
        <v>2403569.7000000002</v>
      </c>
      <c r="AJ98" s="1">
        <f>12236.81+2757.56+1442.22+1908.53+74601.87+83625.87+191031.92</f>
        <v>367604.78</v>
      </c>
    </row>
    <row r="99" spans="1:36" ht="270" x14ac:dyDescent="0.25">
      <c r="A99" s="5">
        <f t="shared" si="38"/>
        <v>96</v>
      </c>
      <c r="B99" s="61">
        <v>135232</v>
      </c>
      <c r="C99" s="116">
        <v>816</v>
      </c>
      <c r="D99" s="40" t="s">
        <v>1985</v>
      </c>
      <c r="E99" s="81" t="s">
        <v>1701</v>
      </c>
      <c r="F99" s="120" t="s">
        <v>1741</v>
      </c>
      <c r="G99" s="15" t="s">
        <v>887</v>
      </c>
      <c r="H99" s="62" t="s">
        <v>151</v>
      </c>
      <c r="I99" s="101" t="s">
        <v>1742</v>
      </c>
      <c r="J99" s="63">
        <v>43969</v>
      </c>
      <c r="K99" s="63">
        <v>44699</v>
      </c>
      <c r="L99" s="64">
        <f t="shared" si="53"/>
        <v>85</v>
      </c>
      <c r="M99" s="62">
        <v>3</v>
      </c>
      <c r="N99" s="62" t="s">
        <v>1743</v>
      </c>
      <c r="O99" s="62" t="s">
        <v>887</v>
      </c>
      <c r="P99" s="65" t="s">
        <v>174</v>
      </c>
      <c r="Q99" s="62" t="s">
        <v>34</v>
      </c>
      <c r="R99" s="1">
        <f t="shared" si="57"/>
        <v>2589746</v>
      </c>
      <c r="S99" s="66">
        <v>2589746</v>
      </c>
      <c r="T99" s="66">
        <v>0</v>
      </c>
      <c r="U99" s="4">
        <f t="shared" si="54"/>
        <v>396078.8</v>
      </c>
      <c r="V99" s="68">
        <v>396078.8</v>
      </c>
      <c r="W99" s="68">
        <v>0</v>
      </c>
      <c r="X99" s="4">
        <f t="shared" si="55"/>
        <v>60935.199999999997</v>
      </c>
      <c r="Y99" s="66">
        <v>60935.199999999997</v>
      </c>
      <c r="Z99" s="66">
        <v>0</v>
      </c>
      <c r="AA99" s="9">
        <f t="shared" si="58"/>
        <v>0</v>
      </c>
      <c r="AB99" s="66">
        <v>0</v>
      </c>
      <c r="AC99" s="66">
        <v>0</v>
      </c>
      <c r="AD99" s="44">
        <f t="shared" si="37"/>
        <v>3046760</v>
      </c>
      <c r="AE99" s="1">
        <v>0</v>
      </c>
      <c r="AF99" s="9">
        <f t="shared" si="56"/>
        <v>3046760</v>
      </c>
      <c r="AG99" s="59" t="s">
        <v>515</v>
      </c>
      <c r="AH99" s="11" t="s">
        <v>2106</v>
      </c>
      <c r="AI99" s="1">
        <v>51670.8</v>
      </c>
      <c r="AJ99" s="1">
        <v>7902.59</v>
      </c>
    </row>
    <row r="100" spans="1:36" ht="220.5" x14ac:dyDescent="0.25">
      <c r="A100" s="5">
        <f t="shared" si="38"/>
        <v>97</v>
      </c>
      <c r="B100" s="78">
        <v>120791</v>
      </c>
      <c r="C100" s="6">
        <v>88</v>
      </c>
      <c r="D100" s="40" t="s">
        <v>1985</v>
      </c>
      <c r="E100" s="17" t="s">
        <v>278</v>
      </c>
      <c r="F100" s="8" t="s">
        <v>283</v>
      </c>
      <c r="G100" s="5" t="s">
        <v>2012</v>
      </c>
      <c r="H100" s="121" t="s">
        <v>284</v>
      </c>
      <c r="I100" s="86" t="s">
        <v>285</v>
      </c>
      <c r="J100" s="2">
        <v>43180</v>
      </c>
      <c r="K100" s="2">
        <v>43667</v>
      </c>
      <c r="L100" s="16">
        <f t="shared" ref="L100:L105" si="59">R100/AD100*100</f>
        <v>84.174275146898083</v>
      </c>
      <c r="M100" s="5">
        <v>5</v>
      </c>
      <c r="N100" s="5" t="s">
        <v>286</v>
      </c>
      <c r="O100" s="5" t="s">
        <v>287</v>
      </c>
      <c r="P100" s="3" t="s">
        <v>174</v>
      </c>
      <c r="Q100" s="5" t="s">
        <v>34</v>
      </c>
      <c r="R100" s="4">
        <f t="shared" ref="R100:R105" si="60">S100+T100</f>
        <v>316573.06</v>
      </c>
      <c r="S100" s="9">
        <v>316573.06</v>
      </c>
      <c r="T100" s="9">
        <v>0</v>
      </c>
      <c r="U100" s="4">
        <f t="shared" si="54"/>
        <v>51997.5</v>
      </c>
      <c r="V100" s="53">
        <v>51997.5</v>
      </c>
      <c r="W100" s="53">
        <v>0</v>
      </c>
      <c r="X100" s="4">
        <f t="shared" si="55"/>
        <v>7521.85</v>
      </c>
      <c r="Y100" s="9">
        <v>7521.85</v>
      </c>
      <c r="Z100" s="9">
        <v>0</v>
      </c>
      <c r="AA100" s="9">
        <f t="shared" ref="AA100:AA105" si="61">AB100+AC100</f>
        <v>0</v>
      </c>
      <c r="AB100" s="9">
        <v>0</v>
      </c>
      <c r="AC100" s="9">
        <v>0</v>
      </c>
      <c r="AD100" s="44">
        <f t="shared" si="37"/>
        <v>376092.41</v>
      </c>
      <c r="AE100" s="9">
        <v>0</v>
      </c>
      <c r="AF100" s="9">
        <f t="shared" ref="AF100:AF105" si="62">AD100+AE100</f>
        <v>376092.41</v>
      </c>
      <c r="AG100" s="49" t="s">
        <v>966</v>
      </c>
      <c r="AH100" s="13" t="s">
        <v>151</v>
      </c>
      <c r="AI100" s="1">
        <v>249647.94000000006</v>
      </c>
      <c r="AJ100" s="1">
        <v>41012.170000000006</v>
      </c>
    </row>
    <row r="101" spans="1:36" ht="189" x14ac:dyDescent="0.25">
      <c r="A101" s="5">
        <f t="shared" si="38"/>
        <v>98</v>
      </c>
      <c r="B101" s="6">
        <v>128386</v>
      </c>
      <c r="C101" s="6">
        <v>657</v>
      </c>
      <c r="D101" s="40" t="s">
        <v>1985</v>
      </c>
      <c r="E101" s="119" t="s">
        <v>1246</v>
      </c>
      <c r="F101" s="8" t="s">
        <v>1252</v>
      </c>
      <c r="G101" s="28" t="s">
        <v>1749</v>
      </c>
      <c r="H101" s="6" t="s">
        <v>151</v>
      </c>
      <c r="I101" s="122" t="s">
        <v>1254</v>
      </c>
      <c r="J101" s="2">
        <v>43613</v>
      </c>
      <c r="K101" s="2">
        <v>44620</v>
      </c>
      <c r="L101" s="16">
        <f t="shared" si="59"/>
        <v>84.999999962468991</v>
      </c>
      <c r="M101" s="5">
        <v>5</v>
      </c>
      <c r="N101" s="5" t="s">
        <v>286</v>
      </c>
      <c r="O101" s="123" t="s">
        <v>1253</v>
      </c>
      <c r="P101" s="3" t="s">
        <v>174</v>
      </c>
      <c r="Q101" s="5" t="s">
        <v>34</v>
      </c>
      <c r="R101" s="4">
        <f t="shared" si="60"/>
        <v>3397190.5700000003</v>
      </c>
      <c r="S101" s="9">
        <v>3397190.5700000003</v>
      </c>
      <c r="T101" s="9">
        <v>0</v>
      </c>
      <c r="U101" s="4">
        <f t="shared" si="54"/>
        <v>519570.32000000007</v>
      </c>
      <c r="V101" s="53">
        <v>519570.32000000007</v>
      </c>
      <c r="W101" s="53">
        <v>0</v>
      </c>
      <c r="X101" s="4">
        <f t="shared" si="55"/>
        <v>79933.900000000009</v>
      </c>
      <c r="Y101" s="9">
        <v>79933.900000000009</v>
      </c>
      <c r="Z101" s="9">
        <v>0</v>
      </c>
      <c r="AA101" s="9">
        <f t="shared" si="61"/>
        <v>0</v>
      </c>
      <c r="AB101" s="9">
        <v>0</v>
      </c>
      <c r="AC101" s="9">
        <v>0</v>
      </c>
      <c r="AD101" s="44">
        <f t="shared" si="37"/>
        <v>3996694.7900000005</v>
      </c>
      <c r="AE101" s="9">
        <v>0</v>
      </c>
      <c r="AF101" s="9">
        <f t="shared" si="62"/>
        <v>3996694.7900000005</v>
      </c>
      <c r="AG101" s="59" t="s">
        <v>515</v>
      </c>
      <c r="AH101" s="13" t="s">
        <v>2029</v>
      </c>
      <c r="AI101" s="1">
        <f>361593.44+96748.7+399669-26609.64</f>
        <v>831401.5</v>
      </c>
      <c r="AJ101" s="1">
        <f>55302.51+14796.86+26609.64</f>
        <v>96709.01</v>
      </c>
    </row>
    <row r="102" spans="1:36" ht="130.5" customHeight="1" x14ac:dyDescent="0.25">
      <c r="A102" s="5">
        <f t="shared" si="38"/>
        <v>99</v>
      </c>
      <c r="B102" s="6">
        <v>128739</v>
      </c>
      <c r="C102" s="6">
        <v>630</v>
      </c>
      <c r="D102" s="40" t="s">
        <v>1985</v>
      </c>
      <c r="E102" s="119" t="s">
        <v>1246</v>
      </c>
      <c r="F102" s="55" t="s">
        <v>1334</v>
      </c>
      <c r="G102" s="5" t="s">
        <v>2012</v>
      </c>
      <c r="H102" s="6" t="s">
        <v>151</v>
      </c>
      <c r="I102" s="122" t="s">
        <v>1335</v>
      </c>
      <c r="J102" s="2">
        <v>43654</v>
      </c>
      <c r="K102" s="2">
        <v>44447</v>
      </c>
      <c r="L102" s="16">
        <f t="shared" si="59"/>
        <v>85.000000167824169</v>
      </c>
      <c r="M102" s="5">
        <v>5</v>
      </c>
      <c r="N102" s="5" t="s">
        <v>286</v>
      </c>
      <c r="O102" s="5" t="s">
        <v>287</v>
      </c>
      <c r="P102" s="3" t="s">
        <v>174</v>
      </c>
      <c r="Q102" s="5" t="s">
        <v>34</v>
      </c>
      <c r="R102" s="4">
        <f t="shared" si="60"/>
        <v>2532412.23</v>
      </c>
      <c r="S102" s="9">
        <v>2532412.23</v>
      </c>
      <c r="T102" s="9">
        <v>0</v>
      </c>
      <c r="U102" s="4">
        <f t="shared" si="54"/>
        <v>387310.1</v>
      </c>
      <c r="V102" s="53">
        <v>387310.1</v>
      </c>
      <c r="W102" s="53">
        <v>0</v>
      </c>
      <c r="X102" s="4">
        <f t="shared" si="55"/>
        <v>59586.17</v>
      </c>
      <c r="Y102" s="9">
        <v>59586.17</v>
      </c>
      <c r="Z102" s="9">
        <v>0</v>
      </c>
      <c r="AA102" s="9">
        <f t="shared" si="61"/>
        <v>0</v>
      </c>
      <c r="AB102" s="9">
        <v>0</v>
      </c>
      <c r="AC102" s="9">
        <v>0</v>
      </c>
      <c r="AD102" s="44">
        <f t="shared" si="37"/>
        <v>2979308.5</v>
      </c>
      <c r="AE102" s="9">
        <v>0</v>
      </c>
      <c r="AF102" s="9">
        <f t="shared" si="62"/>
        <v>2979308.5</v>
      </c>
      <c r="AG102" s="59" t="s">
        <v>515</v>
      </c>
      <c r="AH102" s="13" t="s">
        <v>151</v>
      </c>
      <c r="AI102" s="1">
        <f>61209.43-1190.67+16783.71+51674+5984.38</f>
        <v>134460.85</v>
      </c>
      <c r="AJ102" s="1">
        <f>4447.07+1190.67+6108.52+8818.34</f>
        <v>20564.599999999999</v>
      </c>
    </row>
    <row r="103" spans="1:36" ht="130.5" customHeight="1" x14ac:dyDescent="0.25">
      <c r="A103" s="5">
        <f t="shared" si="38"/>
        <v>100</v>
      </c>
      <c r="B103" s="62">
        <v>135523</v>
      </c>
      <c r="C103" s="116">
        <v>831</v>
      </c>
      <c r="D103" s="40" t="s">
        <v>1985</v>
      </c>
      <c r="E103" s="81" t="s">
        <v>1701</v>
      </c>
      <c r="F103" s="124" t="s">
        <v>1746</v>
      </c>
      <c r="G103" s="28" t="s">
        <v>1749</v>
      </c>
      <c r="H103" s="125" t="s">
        <v>1747</v>
      </c>
      <c r="I103" s="101" t="s">
        <v>1748</v>
      </c>
      <c r="J103" s="63">
        <v>43969</v>
      </c>
      <c r="K103" s="63">
        <v>44699</v>
      </c>
      <c r="L103" s="16">
        <f t="shared" si="59"/>
        <v>85.000000126847326</v>
      </c>
      <c r="M103" s="62">
        <v>5</v>
      </c>
      <c r="N103" s="62" t="s">
        <v>286</v>
      </c>
      <c r="O103" s="62" t="s">
        <v>1749</v>
      </c>
      <c r="P103" s="65" t="s">
        <v>174</v>
      </c>
      <c r="Q103" s="62" t="s">
        <v>34</v>
      </c>
      <c r="R103" s="4">
        <f t="shared" si="60"/>
        <v>3350484.53</v>
      </c>
      <c r="S103" s="66">
        <v>3350484.53</v>
      </c>
      <c r="T103" s="66">
        <v>0</v>
      </c>
      <c r="U103" s="4">
        <f t="shared" si="54"/>
        <v>512427.04</v>
      </c>
      <c r="V103" s="68">
        <v>512427.04</v>
      </c>
      <c r="W103" s="68">
        <v>0</v>
      </c>
      <c r="X103" s="4">
        <f t="shared" si="55"/>
        <v>78834.929999999993</v>
      </c>
      <c r="Y103" s="66">
        <v>78834.929999999993</v>
      </c>
      <c r="Z103" s="66">
        <v>0</v>
      </c>
      <c r="AA103" s="9">
        <f t="shared" si="61"/>
        <v>0</v>
      </c>
      <c r="AB103" s="9">
        <v>0</v>
      </c>
      <c r="AC103" s="9">
        <v>0</v>
      </c>
      <c r="AD103" s="44">
        <f t="shared" si="37"/>
        <v>3941746.5</v>
      </c>
      <c r="AE103" s="9">
        <v>0</v>
      </c>
      <c r="AF103" s="9">
        <f t="shared" si="62"/>
        <v>3941746.5</v>
      </c>
      <c r="AG103" s="59" t="s">
        <v>515</v>
      </c>
      <c r="AH103" s="13" t="s">
        <v>151</v>
      </c>
      <c r="AI103" s="1">
        <f>226408.43-15004.21+54632.06+92434.65+226408.43</f>
        <v>584879.3600000001</v>
      </c>
      <c r="AJ103" s="1">
        <f>15004.21+39820.75</f>
        <v>54824.959999999999</v>
      </c>
    </row>
    <row r="104" spans="1:36" ht="130.5" customHeight="1" x14ac:dyDescent="0.25">
      <c r="A104" s="5">
        <f t="shared" si="38"/>
        <v>101</v>
      </c>
      <c r="B104" s="62">
        <v>136349</v>
      </c>
      <c r="C104" s="116">
        <v>834</v>
      </c>
      <c r="D104" s="40" t="s">
        <v>1985</v>
      </c>
      <c r="E104" s="81" t="s">
        <v>1701</v>
      </c>
      <c r="F104" s="124" t="s">
        <v>1764</v>
      </c>
      <c r="G104" s="5" t="s">
        <v>2012</v>
      </c>
      <c r="H104" s="6" t="s">
        <v>151</v>
      </c>
      <c r="I104" s="101" t="s">
        <v>1765</v>
      </c>
      <c r="J104" s="63">
        <v>43969</v>
      </c>
      <c r="K104" s="63">
        <v>44883</v>
      </c>
      <c r="L104" s="16">
        <f t="shared" si="59"/>
        <v>85</v>
      </c>
      <c r="M104" s="62">
        <v>5</v>
      </c>
      <c r="N104" s="62" t="s">
        <v>286</v>
      </c>
      <c r="O104" s="5" t="s">
        <v>287</v>
      </c>
      <c r="P104" s="65" t="s">
        <v>174</v>
      </c>
      <c r="Q104" s="62" t="s">
        <v>34</v>
      </c>
      <c r="R104" s="4">
        <f t="shared" si="60"/>
        <v>2447700.7999999998</v>
      </c>
      <c r="S104" s="66">
        <v>2447700.7999999998</v>
      </c>
      <c r="T104" s="66">
        <v>0</v>
      </c>
      <c r="U104" s="4">
        <f>V104+W104</f>
        <v>374354.24</v>
      </c>
      <c r="V104" s="68">
        <v>374354.24</v>
      </c>
      <c r="W104" s="68">
        <v>0</v>
      </c>
      <c r="X104" s="4">
        <f t="shared" si="55"/>
        <v>57592.959999999999</v>
      </c>
      <c r="Y104" s="66">
        <v>57592.959999999999</v>
      </c>
      <c r="Z104" s="66">
        <v>0</v>
      </c>
      <c r="AA104" s="9">
        <f t="shared" si="61"/>
        <v>0</v>
      </c>
      <c r="AB104" s="9">
        <v>0</v>
      </c>
      <c r="AC104" s="9">
        <v>0</v>
      </c>
      <c r="AD104" s="44">
        <f t="shared" si="37"/>
        <v>2879648</v>
      </c>
      <c r="AE104" s="9">
        <v>0</v>
      </c>
      <c r="AF104" s="9">
        <f t="shared" si="62"/>
        <v>2879648</v>
      </c>
      <c r="AG104" s="59" t="s">
        <v>515</v>
      </c>
      <c r="AH104" s="13" t="s">
        <v>151</v>
      </c>
      <c r="AI104" s="1">
        <f>85000+81913.12</f>
        <v>166913.12</v>
      </c>
      <c r="AJ104" s="1">
        <v>16086.88</v>
      </c>
    </row>
    <row r="105" spans="1:36" ht="130.5" customHeight="1" x14ac:dyDescent="0.25">
      <c r="A105" s="5">
        <f t="shared" si="38"/>
        <v>102</v>
      </c>
      <c r="B105" s="62">
        <v>135786</v>
      </c>
      <c r="C105" s="116">
        <v>818</v>
      </c>
      <c r="D105" s="40" t="s">
        <v>1985</v>
      </c>
      <c r="E105" s="81" t="s">
        <v>1701</v>
      </c>
      <c r="F105" s="124" t="s">
        <v>1915</v>
      </c>
      <c r="G105" s="15" t="s">
        <v>1914</v>
      </c>
      <c r="H105" s="6" t="s">
        <v>151</v>
      </c>
      <c r="I105" s="101" t="s">
        <v>1916</v>
      </c>
      <c r="J105" s="63">
        <v>44035</v>
      </c>
      <c r="K105" s="63">
        <v>44765</v>
      </c>
      <c r="L105" s="16">
        <f t="shared" si="59"/>
        <v>84.999999898090948</v>
      </c>
      <c r="M105" s="62">
        <v>5</v>
      </c>
      <c r="N105" s="62" t="s">
        <v>286</v>
      </c>
      <c r="O105" s="5" t="s">
        <v>287</v>
      </c>
      <c r="P105" s="65" t="s">
        <v>174</v>
      </c>
      <c r="Q105" s="62" t="s">
        <v>34</v>
      </c>
      <c r="R105" s="4">
        <f t="shared" si="60"/>
        <v>2502231</v>
      </c>
      <c r="S105" s="66">
        <v>2502231</v>
      </c>
      <c r="T105" s="66">
        <v>0</v>
      </c>
      <c r="U105" s="4">
        <f>V105+W105</f>
        <v>382694.15</v>
      </c>
      <c r="V105" s="68">
        <v>382694.15</v>
      </c>
      <c r="W105" s="68">
        <v>0</v>
      </c>
      <c r="X105" s="4">
        <f t="shared" si="55"/>
        <v>58876.03</v>
      </c>
      <c r="Y105" s="66">
        <v>58876.03</v>
      </c>
      <c r="Z105" s="66">
        <v>0</v>
      </c>
      <c r="AA105" s="9">
        <f t="shared" si="61"/>
        <v>0</v>
      </c>
      <c r="AB105" s="9">
        <v>0</v>
      </c>
      <c r="AC105" s="9">
        <v>0</v>
      </c>
      <c r="AD105" s="44">
        <f t="shared" si="37"/>
        <v>2943801.1799999997</v>
      </c>
      <c r="AE105" s="9">
        <v>0</v>
      </c>
      <c r="AF105" s="9">
        <f t="shared" si="62"/>
        <v>2943801.1799999997</v>
      </c>
      <c r="AG105" s="59" t="s">
        <v>515</v>
      </c>
      <c r="AH105" s="13" t="s">
        <v>151</v>
      </c>
      <c r="AI105" s="1">
        <v>155929.74</v>
      </c>
      <c r="AJ105" s="1">
        <v>23848.080000000002</v>
      </c>
    </row>
    <row r="106" spans="1:36" ht="220.5" x14ac:dyDescent="0.25">
      <c r="A106" s="5">
        <f t="shared" si="38"/>
        <v>103</v>
      </c>
      <c r="B106" s="15">
        <v>120583</v>
      </c>
      <c r="C106" s="6">
        <v>77</v>
      </c>
      <c r="D106" s="40" t="s">
        <v>1985</v>
      </c>
      <c r="E106" s="17" t="s">
        <v>278</v>
      </c>
      <c r="F106" s="8" t="s">
        <v>176</v>
      </c>
      <c r="G106" s="5" t="s">
        <v>1084</v>
      </c>
      <c r="H106" s="5" t="s">
        <v>151</v>
      </c>
      <c r="I106" s="74" t="s">
        <v>180</v>
      </c>
      <c r="J106" s="2">
        <v>43126</v>
      </c>
      <c r="K106" s="2">
        <v>43369</v>
      </c>
      <c r="L106" s="16">
        <f t="shared" ref="L106:L117" si="63">R106/AD106*100</f>
        <v>84.999999763641128</v>
      </c>
      <c r="M106" s="5">
        <v>6</v>
      </c>
      <c r="N106" s="5" t="s">
        <v>182</v>
      </c>
      <c r="O106" s="5" t="s">
        <v>183</v>
      </c>
      <c r="P106" s="3" t="s">
        <v>174</v>
      </c>
      <c r="Q106" s="5" t="s">
        <v>34</v>
      </c>
      <c r="R106" s="4">
        <f t="shared" ref="R106:R117" si="64">S106+T106</f>
        <v>359622.64</v>
      </c>
      <c r="S106" s="9">
        <v>359622.64</v>
      </c>
      <c r="T106" s="9">
        <v>0</v>
      </c>
      <c r="U106" s="4">
        <f t="shared" ref="U106:U117" si="65">V106+W106</f>
        <v>55001.11</v>
      </c>
      <c r="V106" s="53">
        <v>55001.11</v>
      </c>
      <c r="W106" s="53">
        <v>0</v>
      </c>
      <c r="X106" s="4">
        <f t="shared" ref="X106:X117" si="66">Y106+Z106</f>
        <v>8461.7099999999991</v>
      </c>
      <c r="Y106" s="9">
        <v>8461.7099999999991</v>
      </c>
      <c r="Z106" s="9">
        <v>0</v>
      </c>
      <c r="AA106" s="9">
        <f t="shared" ref="AA106:AA117" si="67">AB106+AC106</f>
        <v>0</v>
      </c>
      <c r="AB106" s="9">
        <v>0</v>
      </c>
      <c r="AC106" s="9">
        <v>0</v>
      </c>
      <c r="AD106" s="44">
        <f t="shared" si="37"/>
        <v>423085.46</v>
      </c>
      <c r="AE106" s="9">
        <v>0</v>
      </c>
      <c r="AF106" s="9">
        <f t="shared" ref="AF106:AF117" si="68">AD106+AE106</f>
        <v>423085.46</v>
      </c>
      <c r="AG106" s="49" t="s">
        <v>966</v>
      </c>
      <c r="AH106" s="13" t="s">
        <v>151</v>
      </c>
      <c r="AI106" s="1">
        <v>300081.25</v>
      </c>
      <c r="AJ106" s="1">
        <v>45894.78</v>
      </c>
    </row>
    <row r="107" spans="1:36" ht="141.75" x14ac:dyDescent="0.25">
      <c r="A107" s="5">
        <f t="shared" si="38"/>
        <v>104</v>
      </c>
      <c r="B107" s="15">
        <v>110080</v>
      </c>
      <c r="C107" s="6">
        <v>118</v>
      </c>
      <c r="D107" s="40" t="s">
        <v>1985</v>
      </c>
      <c r="E107" s="17" t="s">
        <v>278</v>
      </c>
      <c r="F107" s="8" t="s">
        <v>257</v>
      </c>
      <c r="G107" s="5" t="s">
        <v>258</v>
      </c>
      <c r="H107" s="5" t="s">
        <v>151</v>
      </c>
      <c r="I107" s="41" t="s">
        <v>259</v>
      </c>
      <c r="J107" s="2">
        <v>43171</v>
      </c>
      <c r="K107" s="2">
        <v>43658</v>
      </c>
      <c r="L107" s="16">
        <f t="shared" si="63"/>
        <v>84.9999996799977</v>
      </c>
      <c r="M107" s="5">
        <v>6</v>
      </c>
      <c r="N107" s="5" t="s">
        <v>182</v>
      </c>
      <c r="O107" s="5" t="s">
        <v>406</v>
      </c>
      <c r="P107" s="3" t="s">
        <v>174</v>
      </c>
      <c r="Q107" s="5" t="s">
        <v>34</v>
      </c>
      <c r="R107" s="4">
        <f t="shared" si="64"/>
        <v>531246.18999999994</v>
      </c>
      <c r="S107" s="9">
        <v>531246.18999999994</v>
      </c>
      <c r="T107" s="9">
        <v>0</v>
      </c>
      <c r="U107" s="4">
        <f t="shared" si="65"/>
        <v>81249.41</v>
      </c>
      <c r="V107" s="53">
        <v>81249.41</v>
      </c>
      <c r="W107" s="53">
        <v>0</v>
      </c>
      <c r="X107" s="4">
        <f t="shared" si="66"/>
        <v>12499.92</v>
      </c>
      <c r="Y107" s="9">
        <v>12499.92</v>
      </c>
      <c r="Z107" s="9">
        <v>0</v>
      </c>
      <c r="AA107" s="9">
        <f t="shared" si="67"/>
        <v>0</v>
      </c>
      <c r="AB107" s="9">
        <v>0</v>
      </c>
      <c r="AC107" s="9">
        <v>0</v>
      </c>
      <c r="AD107" s="44">
        <f t="shared" si="37"/>
        <v>624995.52</v>
      </c>
      <c r="AE107" s="9">
        <v>0</v>
      </c>
      <c r="AF107" s="9">
        <f t="shared" si="68"/>
        <v>624995.52</v>
      </c>
      <c r="AG107" s="49" t="s">
        <v>966</v>
      </c>
      <c r="AH107" s="13" t="s">
        <v>151</v>
      </c>
      <c r="AI107" s="1">
        <v>425198.5</v>
      </c>
      <c r="AJ107" s="1">
        <v>65030.360000000015</v>
      </c>
    </row>
    <row r="108" spans="1:36" ht="204.75" x14ac:dyDescent="0.25">
      <c r="A108" s="5">
        <f t="shared" si="38"/>
        <v>105</v>
      </c>
      <c r="B108" s="15">
        <v>120588</v>
      </c>
      <c r="C108" s="5">
        <v>104</v>
      </c>
      <c r="D108" s="40" t="s">
        <v>1985</v>
      </c>
      <c r="E108" s="17" t="s">
        <v>278</v>
      </c>
      <c r="F108" s="8" t="s">
        <v>329</v>
      </c>
      <c r="G108" s="5" t="s">
        <v>2004</v>
      </c>
      <c r="H108" s="5" t="s">
        <v>151</v>
      </c>
      <c r="I108" s="41" t="s">
        <v>330</v>
      </c>
      <c r="J108" s="2">
        <v>43201</v>
      </c>
      <c r="K108" s="2">
        <v>43749</v>
      </c>
      <c r="L108" s="16">
        <f t="shared" si="63"/>
        <v>85.000000000000014</v>
      </c>
      <c r="M108" s="5">
        <v>6</v>
      </c>
      <c r="N108" s="5" t="s">
        <v>182</v>
      </c>
      <c r="O108" s="5" t="s">
        <v>406</v>
      </c>
      <c r="P108" s="3" t="s">
        <v>174</v>
      </c>
      <c r="Q108" s="5" t="s">
        <v>34</v>
      </c>
      <c r="R108" s="4">
        <f t="shared" si="64"/>
        <v>354701.26</v>
      </c>
      <c r="S108" s="9">
        <v>354701.26</v>
      </c>
      <c r="T108" s="9">
        <v>0</v>
      </c>
      <c r="U108" s="4">
        <f t="shared" si="65"/>
        <v>54248.43</v>
      </c>
      <c r="V108" s="53">
        <v>54248.43</v>
      </c>
      <c r="W108" s="53">
        <v>0</v>
      </c>
      <c r="X108" s="4">
        <f t="shared" si="66"/>
        <v>8345.91</v>
      </c>
      <c r="Y108" s="9">
        <v>8345.91</v>
      </c>
      <c r="Z108" s="9">
        <v>0</v>
      </c>
      <c r="AA108" s="9">
        <f t="shared" si="67"/>
        <v>0</v>
      </c>
      <c r="AB108" s="9">
        <v>0</v>
      </c>
      <c r="AC108" s="9">
        <v>0</v>
      </c>
      <c r="AD108" s="44">
        <f t="shared" si="37"/>
        <v>417295.6</v>
      </c>
      <c r="AE108" s="9">
        <v>0</v>
      </c>
      <c r="AF108" s="9">
        <f t="shared" si="68"/>
        <v>417295.6</v>
      </c>
      <c r="AG108" s="49" t="s">
        <v>966</v>
      </c>
      <c r="AH108" s="13" t="s">
        <v>1215</v>
      </c>
      <c r="AI108" s="1">
        <v>329554.89999999997</v>
      </c>
      <c r="AJ108" s="1">
        <v>50402.509999999987</v>
      </c>
    </row>
    <row r="109" spans="1:36" ht="207" customHeight="1" x14ac:dyDescent="0.25">
      <c r="A109" s="5">
        <f t="shared" si="38"/>
        <v>106</v>
      </c>
      <c r="B109" s="15">
        <v>126485</v>
      </c>
      <c r="C109" s="5">
        <v>546</v>
      </c>
      <c r="D109" s="40" t="s">
        <v>1985</v>
      </c>
      <c r="E109" s="17" t="s">
        <v>1018</v>
      </c>
      <c r="F109" s="8" t="s">
        <v>1086</v>
      </c>
      <c r="G109" s="5" t="s">
        <v>1084</v>
      </c>
      <c r="H109" s="5" t="s">
        <v>151</v>
      </c>
      <c r="I109" s="41" t="s">
        <v>1085</v>
      </c>
      <c r="J109" s="2">
        <v>43455</v>
      </c>
      <c r="K109" s="2">
        <v>44398</v>
      </c>
      <c r="L109" s="16">
        <f t="shared" si="63"/>
        <v>85</v>
      </c>
      <c r="M109" s="5">
        <v>6</v>
      </c>
      <c r="N109" s="5" t="s">
        <v>182</v>
      </c>
      <c r="O109" s="5" t="s">
        <v>183</v>
      </c>
      <c r="P109" s="3" t="s">
        <v>174</v>
      </c>
      <c r="Q109" s="5" t="s">
        <v>34</v>
      </c>
      <c r="R109" s="4">
        <f t="shared" si="64"/>
        <v>3257796.87</v>
      </c>
      <c r="S109" s="9">
        <v>3257796.87</v>
      </c>
      <c r="T109" s="9">
        <v>0</v>
      </c>
      <c r="U109" s="4">
        <f t="shared" si="65"/>
        <v>498251.29</v>
      </c>
      <c r="V109" s="53">
        <v>498251.29</v>
      </c>
      <c r="W109" s="53">
        <v>0</v>
      </c>
      <c r="X109" s="4">
        <f t="shared" si="66"/>
        <v>76654.039999999994</v>
      </c>
      <c r="Y109" s="9">
        <v>76654.039999999994</v>
      </c>
      <c r="Z109" s="9">
        <v>0</v>
      </c>
      <c r="AA109" s="9">
        <f t="shared" si="67"/>
        <v>0</v>
      </c>
      <c r="AB109" s="9">
        <v>0</v>
      </c>
      <c r="AC109" s="9">
        <v>0</v>
      </c>
      <c r="AD109" s="44">
        <f t="shared" si="37"/>
        <v>3832702.2</v>
      </c>
      <c r="AE109" s="9"/>
      <c r="AF109" s="9">
        <f t="shared" si="68"/>
        <v>3832702.2</v>
      </c>
      <c r="AG109" s="59" t="s">
        <v>515</v>
      </c>
      <c r="AH109" s="13" t="s">
        <v>2162</v>
      </c>
      <c r="AI109" s="1">
        <f>526834.95+248284.81+380000+318918.04+380000-24455.26</f>
        <v>1829582.54</v>
      </c>
      <c r="AJ109" s="1">
        <f>80574.74+37972.97+106893.35+24455.26</f>
        <v>249896.32000000001</v>
      </c>
    </row>
    <row r="110" spans="1:36" ht="240.75" customHeight="1" x14ac:dyDescent="0.25">
      <c r="A110" s="5">
        <f t="shared" si="38"/>
        <v>107</v>
      </c>
      <c r="B110" s="15">
        <v>126214</v>
      </c>
      <c r="C110" s="6">
        <v>527</v>
      </c>
      <c r="D110" s="40" t="s">
        <v>1985</v>
      </c>
      <c r="E110" s="17" t="s">
        <v>1018</v>
      </c>
      <c r="F110" s="8" t="s">
        <v>1121</v>
      </c>
      <c r="G110" s="5" t="s">
        <v>2005</v>
      </c>
      <c r="H110" s="5" t="s">
        <v>151</v>
      </c>
      <c r="I110" s="41" t="s">
        <v>1122</v>
      </c>
      <c r="J110" s="2">
        <v>43507</v>
      </c>
      <c r="K110" s="2">
        <v>44815</v>
      </c>
      <c r="L110" s="16">
        <f t="shared" si="63"/>
        <v>85.000000000000014</v>
      </c>
      <c r="M110" s="5">
        <v>6</v>
      </c>
      <c r="N110" s="5" t="s">
        <v>182</v>
      </c>
      <c r="O110" s="5" t="s">
        <v>406</v>
      </c>
      <c r="P110" s="3" t="s">
        <v>174</v>
      </c>
      <c r="Q110" s="5" t="s">
        <v>34</v>
      </c>
      <c r="R110" s="4">
        <f t="shared" si="64"/>
        <v>3316506.2</v>
      </c>
      <c r="S110" s="9">
        <v>3316506.2</v>
      </c>
      <c r="T110" s="9">
        <v>0</v>
      </c>
      <c r="U110" s="4">
        <f t="shared" si="65"/>
        <v>507230.36</v>
      </c>
      <c r="V110" s="53">
        <v>507230.36</v>
      </c>
      <c r="W110" s="53">
        <v>0</v>
      </c>
      <c r="X110" s="4">
        <f t="shared" si="66"/>
        <v>78035.44</v>
      </c>
      <c r="Y110" s="9">
        <v>78035.44</v>
      </c>
      <c r="Z110" s="9">
        <v>0</v>
      </c>
      <c r="AA110" s="9">
        <f t="shared" si="67"/>
        <v>0</v>
      </c>
      <c r="AB110" s="9">
        <v>0</v>
      </c>
      <c r="AC110" s="9">
        <v>0</v>
      </c>
      <c r="AD110" s="44">
        <f t="shared" si="37"/>
        <v>3901772</v>
      </c>
      <c r="AE110" s="9">
        <v>0</v>
      </c>
      <c r="AF110" s="9">
        <f t="shared" si="68"/>
        <v>3901772</v>
      </c>
      <c r="AG110" s="59" t="s">
        <v>515</v>
      </c>
      <c r="AH110" s="13" t="s">
        <v>2206</v>
      </c>
      <c r="AI110" s="1">
        <f>369954.38+411573.28</f>
        <v>781527.66</v>
      </c>
      <c r="AJ110" s="1">
        <f>56581.26+62946.51</f>
        <v>119527.77</v>
      </c>
    </row>
    <row r="111" spans="1:36" ht="240.75" customHeight="1" x14ac:dyDescent="0.25">
      <c r="A111" s="5">
        <f t="shared" si="38"/>
        <v>108</v>
      </c>
      <c r="B111" s="5">
        <v>128473</v>
      </c>
      <c r="C111" s="6">
        <v>629</v>
      </c>
      <c r="D111" s="40" t="s">
        <v>1985</v>
      </c>
      <c r="E111" s="88" t="s">
        <v>1246</v>
      </c>
      <c r="F111" s="8" t="s">
        <v>1310</v>
      </c>
      <c r="G111" s="5" t="s">
        <v>2004</v>
      </c>
      <c r="H111" s="5" t="s">
        <v>362</v>
      </c>
      <c r="I111" s="41" t="s">
        <v>1311</v>
      </c>
      <c r="J111" s="2">
        <v>43640</v>
      </c>
      <c r="K111" s="2">
        <v>44554</v>
      </c>
      <c r="L111" s="16">
        <f t="shared" si="63"/>
        <v>85</v>
      </c>
      <c r="M111" s="5">
        <v>6</v>
      </c>
      <c r="N111" s="5" t="s">
        <v>182</v>
      </c>
      <c r="O111" s="5" t="s">
        <v>406</v>
      </c>
      <c r="P111" s="3" t="s">
        <v>174</v>
      </c>
      <c r="Q111" s="5" t="s">
        <v>34</v>
      </c>
      <c r="R111" s="4">
        <f t="shared" si="64"/>
        <v>2773068.05</v>
      </c>
      <c r="S111" s="9">
        <v>2773068.05</v>
      </c>
      <c r="T111" s="9">
        <v>0</v>
      </c>
      <c r="U111" s="4">
        <f t="shared" si="65"/>
        <v>424116.29</v>
      </c>
      <c r="V111" s="53">
        <v>424116.29</v>
      </c>
      <c r="W111" s="53">
        <v>0</v>
      </c>
      <c r="X111" s="4">
        <f t="shared" si="66"/>
        <v>65248.66</v>
      </c>
      <c r="Y111" s="9">
        <v>65248.66</v>
      </c>
      <c r="Z111" s="9">
        <v>0</v>
      </c>
      <c r="AA111" s="9">
        <f t="shared" si="67"/>
        <v>0</v>
      </c>
      <c r="AB111" s="9">
        <v>0</v>
      </c>
      <c r="AC111" s="9">
        <v>0</v>
      </c>
      <c r="AD111" s="44">
        <f t="shared" si="37"/>
        <v>3262433</v>
      </c>
      <c r="AE111" s="9">
        <v>102340</v>
      </c>
      <c r="AF111" s="9">
        <f t="shared" si="68"/>
        <v>3364773</v>
      </c>
      <c r="AG111" s="59" t="s">
        <v>515</v>
      </c>
      <c r="AH111" s="13"/>
      <c r="AI111" s="1">
        <f>219757.88+193444.4</f>
        <v>413202.28</v>
      </c>
      <c r="AJ111" s="1">
        <f>33610.02+29585.59</f>
        <v>63195.61</v>
      </c>
    </row>
    <row r="112" spans="1:36" ht="409.6" customHeight="1" x14ac:dyDescent="0.25">
      <c r="A112" s="5">
        <f t="shared" si="38"/>
        <v>109</v>
      </c>
      <c r="B112" s="5">
        <v>129268</v>
      </c>
      <c r="C112" s="126">
        <v>655</v>
      </c>
      <c r="D112" s="40" t="s">
        <v>1985</v>
      </c>
      <c r="E112" s="88" t="s">
        <v>1246</v>
      </c>
      <c r="F112" s="8" t="s">
        <v>1300</v>
      </c>
      <c r="G112" s="5" t="s">
        <v>1348</v>
      </c>
      <c r="H112" s="5" t="s">
        <v>151</v>
      </c>
      <c r="I112" s="41" t="s">
        <v>1301</v>
      </c>
      <c r="J112" s="2">
        <v>43634</v>
      </c>
      <c r="K112" s="2">
        <v>44214</v>
      </c>
      <c r="L112" s="16">
        <f t="shared" si="63"/>
        <v>84.999999999999986</v>
      </c>
      <c r="M112" s="5">
        <v>5</v>
      </c>
      <c r="N112" s="5" t="s">
        <v>182</v>
      </c>
      <c r="O112" s="5" t="s">
        <v>1302</v>
      </c>
      <c r="P112" s="3" t="str">
        <f>P110</f>
        <v>APL</v>
      </c>
      <c r="Q112" s="5" t="str">
        <f>Q110</f>
        <v>119 - Investiții în capacitatea instituțională și în eficiența administrațiilor și a serviciilor publice la nivel național, regional și local, în perspectiva realizării de reforme, a unei mai bune legiferări și a bunei guvernanțe</v>
      </c>
      <c r="R112" s="4">
        <f t="shared" si="64"/>
        <v>1962765.6</v>
      </c>
      <c r="S112" s="9">
        <v>1962765.6</v>
      </c>
      <c r="T112" s="9">
        <v>0</v>
      </c>
      <c r="U112" s="4">
        <f t="shared" si="65"/>
        <v>300187.68</v>
      </c>
      <c r="V112" s="53">
        <v>300187.68</v>
      </c>
      <c r="W112" s="53">
        <v>0</v>
      </c>
      <c r="X112" s="4">
        <f t="shared" si="66"/>
        <v>46182.720000000001</v>
      </c>
      <c r="Y112" s="9">
        <v>46182.720000000001</v>
      </c>
      <c r="Z112" s="9">
        <v>0</v>
      </c>
      <c r="AA112" s="9">
        <f t="shared" si="67"/>
        <v>0</v>
      </c>
      <c r="AB112" s="9">
        <v>0</v>
      </c>
      <c r="AC112" s="9">
        <v>0</v>
      </c>
      <c r="AD112" s="44">
        <f t="shared" si="37"/>
        <v>2309136.0000000005</v>
      </c>
      <c r="AE112" s="9">
        <v>0</v>
      </c>
      <c r="AF112" s="9">
        <f t="shared" si="68"/>
        <v>2309136.0000000005</v>
      </c>
      <c r="AG112" s="59" t="s">
        <v>966</v>
      </c>
      <c r="AH112" s="13" t="s">
        <v>151</v>
      </c>
      <c r="AI112" s="1">
        <f>72304.61+19204.05+710933.79+92672.62+673975.2+37295.79+12775.25</f>
        <v>1619161.31</v>
      </c>
      <c r="AJ112" s="1">
        <f>3424.24+3817.06+3817.06+2937.09+108731.04+14173.46+103078.56+5704.06+1953.86</f>
        <v>247636.42999999996</v>
      </c>
    </row>
    <row r="113" spans="1:36" ht="220.5" x14ac:dyDescent="0.25">
      <c r="A113" s="5">
        <f t="shared" si="38"/>
        <v>110</v>
      </c>
      <c r="B113" s="5">
        <v>135879</v>
      </c>
      <c r="C113" s="126">
        <v>774</v>
      </c>
      <c r="D113" s="40" t="s">
        <v>1985</v>
      </c>
      <c r="E113" s="81" t="s">
        <v>1701</v>
      </c>
      <c r="F113" s="8" t="s">
        <v>1778</v>
      </c>
      <c r="G113" s="15" t="s">
        <v>1348</v>
      </c>
      <c r="H113" s="5" t="s">
        <v>151</v>
      </c>
      <c r="I113" s="41" t="s">
        <v>1779</v>
      </c>
      <c r="J113" s="2">
        <v>43969</v>
      </c>
      <c r="K113" s="2">
        <v>44699</v>
      </c>
      <c r="L113" s="16">
        <f t="shared" si="63"/>
        <v>85.000000000000014</v>
      </c>
      <c r="M113" s="5">
        <v>5</v>
      </c>
      <c r="N113" s="5" t="s">
        <v>182</v>
      </c>
      <c r="O113" s="5" t="s">
        <v>1302</v>
      </c>
      <c r="P113" s="65" t="s">
        <v>174</v>
      </c>
      <c r="Q113" s="62" t="s">
        <v>34</v>
      </c>
      <c r="R113" s="4">
        <f t="shared" si="64"/>
        <v>528564.85</v>
      </c>
      <c r="S113" s="9">
        <v>528564.85</v>
      </c>
      <c r="T113" s="9">
        <v>0</v>
      </c>
      <c r="U113" s="4">
        <f t="shared" si="65"/>
        <v>80839.33</v>
      </c>
      <c r="V113" s="53">
        <v>80839.33</v>
      </c>
      <c r="W113" s="53">
        <v>0</v>
      </c>
      <c r="X113" s="4">
        <f t="shared" si="66"/>
        <v>12436.82</v>
      </c>
      <c r="Y113" s="9">
        <v>12436.82</v>
      </c>
      <c r="Z113" s="9">
        <v>0</v>
      </c>
      <c r="AA113" s="9">
        <f t="shared" si="67"/>
        <v>0</v>
      </c>
      <c r="AB113" s="9">
        <v>0</v>
      </c>
      <c r="AC113" s="9">
        <v>0</v>
      </c>
      <c r="AD113" s="44">
        <f t="shared" si="37"/>
        <v>621840.99999999988</v>
      </c>
      <c r="AE113" s="9">
        <v>75327</v>
      </c>
      <c r="AF113" s="9">
        <f t="shared" si="68"/>
        <v>697167.99999999988</v>
      </c>
      <c r="AG113" s="59" t="s">
        <v>515</v>
      </c>
      <c r="AH113" s="13" t="s">
        <v>151</v>
      </c>
      <c r="AI113" s="1">
        <f>12254.02+11395.1+30554.27</f>
        <v>54203.39</v>
      </c>
      <c r="AJ113" s="1">
        <f>1874.15+1742.78+4673.01</f>
        <v>8289.94</v>
      </c>
    </row>
    <row r="114" spans="1:36" ht="204.75" x14ac:dyDescent="0.25">
      <c r="A114" s="5">
        <f t="shared" si="38"/>
        <v>111</v>
      </c>
      <c r="B114" s="5">
        <v>136177</v>
      </c>
      <c r="C114" s="126">
        <v>819</v>
      </c>
      <c r="D114" s="40" t="s">
        <v>1985</v>
      </c>
      <c r="E114" s="81" t="s">
        <v>1701</v>
      </c>
      <c r="F114" s="8" t="s">
        <v>1828</v>
      </c>
      <c r="G114" s="15" t="s">
        <v>1829</v>
      </c>
      <c r="H114" s="5" t="s">
        <v>151</v>
      </c>
      <c r="I114" s="41" t="s">
        <v>1831</v>
      </c>
      <c r="J114" s="2">
        <v>43998</v>
      </c>
      <c r="K114" s="2">
        <v>44728</v>
      </c>
      <c r="L114" s="16">
        <f t="shared" si="63"/>
        <v>85</v>
      </c>
      <c r="M114" s="5">
        <v>5</v>
      </c>
      <c r="N114" s="5" t="s">
        <v>182</v>
      </c>
      <c r="O114" s="5" t="s">
        <v>1830</v>
      </c>
      <c r="P114" s="65" t="s">
        <v>174</v>
      </c>
      <c r="Q114" s="62" t="s">
        <v>34</v>
      </c>
      <c r="R114" s="4">
        <f t="shared" si="64"/>
        <v>2537310.1800000002</v>
      </c>
      <c r="S114" s="9">
        <v>2537310.1800000002</v>
      </c>
      <c r="T114" s="9">
        <v>0</v>
      </c>
      <c r="U114" s="4">
        <f t="shared" si="65"/>
        <v>388059.2</v>
      </c>
      <c r="V114" s="53">
        <v>388059.2</v>
      </c>
      <c r="W114" s="53">
        <v>0</v>
      </c>
      <c r="X114" s="4">
        <f t="shared" si="66"/>
        <v>59701.42</v>
      </c>
      <c r="Y114" s="9">
        <v>59701.42</v>
      </c>
      <c r="Z114" s="9">
        <v>0</v>
      </c>
      <c r="AA114" s="9">
        <f t="shared" si="67"/>
        <v>0</v>
      </c>
      <c r="AB114" s="9">
        <v>0</v>
      </c>
      <c r="AC114" s="9">
        <v>0</v>
      </c>
      <c r="AD114" s="44">
        <f t="shared" si="37"/>
        <v>2985070.8000000003</v>
      </c>
      <c r="AE114" s="9">
        <v>0</v>
      </c>
      <c r="AF114" s="9">
        <f t="shared" si="68"/>
        <v>2985070.8000000003</v>
      </c>
      <c r="AG114" s="59" t="s">
        <v>515</v>
      </c>
      <c r="AH114" s="13" t="s">
        <v>151</v>
      </c>
      <c r="AI114" s="1">
        <f>33929.88+132830.35</f>
        <v>166760.23000000001</v>
      </c>
      <c r="AJ114" s="1">
        <f>5189.27+20315.23</f>
        <v>25504.5</v>
      </c>
    </row>
    <row r="115" spans="1:36" ht="267.75" x14ac:dyDescent="0.25">
      <c r="A115" s="5">
        <f t="shared" si="38"/>
        <v>112</v>
      </c>
      <c r="B115" s="5">
        <v>135941</v>
      </c>
      <c r="C115" s="126">
        <v>775</v>
      </c>
      <c r="D115" s="40" t="s">
        <v>1985</v>
      </c>
      <c r="E115" s="81" t="s">
        <v>1701</v>
      </c>
      <c r="F115" s="8" t="s">
        <v>1865</v>
      </c>
      <c r="G115" s="15" t="s">
        <v>1866</v>
      </c>
      <c r="H115" s="5" t="s">
        <v>151</v>
      </c>
      <c r="I115" s="41" t="s">
        <v>1867</v>
      </c>
      <c r="J115" s="2">
        <v>44014</v>
      </c>
      <c r="K115" s="2">
        <v>44594</v>
      </c>
      <c r="L115" s="16">
        <f t="shared" si="63"/>
        <v>85.000000048627584</v>
      </c>
      <c r="M115" s="5">
        <v>5</v>
      </c>
      <c r="N115" s="5" t="s">
        <v>182</v>
      </c>
      <c r="O115" s="5" t="s">
        <v>1868</v>
      </c>
      <c r="P115" s="65" t="s">
        <v>174</v>
      </c>
      <c r="Q115" s="62" t="s">
        <v>34</v>
      </c>
      <c r="R115" s="4">
        <f t="shared" si="64"/>
        <v>2621969</v>
      </c>
      <c r="S115" s="9">
        <v>2621969</v>
      </c>
      <c r="T115" s="9">
        <v>0</v>
      </c>
      <c r="U115" s="4">
        <f t="shared" si="65"/>
        <v>401007.02</v>
      </c>
      <c r="V115" s="53">
        <v>401007.02</v>
      </c>
      <c r="W115" s="53">
        <v>0</v>
      </c>
      <c r="X115" s="4">
        <f t="shared" si="66"/>
        <v>61693.39</v>
      </c>
      <c r="Y115" s="9">
        <v>61693.39</v>
      </c>
      <c r="Z115" s="9">
        <v>0</v>
      </c>
      <c r="AA115" s="9">
        <f t="shared" si="67"/>
        <v>0</v>
      </c>
      <c r="AB115" s="9">
        <v>0</v>
      </c>
      <c r="AC115" s="9">
        <v>0</v>
      </c>
      <c r="AD115" s="44">
        <f t="shared" si="37"/>
        <v>3084669.41</v>
      </c>
      <c r="AE115" s="9">
        <v>0</v>
      </c>
      <c r="AF115" s="9">
        <f t="shared" si="68"/>
        <v>3084669.41</v>
      </c>
      <c r="AG115" s="59" t="s">
        <v>515</v>
      </c>
      <c r="AH115" s="13" t="s">
        <v>2134</v>
      </c>
      <c r="AI115" s="1">
        <f>180987.13-16741.02+34854.48</f>
        <v>199100.59000000003</v>
      </c>
      <c r="AJ115" s="1">
        <f>16741.02+3003.78</f>
        <v>19744.8</v>
      </c>
    </row>
    <row r="116" spans="1:36" ht="204.75" x14ac:dyDescent="0.25">
      <c r="A116" s="5">
        <f t="shared" si="38"/>
        <v>113</v>
      </c>
      <c r="B116" s="5">
        <v>135985</v>
      </c>
      <c r="C116" s="126">
        <v>776</v>
      </c>
      <c r="D116" s="40" t="s">
        <v>1985</v>
      </c>
      <c r="E116" s="81" t="s">
        <v>1701</v>
      </c>
      <c r="F116" s="8" t="s">
        <v>1869</v>
      </c>
      <c r="G116" s="15" t="s">
        <v>1084</v>
      </c>
      <c r="H116" s="5" t="s">
        <v>151</v>
      </c>
      <c r="I116" s="41" t="s">
        <v>1870</v>
      </c>
      <c r="J116" s="2">
        <v>44014</v>
      </c>
      <c r="K116" s="2">
        <v>44563</v>
      </c>
      <c r="L116" s="16">
        <f t="shared" si="63"/>
        <v>85.000000029098828</v>
      </c>
      <c r="M116" s="5">
        <v>5</v>
      </c>
      <c r="N116" s="5" t="s">
        <v>182</v>
      </c>
      <c r="O116" s="5" t="s">
        <v>183</v>
      </c>
      <c r="P116" s="65" t="s">
        <v>174</v>
      </c>
      <c r="Q116" s="62" t="s">
        <v>34</v>
      </c>
      <c r="R116" s="4">
        <f t="shared" si="64"/>
        <v>1460540.61</v>
      </c>
      <c r="S116" s="9">
        <v>1460540.61</v>
      </c>
      <c r="T116" s="9">
        <v>0</v>
      </c>
      <c r="U116" s="4">
        <f t="shared" si="65"/>
        <v>223376.8</v>
      </c>
      <c r="V116" s="53">
        <v>223376.8</v>
      </c>
      <c r="W116" s="53">
        <v>0</v>
      </c>
      <c r="X116" s="4">
        <f t="shared" si="66"/>
        <v>34365.660000000003</v>
      </c>
      <c r="Y116" s="9">
        <v>34365.660000000003</v>
      </c>
      <c r="Z116" s="9">
        <v>0</v>
      </c>
      <c r="AA116" s="9">
        <f t="shared" si="67"/>
        <v>0</v>
      </c>
      <c r="AB116" s="9">
        <v>0</v>
      </c>
      <c r="AC116" s="9">
        <v>0</v>
      </c>
      <c r="AD116" s="44">
        <f t="shared" si="37"/>
        <v>1718283.07</v>
      </c>
      <c r="AE116" s="9">
        <v>0</v>
      </c>
      <c r="AF116" s="9">
        <f t="shared" si="68"/>
        <v>1718283.07</v>
      </c>
      <c r="AG116" s="59" t="s">
        <v>515</v>
      </c>
      <c r="AH116" s="13" t="s">
        <v>151</v>
      </c>
      <c r="AI116" s="1">
        <v>47797.2</v>
      </c>
      <c r="AJ116" s="1">
        <v>7310.16</v>
      </c>
    </row>
    <row r="117" spans="1:36" ht="180" x14ac:dyDescent="0.25">
      <c r="A117" s="5">
        <f t="shared" si="38"/>
        <v>114</v>
      </c>
      <c r="B117" s="62">
        <v>135341</v>
      </c>
      <c r="C117" s="116">
        <v>835</v>
      </c>
      <c r="D117" s="40" t="s">
        <v>1985</v>
      </c>
      <c r="E117" s="17" t="s">
        <v>1701</v>
      </c>
      <c r="F117" s="120" t="s">
        <v>1927</v>
      </c>
      <c r="G117" s="5" t="s">
        <v>2004</v>
      </c>
      <c r="H117" s="62" t="s">
        <v>296</v>
      </c>
      <c r="I117" s="101" t="s">
        <v>1928</v>
      </c>
      <c r="J117" s="63">
        <v>44048</v>
      </c>
      <c r="K117" s="63">
        <v>44870</v>
      </c>
      <c r="L117" s="16">
        <f t="shared" si="63"/>
        <v>85</v>
      </c>
      <c r="M117" s="5">
        <v>5</v>
      </c>
      <c r="N117" s="5" t="s">
        <v>182</v>
      </c>
      <c r="O117" s="5" t="s">
        <v>406</v>
      </c>
      <c r="P117" s="65" t="s">
        <v>174</v>
      </c>
      <c r="Q117" s="62" t="s">
        <v>34</v>
      </c>
      <c r="R117" s="4">
        <f t="shared" si="64"/>
        <v>3399981.3</v>
      </c>
      <c r="S117" s="9">
        <v>3399981.3</v>
      </c>
      <c r="T117" s="9">
        <v>0</v>
      </c>
      <c r="U117" s="4">
        <f t="shared" si="65"/>
        <v>519997.14</v>
      </c>
      <c r="V117" s="53">
        <v>519997.14</v>
      </c>
      <c r="W117" s="53">
        <v>0</v>
      </c>
      <c r="X117" s="4">
        <f t="shared" si="66"/>
        <v>79999.56</v>
      </c>
      <c r="Y117" s="9">
        <v>79999.56</v>
      </c>
      <c r="Z117" s="9">
        <v>0</v>
      </c>
      <c r="AA117" s="9">
        <f t="shared" si="67"/>
        <v>0</v>
      </c>
      <c r="AB117" s="9">
        <v>0</v>
      </c>
      <c r="AC117" s="9">
        <v>0</v>
      </c>
      <c r="AD117" s="44">
        <f t="shared" si="37"/>
        <v>3999978</v>
      </c>
      <c r="AE117" s="9">
        <v>49980</v>
      </c>
      <c r="AF117" s="9">
        <f t="shared" si="68"/>
        <v>4049958</v>
      </c>
      <c r="AG117" s="59" t="s">
        <v>515</v>
      </c>
      <c r="AH117" s="13" t="s">
        <v>151</v>
      </c>
      <c r="AI117" s="1">
        <v>859.78</v>
      </c>
      <c r="AJ117" s="1">
        <v>131.5</v>
      </c>
    </row>
    <row r="118" spans="1:36" ht="141.75" x14ac:dyDescent="0.25">
      <c r="A118" s="5">
        <f t="shared" si="38"/>
        <v>115</v>
      </c>
      <c r="B118" s="5">
        <v>120642</v>
      </c>
      <c r="C118" s="6">
        <v>84</v>
      </c>
      <c r="D118" s="40" t="s">
        <v>1985</v>
      </c>
      <c r="E118" s="17" t="s">
        <v>278</v>
      </c>
      <c r="F118" s="8" t="s">
        <v>279</v>
      </c>
      <c r="G118" s="5" t="s">
        <v>280</v>
      </c>
      <c r="H118" s="5" t="s">
        <v>151</v>
      </c>
      <c r="I118" s="86" t="s">
        <v>448</v>
      </c>
      <c r="J118" s="2">
        <v>43175</v>
      </c>
      <c r="K118" s="2">
        <v>43662</v>
      </c>
      <c r="L118" s="16">
        <f t="shared" ref="L118:L125" si="69">R118/AD118*100</f>
        <v>84.999998716744599</v>
      </c>
      <c r="M118" s="5">
        <v>2</v>
      </c>
      <c r="N118" s="5" t="s">
        <v>281</v>
      </c>
      <c r="O118" s="5" t="s">
        <v>282</v>
      </c>
      <c r="P118" s="3" t="s">
        <v>174</v>
      </c>
      <c r="Q118" s="5" t="s">
        <v>34</v>
      </c>
      <c r="R118" s="4">
        <f t="shared" ref="R118:R125" si="70">S118+T118</f>
        <v>264951.15000000002</v>
      </c>
      <c r="S118" s="9">
        <v>264951.15000000002</v>
      </c>
      <c r="T118" s="9">
        <v>0</v>
      </c>
      <c r="U118" s="4">
        <f t="shared" ref="U118:U126" si="71">V118+W118</f>
        <v>40521.949999999997</v>
      </c>
      <c r="V118" s="53">
        <v>40521.949999999997</v>
      </c>
      <c r="W118" s="53">
        <v>0</v>
      </c>
      <c r="X118" s="4">
        <f t="shared" ref="X118:X126" si="72">Y118+Z118</f>
        <v>6234.14</v>
      </c>
      <c r="Y118" s="9">
        <v>6234.14</v>
      </c>
      <c r="Z118" s="9">
        <v>0</v>
      </c>
      <c r="AA118" s="9">
        <f t="shared" ref="AA118:AA125" si="73">AB118+AC118</f>
        <v>0</v>
      </c>
      <c r="AB118" s="9">
        <v>0</v>
      </c>
      <c r="AC118" s="9">
        <v>0</v>
      </c>
      <c r="AD118" s="44">
        <f t="shared" si="37"/>
        <v>311707.24000000005</v>
      </c>
      <c r="AE118" s="9">
        <v>0</v>
      </c>
      <c r="AF118" s="9">
        <f t="shared" ref="AF118:AF125" si="74">AD118+AE118</f>
        <v>311707.24000000005</v>
      </c>
      <c r="AG118" s="49" t="s">
        <v>966</v>
      </c>
      <c r="AH118" s="13" t="s">
        <v>151</v>
      </c>
      <c r="AI118" s="1">
        <v>161700.98000000001</v>
      </c>
      <c r="AJ118" s="1">
        <v>24730.730000000003</v>
      </c>
    </row>
    <row r="119" spans="1:36" ht="141.75" x14ac:dyDescent="0.25">
      <c r="A119" s="5">
        <f t="shared" si="38"/>
        <v>116</v>
      </c>
      <c r="B119" s="15">
        <v>116521</v>
      </c>
      <c r="C119" s="5">
        <v>405</v>
      </c>
      <c r="D119" s="8" t="s">
        <v>1986</v>
      </c>
      <c r="E119" s="8" t="s">
        <v>540</v>
      </c>
      <c r="F119" s="8" t="s">
        <v>726</v>
      </c>
      <c r="G119" s="5" t="s">
        <v>1909</v>
      </c>
      <c r="H119" s="5" t="s">
        <v>151</v>
      </c>
      <c r="I119" s="8" t="s">
        <v>727</v>
      </c>
      <c r="J119" s="2">
        <v>43304</v>
      </c>
      <c r="K119" s="2">
        <v>43792</v>
      </c>
      <c r="L119" s="16">
        <f t="shared" si="69"/>
        <v>85.000001706742694</v>
      </c>
      <c r="M119" s="5">
        <v>2</v>
      </c>
      <c r="N119" s="5" t="s">
        <v>281</v>
      </c>
      <c r="O119" s="5" t="s">
        <v>281</v>
      </c>
      <c r="P119" s="5" t="s">
        <v>174</v>
      </c>
      <c r="Q119" s="5" t="s">
        <v>34</v>
      </c>
      <c r="R119" s="4">
        <f t="shared" si="70"/>
        <v>249012.35</v>
      </c>
      <c r="S119" s="1">
        <v>249012.35</v>
      </c>
      <c r="T119" s="1">
        <v>0</v>
      </c>
      <c r="U119" s="4">
        <f t="shared" si="71"/>
        <v>38084.239999999998</v>
      </c>
      <c r="V119" s="71">
        <v>38084.239999999998</v>
      </c>
      <c r="W119" s="71">
        <v>0</v>
      </c>
      <c r="X119" s="4">
        <f t="shared" si="72"/>
        <v>5859.11</v>
      </c>
      <c r="Y119" s="1">
        <v>5859.11</v>
      </c>
      <c r="Z119" s="1">
        <v>0</v>
      </c>
      <c r="AA119" s="9">
        <f t="shared" si="73"/>
        <v>0</v>
      </c>
      <c r="AB119" s="1">
        <v>0</v>
      </c>
      <c r="AC119" s="1">
        <v>0</v>
      </c>
      <c r="AD119" s="44">
        <f t="shared" si="37"/>
        <v>292955.7</v>
      </c>
      <c r="AE119" s="59">
        <v>0</v>
      </c>
      <c r="AF119" s="9">
        <f t="shared" si="74"/>
        <v>292955.7</v>
      </c>
      <c r="AG119" s="49" t="s">
        <v>966</v>
      </c>
      <c r="AH119" s="59"/>
      <c r="AI119" s="1">
        <v>201942.88</v>
      </c>
      <c r="AJ119" s="1">
        <f>9579.42+5275.29+1268.05+14762.58</f>
        <v>30885.339999999997</v>
      </c>
    </row>
    <row r="120" spans="1:36" ht="189" x14ac:dyDescent="0.25">
      <c r="A120" s="5">
        <f t="shared" si="38"/>
        <v>117</v>
      </c>
      <c r="B120" s="15">
        <v>126409</v>
      </c>
      <c r="C120" s="5">
        <v>551</v>
      </c>
      <c r="D120" s="40" t="s">
        <v>1985</v>
      </c>
      <c r="E120" s="8" t="s">
        <v>1018</v>
      </c>
      <c r="F120" s="8" t="s">
        <v>1043</v>
      </c>
      <c r="G120" s="5" t="s">
        <v>1909</v>
      </c>
      <c r="H120" s="5" t="s">
        <v>151</v>
      </c>
      <c r="I120" s="8" t="s">
        <v>1044</v>
      </c>
      <c r="J120" s="2">
        <v>43439</v>
      </c>
      <c r="K120" s="2">
        <v>44566</v>
      </c>
      <c r="L120" s="16">
        <f t="shared" si="69"/>
        <v>85.000000607988994</v>
      </c>
      <c r="M120" s="5">
        <v>2</v>
      </c>
      <c r="N120" s="5" t="s">
        <v>281</v>
      </c>
      <c r="O120" s="5" t="s">
        <v>281</v>
      </c>
      <c r="P120" s="5" t="s">
        <v>174</v>
      </c>
      <c r="Q120" s="5" t="s">
        <v>34</v>
      </c>
      <c r="R120" s="4">
        <f t="shared" si="70"/>
        <v>3075713.53</v>
      </c>
      <c r="S120" s="1">
        <v>3075713.53</v>
      </c>
      <c r="T120" s="1">
        <v>0</v>
      </c>
      <c r="U120" s="4">
        <f t="shared" si="71"/>
        <v>470403.22</v>
      </c>
      <c r="V120" s="71">
        <v>470403.22</v>
      </c>
      <c r="W120" s="71">
        <v>0</v>
      </c>
      <c r="X120" s="4">
        <f t="shared" si="72"/>
        <v>72369.73000000001</v>
      </c>
      <c r="Y120" s="1">
        <v>72369.73000000001</v>
      </c>
      <c r="Z120" s="1">
        <v>0</v>
      </c>
      <c r="AA120" s="9">
        <f t="shared" si="73"/>
        <v>0</v>
      </c>
      <c r="AB120" s="1">
        <v>0</v>
      </c>
      <c r="AC120" s="1">
        <v>0</v>
      </c>
      <c r="AD120" s="44">
        <f t="shared" si="37"/>
        <v>3618486.48</v>
      </c>
      <c r="AE120" s="59">
        <v>0</v>
      </c>
      <c r="AF120" s="9">
        <f t="shared" si="74"/>
        <v>3618486.48</v>
      </c>
      <c r="AG120" s="59" t="s">
        <v>515</v>
      </c>
      <c r="AH120" s="59" t="s">
        <v>2028</v>
      </c>
      <c r="AI120" s="1">
        <f>183107.25+130271.09+133951.13+97196.32+126539.04</f>
        <v>671064.83000000007</v>
      </c>
      <c r="AJ120" s="1">
        <f>28004.63+19923.81+20486.64+14865.32+19353.03</f>
        <v>102633.43</v>
      </c>
    </row>
    <row r="121" spans="1:36" ht="141.75" x14ac:dyDescent="0.25">
      <c r="A121" s="5">
        <f t="shared" si="38"/>
        <v>118</v>
      </c>
      <c r="B121" s="15">
        <v>125745</v>
      </c>
      <c r="C121" s="5">
        <v>531</v>
      </c>
      <c r="D121" s="40" t="s">
        <v>1985</v>
      </c>
      <c r="E121" s="8" t="s">
        <v>1018</v>
      </c>
      <c r="F121" s="8" t="s">
        <v>1187</v>
      </c>
      <c r="G121" s="5" t="s">
        <v>2006</v>
      </c>
      <c r="H121" s="5" t="s">
        <v>151</v>
      </c>
      <c r="I121" s="8" t="s">
        <v>1188</v>
      </c>
      <c r="J121" s="2">
        <v>43550</v>
      </c>
      <c r="K121" s="2">
        <v>44465</v>
      </c>
      <c r="L121" s="16">
        <f t="shared" si="69"/>
        <v>85</v>
      </c>
      <c r="M121" s="5">
        <v>2</v>
      </c>
      <c r="N121" s="5" t="s">
        <v>281</v>
      </c>
      <c r="O121" s="5" t="s">
        <v>281</v>
      </c>
      <c r="P121" s="5" t="s">
        <v>174</v>
      </c>
      <c r="Q121" s="5" t="s">
        <v>34</v>
      </c>
      <c r="R121" s="4">
        <f t="shared" si="70"/>
        <v>1983050</v>
      </c>
      <c r="S121" s="1">
        <v>1983050</v>
      </c>
      <c r="T121" s="1">
        <v>0</v>
      </c>
      <c r="U121" s="4">
        <f t="shared" si="71"/>
        <v>303290</v>
      </c>
      <c r="V121" s="71">
        <v>303290</v>
      </c>
      <c r="W121" s="71">
        <v>0</v>
      </c>
      <c r="X121" s="4">
        <f t="shared" si="72"/>
        <v>46660</v>
      </c>
      <c r="Y121" s="1">
        <v>46660</v>
      </c>
      <c r="Z121" s="1">
        <v>0</v>
      </c>
      <c r="AA121" s="9">
        <f t="shared" si="73"/>
        <v>0</v>
      </c>
      <c r="AB121" s="1">
        <v>0</v>
      </c>
      <c r="AC121" s="1">
        <v>0</v>
      </c>
      <c r="AD121" s="44">
        <f t="shared" si="37"/>
        <v>2333000</v>
      </c>
      <c r="AE121" s="59">
        <v>0</v>
      </c>
      <c r="AF121" s="9">
        <f t="shared" si="74"/>
        <v>2333000</v>
      </c>
      <c r="AG121" s="59" t="s">
        <v>515</v>
      </c>
      <c r="AH121" s="59"/>
      <c r="AI121" s="1">
        <f>1517.25+775063.14+83364.29+145583.17</f>
        <v>1005527.8500000001</v>
      </c>
      <c r="AJ121" s="1">
        <f>232.05+118539.09+12749.84+22265.66</f>
        <v>153786.64000000001</v>
      </c>
    </row>
    <row r="122" spans="1:36" ht="189" x14ac:dyDescent="0.25">
      <c r="A122" s="5">
        <f t="shared" si="38"/>
        <v>119</v>
      </c>
      <c r="B122" s="15">
        <v>109686</v>
      </c>
      <c r="C122" s="78">
        <v>122</v>
      </c>
      <c r="D122" s="40" t="s">
        <v>1985</v>
      </c>
      <c r="E122" s="17" t="s">
        <v>278</v>
      </c>
      <c r="F122" s="8" t="s">
        <v>1376</v>
      </c>
      <c r="G122" s="5" t="s">
        <v>1909</v>
      </c>
      <c r="H122" s="5" t="s">
        <v>362</v>
      </c>
      <c r="I122" s="41" t="s">
        <v>578</v>
      </c>
      <c r="J122" s="2">
        <v>43276</v>
      </c>
      <c r="K122" s="2">
        <v>43763</v>
      </c>
      <c r="L122" s="16">
        <f t="shared" si="69"/>
        <v>85.000000118226325</v>
      </c>
      <c r="M122" s="5">
        <v>2</v>
      </c>
      <c r="N122" s="5" t="s">
        <v>579</v>
      </c>
      <c r="O122" s="5" t="s">
        <v>579</v>
      </c>
      <c r="P122" s="3" t="s">
        <v>174</v>
      </c>
      <c r="Q122" s="5" t="s">
        <v>34</v>
      </c>
      <c r="R122" s="9">
        <f t="shared" si="70"/>
        <v>359480.02</v>
      </c>
      <c r="S122" s="9">
        <v>359480.02</v>
      </c>
      <c r="T122" s="9">
        <v>0</v>
      </c>
      <c r="U122" s="4">
        <f t="shared" si="71"/>
        <v>54979.3</v>
      </c>
      <c r="V122" s="53">
        <v>54979.3</v>
      </c>
      <c r="W122" s="53">
        <v>0</v>
      </c>
      <c r="X122" s="4">
        <f t="shared" si="72"/>
        <v>8458.35</v>
      </c>
      <c r="Y122" s="9">
        <v>8458.35</v>
      </c>
      <c r="Z122" s="9">
        <v>0</v>
      </c>
      <c r="AA122" s="9">
        <f t="shared" si="73"/>
        <v>0</v>
      </c>
      <c r="AB122" s="9">
        <v>0</v>
      </c>
      <c r="AC122" s="9">
        <v>0</v>
      </c>
      <c r="AD122" s="44">
        <f t="shared" si="37"/>
        <v>422917.67</v>
      </c>
      <c r="AE122" s="9">
        <v>0</v>
      </c>
      <c r="AF122" s="9">
        <f t="shared" si="74"/>
        <v>422917.67</v>
      </c>
      <c r="AG122" s="49" t="s">
        <v>966</v>
      </c>
      <c r="AH122" s="13" t="s">
        <v>151</v>
      </c>
      <c r="AI122" s="1">
        <v>258837.34</v>
      </c>
      <c r="AJ122" s="1">
        <v>39586.89</v>
      </c>
    </row>
    <row r="123" spans="1:36" ht="283.5" x14ac:dyDescent="0.25">
      <c r="A123" s="5">
        <f t="shared" si="38"/>
        <v>120</v>
      </c>
      <c r="B123" s="15">
        <v>136064</v>
      </c>
      <c r="C123" s="78">
        <v>828</v>
      </c>
      <c r="D123" s="40" t="s">
        <v>1985</v>
      </c>
      <c r="E123" s="81" t="s">
        <v>1701</v>
      </c>
      <c r="F123" s="8" t="s">
        <v>1904</v>
      </c>
      <c r="G123" s="15" t="s">
        <v>280</v>
      </c>
      <c r="H123" s="5" t="s">
        <v>362</v>
      </c>
      <c r="I123" s="41" t="s">
        <v>1905</v>
      </c>
      <c r="J123" s="2">
        <v>44025</v>
      </c>
      <c r="K123" s="2">
        <v>44513</v>
      </c>
      <c r="L123" s="16">
        <f t="shared" si="69"/>
        <v>85.000000030293194</v>
      </c>
      <c r="M123" s="5">
        <v>2</v>
      </c>
      <c r="N123" s="5" t="s">
        <v>579</v>
      </c>
      <c r="O123" s="5" t="s">
        <v>282</v>
      </c>
      <c r="P123" s="3" t="s">
        <v>174</v>
      </c>
      <c r="Q123" s="5" t="s">
        <v>34</v>
      </c>
      <c r="R123" s="9">
        <f t="shared" si="70"/>
        <v>2805910.13</v>
      </c>
      <c r="S123" s="9">
        <v>2805910.13</v>
      </c>
      <c r="T123" s="9">
        <v>0</v>
      </c>
      <c r="U123" s="4">
        <f t="shared" si="71"/>
        <v>429139.20000000001</v>
      </c>
      <c r="V123" s="53">
        <v>429139.20000000001</v>
      </c>
      <c r="W123" s="53">
        <v>0</v>
      </c>
      <c r="X123" s="4">
        <f t="shared" si="72"/>
        <v>66021.41</v>
      </c>
      <c r="Y123" s="9">
        <v>66021.41</v>
      </c>
      <c r="Z123" s="9">
        <v>0</v>
      </c>
      <c r="AA123" s="9">
        <f t="shared" si="73"/>
        <v>0</v>
      </c>
      <c r="AB123" s="9">
        <v>0</v>
      </c>
      <c r="AC123" s="9">
        <v>0</v>
      </c>
      <c r="AD123" s="44">
        <f t="shared" si="37"/>
        <v>3301070.74</v>
      </c>
      <c r="AE123" s="9">
        <v>0</v>
      </c>
      <c r="AF123" s="9">
        <f t="shared" si="74"/>
        <v>3301070.74</v>
      </c>
      <c r="AG123" s="59" t="s">
        <v>515</v>
      </c>
      <c r="AH123" s="13"/>
      <c r="AI123" s="1">
        <v>0</v>
      </c>
      <c r="AJ123" s="1">
        <v>0</v>
      </c>
    </row>
    <row r="124" spans="1:36" ht="157.5" x14ac:dyDescent="0.25">
      <c r="A124" s="5">
        <f t="shared" si="38"/>
        <v>121</v>
      </c>
      <c r="B124" s="15">
        <v>135502</v>
      </c>
      <c r="C124" s="78">
        <v>849</v>
      </c>
      <c r="D124" s="40" t="s">
        <v>1985</v>
      </c>
      <c r="E124" s="81" t="s">
        <v>1701</v>
      </c>
      <c r="F124" s="8" t="s">
        <v>1910</v>
      </c>
      <c r="G124" s="15" t="s">
        <v>1909</v>
      </c>
      <c r="H124" s="5" t="s">
        <v>1911</v>
      </c>
      <c r="I124" s="41" t="s">
        <v>1912</v>
      </c>
      <c r="J124" s="2">
        <v>44032</v>
      </c>
      <c r="K124" s="2">
        <v>44946</v>
      </c>
      <c r="L124" s="16">
        <f t="shared" si="69"/>
        <v>84.533169385405827</v>
      </c>
      <c r="M124" s="5">
        <v>2</v>
      </c>
      <c r="N124" s="5" t="s">
        <v>579</v>
      </c>
      <c r="O124" s="5" t="s">
        <v>579</v>
      </c>
      <c r="P124" s="3" t="s">
        <v>174</v>
      </c>
      <c r="Q124" s="5" t="s">
        <v>34</v>
      </c>
      <c r="R124" s="9">
        <f t="shared" si="70"/>
        <v>3127483.22</v>
      </c>
      <c r="S124" s="9">
        <v>3127483.22</v>
      </c>
      <c r="T124" s="9">
        <v>0</v>
      </c>
      <c r="U124" s="4">
        <f t="shared" si="71"/>
        <v>498233.85</v>
      </c>
      <c r="V124" s="53">
        <v>498233.85</v>
      </c>
      <c r="W124" s="53">
        <v>0</v>
      </c>
      <c r="X124" s="4">
        <f t="shared" si="72"/>
        <v>73994.23</v>
      </c>
      <c r="Y124" s="9">
        <v>73994.23</v>
      </c>
      <c r="Z124" s="9">
        <v>0</v>
      </c>
      <c r="AA124" s="9">
        <f t="shared" si="73"/>
        <v>0</v>
      </c>
      <c r="AB124" s="9">
        <v>0</v>
      </c>
      <c r="AC124" s="9">
        <v>0</v>
      </c>
      <c r="AD124" s="44">
        <f t="shared" si="37"/>
        <v>3699711.3000000003</v>
      </c>
      <c r="AE124" s="9">
        <v>0</v>
      </c>
      <c r="AF124" s="9">
        <f t="shared" si="74"/>
        <v>3699711.3000000003</v>
      </c>
      <c r="AG124" s="59" t="s">
        <v>515</v>
      </c>
      <c r="AH124" s="13"/>
      <c r="AI124" s="1">
        <f>101000-5334.64-7508.09+112268.94+60282.54</f>
        <v>260708.75000000003</v>
      </c>
      <c r="AJ124" s="1">
        <f>5334.64+10222.53+1723.49+10638.1</f>
        <v>27918.760000000002</v>
      </c>
    </row>
    <row r="125" spans="1:36" ht="204.75" x14ac:dyDescent="0.25">
      <c r="A125" s="5">
        <f t="shared" si="38"/>
        <v>122</v>
      </c>
      <c r="B125" s="15">
        <v>135880</v>
      </c>
      <c r="C125" s="78">
        <v>854</v>
      </c>
      <c r="D125" s="40" t="s">
        <v>1985</v>
      </c>
      <c r="E125" s="81" t="s">
        <v>1701</v>
      </c>
      <c r="F125" s="8" t="s">
        <v>1941</v>
      </c>
      <c r="G125" s="15" t="s">
        <v>1942</v>
      </c>
      <c r="H125" s="5" t="s">
        <v>1943</v>
      </c>
      <c r="I125" s="41" t="s">
        <v>1944</v>
      </c>
      <c r="J125" s="2">
        <v>44050</v>
      </c>
      <c r="K125" s="2">
        <v>44841</v>
      </c>
      <c r="L125" s="16">
        <f t="shared" si="69"/>
        <v>84.337001452313444</v>
      </c>
      <c r="M125" s="5">
        <v>2</v>
      </c>
      <c r="N125" s="5" t="s">
        <v>579</v>
      </c>
      <c r="O125" s="5" t="s">
        <v>1945</v>
      </c>
      <c r="P125" s="3" t="s">
        <v>174</v>
      </c>
      <c r="Q125" s="5" t="s">
        <v>34</v>
      </c>
      <c r="R125" s="9">
        <f t="shared" si="70"/>
        <v>2240754.7000000002</v>
      </c>
      <c r="S125" s="9">
        <v>2240754.7000000002</v>
      </c>
      <c r="T125" s="9">
        <v>0</v>
      </c>
      <c r="U125" s="4">
        <f t="shared" si="71"/>
        <v>363013.19</v>
      </c>
      <c r="V125" s="53">
        <v>363013.19</v>
      </c>
      <c r="W125" s="53">
        <v>0</v>
      </c>
      <c r="X125" s="4">
        <f t="shared" si="72"/>
        <v>32414.09</v>
      </c>
      <c r="Y125" s="9">
        <v>32414.09</v>
      </c>
      <c r="Z125" s="9">
        <v>0</v>
      </c>
      <c r="AA125" s="9">
        <f t="shared" si="73"/>
        <v>20723.84</v>
      </c>
      <c r="AB125" s="9">
        <v>20723.84</v>
      </c>
      <c r="AC125" s="9">
        <v>0</v>
      </c>
      <c r="AD125" s="44">
        <f t="shared" si="37"/>
        <v>2656905.8199999998</v>
      </c>
      <c r="AE125" s="9">
        <v>0</v>
      </c>
      <c r="AF125" s="9">
        <f t="shared" si="74"/>
        <v>2656905.8199999998</v>
      </c>
      <c r="AG125" s="59" t="s">
        <v>515</v>
      </c>
      <c r="AH125" s="13"/>
      <c r="AI125" s="1">
        <f>265690.57-11802.77+78685.18</f>
        <v>332572.98</v>
      </c>
      <c r="AJ125" s="1">
        <v>11802.77</v>
      </c>
    </row>
    <row r="126" spans="1:36" ht="141.75" x14ac:dyDescent="0.25">
      <c r="A126" s="5">
        <f t="shared" si="38"/>
        <v>123</v>
      </c>
      <c r="B126" s="15">
        <v>126515</v>
      </c>
      <c r="C126" s="5">
        <v>547</v>
      </c>
      <c r="D126" s="40" t="s">
        <v>1985</v>
      </c>
      <c r="E126" s="8" t="s">
        <v>1018</v>
      </c>
      <c r="F126" s="32" t="s">
        <v>1140</v>
      </c>
      <c r="G126" s="5" t="s">
        <v>1141</v>
      </c>
      <c r="H126" s="5" t="s">
        <v>151</v>
      </c>
      <c r="I126" s="8" t="s">
        <v>1542</v>
      </c>
      <c r="J126" s="2">
        <v>43521</v>
      </c>
      <c r="K126" s="2">
        <v>44433</v>
      </c>
      <c r="L126" s="16">
        <f>R126/AD126*100</f>
        <v>84.999999929518182</v>
      </c>
      <c r="M126" s="5">
        <v>7</v>
      </c>
      <c r="N126" s="5" t="s">
        <v>1142</v>
      </c>
      <c r="O126" s="5" t="s">
        <v>1143</v>
      </c>
      <c r="P126" s="5" t="s">
        <v>174</v>
      </c>
      <c r="Q126" s="5" t="s">
        <v>34</v>
      </c>
      <c r="R126" s="4">
        <f>S126+T126</f>
        <v>2411970.2999999998</v>
      </c>
      <c r="S126" s="80">
        <v>2411970.2999999998</v>
      </c>
      <c r="T126" s="1">
        <v>0</v>
      </c>
      <c r="U126" s="4">
        <f t="shared" si="71"/>
        <v>368889.58</v>
      </c>
      <c r="V126" s="85">
        <v>368889.58</v>
      </c>
      <c r="W126" s="71">
        <v>0</v>
      </c>
      <c r="X126" s="4">
        <f t="shared" si="72"/>
        <v>56752.24</v>
      </c>
      <c r="Y126" s="80">
        <v>56752.24</v>
      </c>
      <c r="Z126" s="80">
        <v>0</v>
      </c>
      <c r="AA126" s="4">
        <f>AB126+AC126</f>
        <v>0</v>
      </c>
      <c r="AB126" s="80">
        <v>0</v>
      </c>
      <c r="AC126" s="80">
        <v>0</v>
      </c>
      <c r="AD126" s="44">
        <f t="shared" si="37"/>
        <v>2837612.12</v>
      </c>
      <c r="AE126" s="80">
        <v>72392.72</v>
      </c>
      <c r="AF126" s="9">
        <f>AD126+AE126</f>
        <v>2910004.8400000003</v>
      </c>
      <c r="AG126" s="59" t="s">
        <v>515</v>
      </c>
      <c r="AH126" s="59"/>
      <c r="AI126" s="1">
        <f>41642.35+26052.89+215969.7+11456.3</f>
        <v>295121.24</v>
      </c>
      <c r="AJ126" s="1">
        <f>6368.83+3984.56+33030.66+1752.14</f>
        <v>45136.19</v>
      </c>
    </row>
    <row r="127" spans="1:36" s="100" customFormat="1" ht="189" x14ac:dyDescent="0.25">
      <c r="A127" s="5">
        <f t="shared" si="38"/>
        <v>124</v>
      </c>
      <c r="B127" s="15">
        <v>120631</v>
      </c>
      <c r="C127" s="6">
        <v>81</v>
      </c>
      <c r="D127" s="40" t="s">
        <v>1985</v>
      </c>
      <c r="E127" s="17" t="s">
        <v>278</v>
      </c>
      <c r="F127" s="18" t="s">
        <v>187</v>
      </c>
      <c r="G127" s="3" t="s">
        <v>188</v>
      </c>
      <c r="H127" s="5" t="s">
        <v>151</v>
      </c>
      <c r="I127" s="8" t="s">
        <v>1422</v>
      </c>
      <c r="J127" s="2">
        <v>43129</v>
      </c>
      <c r="K127" s="2">
        <v>43614</v>
      </c>
      <c r="L127" s="16">
        <f>R127/AD127*100</f>
        <v>84.999999195969949</v>
      </c>
      <c r="M127" s="5">
        <v>3</v>
      </c>
      <c r="N127" s="5" t="s">
        <v>189</v>
      </c>
      <c r="O127" s="5" t="s">
        <v>201</v>
      </c>
      <c r="P127" s="3" t="s">
        <v>174</v>
      </c>
      <c r="Q127" s="5" t="s">
        <v>34</v>
      </c>
      <c r="R127" s="9">
        <f>S127+T127</f>
        <v>528587.19999999995</v>
      </c>
      <c r="S127" s="87">
        <v>528587.19999999995</v>
      </c>
      <c r="T127" s="1">
        <v>0</v>
      </c>
      <c r="U127" s="4">
        <f t="shared" ref="U127:U140" si="75">V127+W127</f>
        <v>80842.75</v>
      </c>
      <c r="V127" s="127">
        <v>80842.75</v>
      </c>
      <c r="W127" s="71">
        <v>0</v>
      </c>
      <c r="X127" s="4">
        <f t="shared" ref="X127:X140" si="76">Y127+Z127</f>
        <v>12437.35</v>
      </c>
      <c r="Y127" s="87">
        <v>12437.35</v>
      </c>
      <c r="Z127" s="9">
        <v>0</v>
      </c>
      <c r="AA127" s="9">
        <f>AB127+AC127</f>
        <v>0</v>
      </c>
      <c r="AB127" s="9">
        <v>0</v>
      </c>
      <c r="AC127" s="9">
        <v>0</v>
      </c>
      <c r="AD127" s="44">
        <f t="shared" si="37"/>
        <v>621867.29999999993</v>
      </c>
      <c r="AE127" s="9">
        <v>0</v>
      </c>
      <c r="AF127" s="9">
        <f>AD127+AE127</f>
        <v>621867.29999999993</v>
      </c>
      <c r="AG127" s="49" t="s">
        <v>966</v>
      </c>
      <c r="AH127" s="13" t="s">
        <v>151</v>
      </c>
      <c r="AI127" s="1">
        <v>445145.72000000009</v>
      </c>
      <c r="AJ127" s="1">
        <v>68081.099999999919</v>
      </c>
    </row>
    <row r="128" spans="1:36" ht="204.75" x14ac:dyDescent="0.25">
      <c r="A128" s="5">
        <f t="shared" si="38"/>
        <v>125</v>
      </c>
      <c r="B128" s="15">
        <v>118772</v>
      </c>
      <c r="C128" s="15">
        <v>441</v>
      </c>
      <c r="D128" s="8" t="s">
        <v>1986</v>
      </c>
      <c r="E128" s="8" t="s">
        <v>540</v>
      </c>
      <c r="F128" s="18" t="s">
        <v>783</v>
      </c>
      <c r="G128" s="3" t="s">
        <v>782</v>
      </c>
      <c r="H128" s="5" t="s">
        <v>151</v>
      </c>
      <c r="I128" s="8" t="s">
        <v>784</v>
      </c>
      <c r="J128" s="2">
        <v>43313</v>
      </c>
      <c r="K128" s="2">
        <v>43678</v>
      </c>
      <c r="L128" s="16">
        <f>R128/AD128*100</f>
        <v>85</v>
      </c>
      <c r="M128" s="6">
        <v>3</v>
      </c>
      <c r="N128" s="5" t="s">
        <v>189</v>
      </c>
      <c r="O128" s="5" t="s">
        <v>785</v>
      </c>
      <c r="P128" s="3" t="s">
        <v>174</v>
      </c>
      <c r="Q128" s="5" t="s">
        <v>34</v>
      </c>
      <c r="R128" s="9">
        <f>S128+T128</f>
        <v>232055.1</v>
      </c>
      <c r="S128" s="1">
        <v>232055.1</v>
      </c>
      <c r="T128" s="1">
        <v>0</v>
      </c>
      <c r="U128" s="4">
        <f t="shared" si="75"/>
        <v>35490.78</v>
      </c>
      <c r="V128" s="71">
        <v>35490.78</v>
      </c>
      <c r="W128" s="71">
        <v>0</v>
      </c>
      <c r="X128" s="4">
        <f t="shared" si="76"/>
        <v>5460.12</v>
      </c>
      <c r="Y128" s="1">
        <v>5460.12</v>
      </c>
      <c r="Z128" s="1">
        <v>0</v>
      </c>
      <c r="AA128" s="9">
        <f>AB128+AC128</f>
        <v>0</v>
      </c>
      <c r="AB128" s="1">
        <v>0</v>
      </c>
      <c r="AC128" s="1">
        <v>0</v>
      </c>
      <c r="AD128" s="44">
        <f t="shared" si="37"/>
        <v>273006</v>
      </c>
      <c r="AE128" s="11">
        <v>0</v>
      </c>
      <c r="AF128" s="9">
        <f>AD128+AE128</f>
        <v>273006</v>
      </c>
      <c r="AG128" s="49" t="s">
        <v>966</v>
      </c>
      <c r="AH128" s="13" t="s">
        <v>151</v>
      </c>
      <c r="AI128" s="1">
        <v>226177.33000000002</v>
      </c>
      <c r="AJ128" s="1">
        <v>34591.82</v>
      </c>
    </row>
    <row r="129" spans="1:37" ht="310.5" customHeight="1" x14ac:dyDescent="0.25">
      <c r="A129" s="5">
        <f t="shared" si="38"/>
        <v>126</v>
      </c>
      <c r="B129" s="15">
        <v>129704</v>
      </c>
      <c r="C129" s="15">
        <v>671</v>
      </c>
      <c r="D129" s="40" t="s">
        <v>1985</v>
      </c>
      <c r="E129" s="8" t="s">
        <v>1246</v>
      </c>
      <c r="F129" s="128" t="s">
        <v>1472</v>
      </c>
      <c r="G129" s="3" t="str">
        <f>$G$128</f>
        <v>Municipiul Moreni</v>
      </c>
      <c r="H129" s="5" t="s">
        <v>151</v>
      </c>
      <c r="I129" s="8" t="s">
        <v>1471</v>
      </c>
      <c r="J129" s="2">
        <v>43706</v>
      </c>
      <c r="K129" s="2">
        <v>44559</v>
      </c>
      <c r="L129" s="16">
        <f>R129/AD129*100</f>
        <v>84.999999926251363</v>
      </c>
      <c r="M129" s="6">
        <f>M128</f>
        <v>3</v>
      </c>
      <c r="N129" s="5" t="str">
        <f>N128</f>
        <v>Dâmbovița</v>
      </c>
      <c r="O129" s="5" t="str">
        <f>O128</f>
        <v>Moreni</v>
      </c>
      <c r="P129" s="3" t="str">
        <f>P128</f>
        <v>APL</v>
      </c>
      <c r="Q129" s="5" t="str">
        <f>Q128</f>
        <v>119 - Investiții în capacitatea instituțională și în eficiența administrațiilor și a serviciilor publice la nivel național, regional și local, în perspectiva realizării de reforme, a unei mai bune legiferări și a bunei guvernanțe</v>
      </c>
      <c r="R129" s="9">
        <f>S129+T129</f>
        <v>1152563.67</v>
      </c>
      <c r="S129" s="1">
        <v>1152563.67</v>
      </c>
      <c r="T129" s="1">
        <v>0</v>
      </c>
      <c r="U129" s="4">
        <f t="shared" si="75"/>
        <v>176274.44</v>
      </c>
      <c r="V129" s="71">
        <v>176274.44</v>
      </c>
      <c r="W129" s="71">
        <v>0</v>
      </c>
      <c r="X129" s="4">
        <f t="shared" si="76"/>
        <v>27119.15</v>
      </c>
      <c r="Y129" s="1">
        <v>27119.15</v>
      </c>
      <c r="Z129" s="1">
        <v>0</v>
      </c>
      <c r="AA129" s="9">
        <f>AB129+AC129</f>
        <v>0</v>
      </c>
      <c r="AB129" s="1">
        <v>0</v>
      </c>
      <c r="AC129" s="1">
        <v>0</v>
      </c>
      <c r="AD129" s="44">
        <f t="shared" si="37"/>
        <v>1355957.2599999998</v>
      </c>
      <c r="AE129" s="85">
        <v>0</v>
      </c>
      <c r="AF129" s="9">
        <f>AD129+AE129</f>
        <v>1355957.2599999998</v>
      </c>
      <c r="AG129" s="59" t="s">
        <v>515</v>
      </c>
      <c r="AH129" s="13" t="s">
        <v>2184</v>
      </c>
      <c r="AI129" s="1">
        <f>122408.7+133598.52+207668.6+365655.55</f>
        <v>829331.36999999988</v>
      </c>
      <c r="AJ129" s="1">
        <f>13187.02+5228.86+31761.08+55923.79</f>
        <v>106100.75</v>
      </c>
    </row>
    <row r="130" spans="1:37" ht="220.5" x14ac:dyDescent="0.25">
      <c r="A130" s="5">
        <f t="shared" si="38"/>
        <v>127</v>
      </c>
      <c r="B130" s="15">
        <v>135834</v>
      </c>
      <c r="C130" s="15">
        <v>853</v>
      </c>
      <c r="D130" s="40" t="s">
        <v>1985</v>
      </c>
      <c r="E130" s="81" t="s">
        <v>1701</v>
      </c>
      <c r="F130" s="128" t="s">
        <v>1775</v>
      </c>
      <c r="G130" s="3" t="s">
        <v>188</v>
      </c>
      <c r="H130" s="5" t="s">
        <v>151</v>
      </c>
      <c r="I130" s="8" t="s">
        <v>1776</v>
      </c>
      <c r="J130" s="2">
        <v>43969</v>
      </c>
      <c r="K130" s="2">
        <v>44883</v>
      </c>
      <c r="L130" s="16">
        <f>R130/AD130*100</f>
        <v>85.000000013095061</v>
      </c>
      <c r="M130" s="6">
        <f>M129</f>
        <v>3</v>
      </c>
      <c r="N130" s="5" t="str">
        <f>N129</f>
        <v>Dâmbovița</v>
      </c>
      <c r="O130" s="5" t="s">
        <v>1777</v>
      </c>
      <c r="P130" s="3" t="str">
        <f>P129</f>
        <v>APL</v>
      </c>
      <c r="Q130" s="62" t="s">
        <v>34</v>
      </c>
      <c r="R130" s="9">
        <f>S130+T130</f>
        <v>3245498.96</v>
      </c>
      <c r="S130" s="1">
        <v>3245498.96</v>
      </c>
      <c r="T130" s="1">
        <v>0</v>
      </c>
      <c r="U130" s="4">
        <f t="shared" si="75"/>
        <v>496370.44</v>
      </c>
      <c r="V130" s="71">
        <v>496370.44</v>
      </c>
      <c r="W130" s="71">
        <v>0</v>
      </c>
      <c r="X130" s="4">
        <f t="shared" si="76"/>
        <v>76364.67</v>
      </c>
      <c r="Y130" s="1">
        <v>76364.67</v>
      </c>
      <c r="Z130" s="1">
        <v>0</v>
      </c>
      <c r="AA130" s="9">
        <f>AB130+AC130</f>
        <v>0</v>
      </c>
      <c r="AB130" s="1">
        <v>0</v>
      </c>
      <c r="AC130" s="1">
        <v>0</v>
      </c>
      <c r="AD130" s="44">
        <f t="shared" si="37"/>
        <v>3818234.07</v>
      </c>
      <c r="AE130" s="85">
        <v>0</v>
      </c>
      <c r="AF130" s="9">
        <f>AD130+AE130</f>
        <v>3818234.07</v>
      </c>
      <c r="AG130" s="59" t="s">
        <v>515</v>
      </c>
      <c r="AH130" s="13" t="s">
        <v>151</v>
      </c>
      <c r="AI130" s="1">
        <v>40624.480000000003</v>
      </c>
      <c r="AJ130" s="1">
        <v>6213.16</v>
      </c>
    </row>
    <row r="131" spans="1:37" ht="173.25" x14ac:dyDescent="0.25">
      <c r="A131" s="5">
        <f t="shared" si="38"/>
        <v>128</v>
      </c>
      <c r="B131" s="15">
        <v>120693</v>
      </c>
      <c r="C131" s="6">
        <v>114</v>
      </c>
      <c r="D131" s="40" t="s">
        <v>1985</v>
      </c>
      <c r="E131" s="17" t="s">
        <v>278</v>
      </c>
      <c r="F131" s="17" t="s">
        <v>207</v>
      </c>
      <c r="G131" s="5" t="s">
        <v>208</v>
      </c>
      <c r="H131" s="5" t="s">
        <v>151</v>
      </c>
      <c r="I131" s="41" t="s">
        <v>209</v>
      </c>
      <c r="J131" s="2">
        <v>43145</v>
      </c>
      <c r="K131" s="2">
        <v>43630</v>
      </c>
      <c r="L131" s="16">
        <f t="shared" ref="L131:L140" si="77">R131/AD131*100</f>
        <v>85.000000594539443</v>
      </c>
      <c r="M131" s="5">
        <v>4</v>
      </c>
      <c r="N131" s="5" t="s">
        <v>220</v>
      </c>
      <c r="O131" s="5" t="s">
        <v>210</v>
      </c>
      <c r="P131" s="3" t="s">
        <v>174</v>
      </c>
      <c r="Q131" s="5" t="s">
        <v>34</v>
      </c>
      <c r="R131" s="9">
        <f t="shared" ref="R131:R140" si="78">S131+T131</f>
        <v>357419.52000000002</v>
      </c>
      <c r="S131" s="9">
        <v>357419.52000000002</v>
      </c>
      <c r="T131" s="1">
        <v>0</v>
      </c>
      <c r="U131" s="4">
        <f t="shared" si="75"/>
        <v>54664.160000000003</v>
      </c>
      <c r="V131" s="127">
        <v>54664.160000000003</v>
      </c>
      <c r="W131" s="71">
        <v>0</v>
      </c>
      <c r="X131" s="4">
        <f t="shared" si="76"/>
        <v>8409.8700000000008</v>
      </c>
      <c r="Y131" s="87">
        <v>8409.8700000000008</v>
      </c>
      <c r="Z131" s="129">
        <v>0</v>
      </c>
      <c r="AA131" s="9">
        <f>AB131+AC131</f>
        <v>0</v>
      </c>
      <c r="AB131" s="9">
        <v>0</v>
      </c>
      <c r="AC131" s="9">
        <v>0</v>
      </c>
      <c r="AD131" s="44">
        <f t="shared" si="37"/>
        <v>420493.55000000005</v>
      </c>
      <c r="AE131" s="9">
        <v>0</v>
      </c>
      <c r="AF131" s="9">
        <f t="shared" ref="AF131:AF140" si="79">AD131+AE131</f>
        <v>420493.55000000005</v>
      </c>
      <c r="AG131" s="49" t="s">
        <v>966</v>
      </c>
      <c r="AH131" s="13" t="s">
        <v>151</v>
      </c>
      <c r="AI131" s="1">
        <v>278082.99</v>
      </c>
      <c r="AJ131" s="1">
        <v>42530.380000000005</v>
      </c>
      <c r="AK131" s="72"/>
    </row>
    <row r="132" spans="1:37" ht="173.25" customHeight="1" x14ac:dyDescent="0.25">
      <c r="A132" s="5">
        <f t="shared" si="38"/>
        <v>129</v>
      </c>
      <c r="B132" s="6">
        <v>119288</v>
      </c>
      <c r="C132" s="6">
        <v>487</v>
      </c>
      <c r="D132" s="40" t="s">
        <v>1985</v>
      </c>
      <c r="E132" s="5" t="s">
        <v>474</v>
      </c>
      <c r="F132" s="17" t="s">
        <v>1605</v>
      </c>
      <c r="G132" s="5" t="s">
        <v>1038</v>
      </c>
      <c r="H132" s="6" t="s">
        <v>151</v>
      </c>
      <c r="I132" s="104" t="s">
        <v>573</v>
      </c>
      <c r="J132" s="2">
        <v>43272</v>
      </c>
      <c r="K132" s="2">
        <v>43667</v>
      </c>
      <c r="L132" s="16">
        <f t="shared" si="77"/>
        <v>85</v>
      </c>
      <c r="M132" s="5">
        <v>4</v>
      </c>
      <c r="N132" s="5" t="s">
        <v>220</v>
      </c>
      <c r="O132" s="5" t="s">
        <v>361</v>
      </c>
      <c r="P132" s="3" t="s">
        <v>174</v>
      </c>
      <c r="Q132" s="5" t="s">
        <v>34</v>
      </c>
      <c r="R132" s="9">
        <f t="shared" si="78"/>
        <v>360400</v>
      </c>
      <c r="S132" s="1">
        <v>360400</v>
      </c>
      <c r="T132" s="1">
        <v>0</v>
      </c>
      <c r="U132" s="4">
        <f t="shared" si="75"/>
        <v>55120</v>
      </c>
      <c r="V132" s="53">
        <v>55120</v>
      </c>
      <c r="W132" s="113">
        <v>0</v>
      </c>
      <c r="X132" s="4">
        <f t="shared" si="76"/>
        <v>8480</v>
      </c>
      <c r="Y132" s="3">
        <v>8480</v>
      </c>
      <c r="Z132" s="1">
        <v>0</v>
      </c>
      <c r="AA132" s="9">
        <f>AB132+AC132</f>
        <v>0</v>
      </c>
      <c r="AB132" s="3">
        <v>0</v>
      </c>
      <c r="AC132" s="3">
        <v>0</v>
      </c>
      <c r="AD132" s="44">
        <f t="shared" si="37"/>
        <v>424000</v>
      </c>
      <c r="AE132" s="11"/>
      <c r="AF132" s="9">
        <f t="shared" si="79"/>
        <v>424000</v>
      </c>
      <c r="AG132" s="49" t="s">
        <v>966</v>
      </c>
      <c r="AH132" s="13" t="s">
        <v>1234</v>
      </c>
      <c r="AI132" s="9">
        <v>305948.81</v>
      </c>
      <c r="AJ132" s="9">
        <v>46792.149999999994</v>
      </c>
    </row>
    <row r="133" spans="1:37" ht="299.25" x14ac:dyDescent="0.25">
      <c r="A133" s="5">
        <f t="shared" si="38"/>
        <v>130</v>
      </c>
      <c r="B133" s="28">
        <v>118780</v>
      </c>
      <c r="C133" s="20">
        <v>443</v>
      </c>
      <c r="D133" s="8" t="s">
        <v>1986</v>
      </c>
      <c r="E133" s="130" t="s">
        <v>540</v>
      </c>
      <c r="F133" s="105" t="s">
        <v>766</v>
      </c>
      <c r="G133" s="20" t="s">
        <v>208</v>
      </c>
      <c r="H133" s="5" t="s">
        <v>767</v>
      </c>
      <c r="I133" s="8" t="s">
        <v>768</v>
      </c>
      <c r="J133" s="2">
        <v>43312</v>
      </c>
      <c r="K133" s="2">
        <v>43677</v>
      </c>
      <c r="L133" s="16">
        <f t="shared" si="77"/>
        <v>84.150233941460755</v>
      </c>
      <c r="M133" s="5">
        <v>4</v>
      </c>
      <c r="N133" s="5" t="s">
        <v>529</v>
      </c>
      <c r="O133" s="5" t="s">
        <v>769</v>
      </c>
      <c r="P133" s="3" t="s">
        <v>174</v>
      </c>
      <c r="Q133" s="5" t="s">
        <v>34</v>
      </c>
      <c r="R133" s="9">
        <f t="shared" si="78"/>
        <v>230233.66</v>
      </c>
      <c r="S133" s="1">
        <v>230233.66</v>
      </c>
      <c r="T133" s="1">
        <v>0</v>
      </c>
      <c r="U133" s="4">
        <f t="shared" si="75"/>
        <v>37892.730000000003</v>
      </c>
      <c r="V133" s="71">
        <v>37892.730000000003</v>
      </c>
      <c r="W133" s="71">
        <v>0</v>
      </c>
      <c r="X133" s="4">
        <f t="shared" si="76"/>
        <v>2736.73</v>
      </c>
      <c r="Y133" s="1">
        <v>2736.73</v>
      </c>
      <c r="Z133" s="1">
        <v>0</v>
      </c>
      <c r="AA133" s="9">
        <f>AB133+AC133</f>
        <v>2735.24</v>
      </c>
      <c r="AB133" s="1">
        <v>2735.24</v>
      </c>
      <c r="AC133" s="70">
        <v>0</v>
      </c>
      <c r="AD133" s="44">
        <f t="shared" ref="AD133:AD196" si="80">R133+U133+X133+AA133</f>
        <v>273598.36</v>
      </c>
      <c r="AE133" s="59">
        <v>0</v>
      </c>
      <c r="AF133" s="9">
        <f t="shared" si="79"/>
        <v>273598.36</v>
      </c>
      <c r="AG133" s="49" t="s">
        <v>966</v>
      </c>
      <c r="AH133" s="13" t="s">
        <v>151</v>
      </c>
      <c r="AI133" s="1">
        <v>165046.26</v>
      </c>
      <c r="AJ133" s="1">
        <v>27286.14</v>
      </c>
    </row>
    <row r="134" spans="1:37" ht="409.5" x14ac:dyDescent="0.25">
      <c r="A134" s="5">
        <f t="shared" ref="A134:A197" si="81">A133+1</f>
        <v>131</v>
      </c>
      <c r="B134" s="15">
        <v>119830</v>
      </c>
      <c r="C134" s="5">
        <v>474</v>
      </c>
      <c r="D134" s="40" t="s">
        <v>1985</v>
      </c>
      <c r="E134" s="5" t="s">
        <v>474</v>
      </c>
      <c r="F134" s="17" t="s">
        <v>832</v>
      </c>
      <c r="G134" s="5" t="s">
        <v>833</v>
      </c>
      <c r="H134" s="6" t="s">
        <v>151</v>
      </c>
      <c r="I134" s="8" t="s">
        <v>834</v>
      </c>
      <c r="J134" s="2">
        <v>43322</v>
      </c>
      <c r="K134" s="2">
        <v>43992</v>
      </c>
      <c r="L134" s="16">
        <f t="shared" si="77"/>
        <v>84.999997553055863</v>
      </c>
      <c r="M134" s="5">
        <v>4</v>
      </c>
      <c r="N134" s="5" t="s">
        <v>529</v>
      </c>
      <c r="O134" s="5" t="s">
        <v>835</v>
      </c>
      <c r="P134" s="3" t="s">
        <v>174</v>
      </c>
      <c r="Q134" s="5" t="s">
        <v>34</v>
      </c>
      <c r="R134" s="9">
        <f t="shared" si="78"/>
        <v>347372.04</v>
      </c>
      <c r="S134" s="1">
        <v>347372.04</v>
      </c>
      <c r="T134" s="1">
        <v>0</v>
      </c>
      <c r="U134" s="4">
        <f t="shared" si="75"/>
        <v>53127.519999999997</v>
      </c>
      <c r="V134" s="71">
        <v>53127.519999999997</v>
      </c>
      <c r="W134" s="71">
        <v>0</v>
      </c>
      <c r="X134" s="4">
        <f t="shared" si="76"/>
        <v>8173.4400000000005</v>
      </c>
      <c r="Y134" s="1">
        <v>8173.4400000000005</v>
      </c>
      <c r="Z134" s="1">
        <v>0</v>
      </c>
      <c r="AA134" s="9">
        <f>AB134+AC134</f>
        <v>0</v>
      </c>
      <c r="AB134" s="87">
        <v>0</v>
      </c>
      <c r="AC134" s="87">
        <v>0</v>
      </c>
      <c r="AD134" s="44">
        <f t="shared" si="80"/>
        <v>408673</v>
      </c>
      <c r="AE134" s="9">
        <v>0</v>
      </c>
      <c r="AF134" s="9">
        <f t="shared" si="79"/>
        <v>408673</v>
      </c>
      <c r="AG134" s="59" t="s">
        <v>966</v>
      </c>
      <c r="AH134" s="13" t="s">
        <v>971</v>
      </c>
      <c r="AI134" s="1">
        <v>312673.95</v>
      </c>
      <c r="AJ134" s="1">
        <v>47820.720000000008</v>
      </c>
    </row>
    <row r="135" spans="1:37" ht="163.5" customHeight="1" x14ac:dyDescent="0.25">
      <c r="A135" s="5">
        <f t="shared" si="81"/>
        <v>132</v>
      </c>
      <c r="B135" s="15">
        <v>118793</v>
      </c>
      <c r="C135" s="5">
        <v>446</v>
      </c>
      <c r="D135" s="8" t="s">
        <v>1986</v>
      </c>
      <c r="E135" s="5" t="s">
        <v>540</v>
      </c>
      <c r="F135" s="8" t="s">
        <v>836</v>
      </c>
      <c r="G135" s="5" t="s">
        <v>833</v>
      </c>
      <c r="H135" s="6"/>
      <c r="I135" s="60" t="s">
        <v>837</v>
      </c>
      <c r="J135" s="2">
        <v>43322</v>
      </c>
      <c r="K135" s="2">
        <v>43779</v>
      </c>
      <c r="L135" s="16">
        <f t="shared" si="77"/>
        <v>85.000000000000014</v>
      </c>
      <c r="M135" s="5">
        <v>4</v>
      </c>
      <c r="N135" s="5" t="s">
        <v>529</v>
      </c>
      <c r="O135" s="5" t="s">
        <v>835</v>
      </c>
      <c r="P135" s="5" t="s">
        <v>174</v>
      </c>
      <c r="Q135" s="5" t="s">
        <v>34</v>
      </c>
      <c r="R135" s="9">
        <f t="shared" si="78"/>
        <v>239897.2</v>
      </c>
      <c r="S135" s="131">
        <v>239897.2</v>
      </c>
      <c r="T135" s="70">
        <v>0</v>
      </c>
      <c r="U135" s="4">
        <f t="shared" si="75"/>
        <v>36690.160000000003</v>
      </c>
      <c r="V135" s="71">
        <v>36690.160000000003</v>
      </c>
      <c r="W135" s="71">
        <v>0</v>
      </c>
      <c r="X135" s="4">
        <f t="shared" si="76"/>
        <v>5644.6399999999994</v>
      </c>
      <c r="Y135" s="1">
        <v>5644.6399999999994</v>
      </c>
      <c r="Z135" s="1">
        <v>0</v>
      </c>
      <c r="AA135" s="9">
        <f>AB135+AC135</f>
        <v>0</v>
      </c>
      <c r="AB135" s="9">
        <v>0</v>
      </c>
      <c r="AC135" s="9">
        <v>0</v>
      </c>
      <c r="AD135" s="44">
        <f t="shared" si="80"/>
        <v>282232</v>
      </c>
      <c r="AE135" s="59"/>
      <c r="AF135" s="9">
        <f t="shared" si="79"/>
        <v>282232</v>
      </c>
      <c r="AG135" s="49" t="s">
        <v>966</v>
      </c>
      <c r="AH135" s="59" t="s">
        <v>1425</v>
      </c>
      <c r="AI135" s="1">
        <v>214650.99</v>
      </c>
      <c r="AJ135" s="1">
        <v>32828.959999999999</v>
      </c>
    </row>
    <row r="136" spans="1:37" s="23" customFormat="1" ht="178.5" customHeight="1" x14ac:dyDescent="0.25">
      <c r="A136" s="5">
        <f t="shared" si="81"/>
        <v>133</v>
      </c>
      <c r="B136" s="132">
        <v>126292</v>
      </c>
      <c r="C136" s="133">
        <v>514</v>
      </c>
      <c r="D136" s="40" t="s">
        <v>1985</v>
      </c>
      <c r="E136" s="19" t="s">
        <v>1018</v>
      </c>
      <c r="F136" s="134" t="s">
        <v>1037</v>
      </c>
      <c r="G136" s="19" t="s">
        <v>1038</v>
      </c>
      <c r="H136" s="135" t="s">
        <v>151</v>
      </c>
      <c r="I136" s="136" t="s">
        <v>1039</v>
      </c>
      <c r="J136" s="2">
        <v>43439</v>
      </c>
      <c r="K136" s="2">
        <v>44474</v>
      </c>
      <c r="L136" s="16">
        <f t="shared" si="77"/>
        <v>84.999999598958027</v>
      </c>
      <c r="M136" s="133">
        <v>4</v>
      </c>
      <c r="N136" s="19" t="s">
        <v>529</v>
      </c>
      <c r="O136" s="19" t="s">
        <v>361</v>
      </c>
      <c r="P136" s="19" t="s">
        <v>174</v>
      </c>
      <c r="Q136" s="5" t="s">
        <v>34</v>
      </c>
      <c r="R136" s="9">
        <f t="shared" si="78"/>
        <v>2331426.79</v>
      </c>
      <c r="S136" s="1">
        <v>2331426.79</v>
      </c>
      <c r="T136" s="1">
        <v>0</v>
      </c>
      <c r="U136" s="4">
        <f t="shared" si="75"/>
        <v>356571.17</v>
      </c>
      <c r="V136" s="71">
        <v>356571.17</v>
      </c>
      <c r="W136" s="71">
        <v>0</v>
      </c>
      <c r="X136" s="4">
        <f t="shared" si="76"/>
        <v>54857.1</v>
      </c>
      <c r="Y136" s="1">
        <v>54857.1</v>
      </c>
      <c r="Z136" s="1">
        <v>0</v>
      </c>
      <c r="AA136" s="4">
        <v>0</v>
      </c>
      <c r="AB136" s="1">
        <v>0</v>
      </c>
      <c r="AC136" s="1">
        <v>0</v>
      </c>
      <c r="AD136" s="44">
        <f t="shared" si="80"/>
        <v>2742855.06</v>
      </c>
      <c r="AE136" s="1"/>
      <c r="AF136" s="9">
        <f t="shared" si="79"/>
        <v>2742855.06</v>
      </c>
      <c r="AG136" s="59" t="s">
        <v>1690</v>
      </c>
      <c r="AH136" s="1" t="s">
        <v>2143</v>
      </c>
      <c r="AI136" s="1">
        <v>142930.13</v>
      </c>
      <c r="AJ136" s="1">
        <v>21859.91</v>
      </c>
    </row>
    <row r="137" spans="1:37" s="138" customFormat="1" ht="187.5" customHeight="1" x14ac:dyDescent="0.25">
      <c r="A137" s="5">
        <f t="shared" si="81"/>
        <v>134</v>
      </c>
      <c r="B137" s="15">
        <v>126320</v>
      </c>
      <c r="C137" s="133">
        <v>515</v>
      </c>
      <c r="D137" s="40" t="s">
        <v>1985</v>
      </c>
      <c r="E137" s="19" t="s">
        <v>1018</v>
      </c>
      <c r="F137" s="32" t="s">
        <v>1149</v>
      </c>
      <c r="G137" s="20" t="s">
        <v>208</v>
      </c>
      <c r="H137" s="19" t="s">
        <v>1151</v>
      </c>
      <c r="I137" s="134" t="s">
        <v>1150</v>
      </c>
      <c r="J137" s="2">
        <v>43531</v>
      </c>
      <c r="K137" s="2">
        <v>44627</v>
      </c>
      <c r="L137" s="16">
        <f t="shared" si="77"/>
        <v>84.263733041248912</v>
      </c>
      <c r="M137" s="133">
        <v>4</v>
      </c>
      <c r="N137" s="19" t="s">
        <v>529</v>
      </c>
      <c r="O137" s="19" t="s">
        <v>769</v>
      </c>
      <c r="P137" s="19" t="s">
        <v>174</v>
      </c>
      <c r="Q137" s="5" t="s">
        <v>34</v>
      </c>
      <c r="R137" s="76">
        <f t="shared" si="78"/>
        <v>2765436.54</v>
      </c>
      <c r="S137" s="19">
        <v>2765436.54</v>
      </c>
      <c r="T137" s="19">
        <v>0</v>
      </c>
      <c r="U137" s="4">
        <f t="shared" si="75"/>
        <v>450808.12</v>
      </c>
      <c r="V137" s="137">
        <v>450808.12</v>
      </c>
      <c r="W137" s="137">
        <v>0</v>
      </c>
      <c r="X137" s="4">
        <f t="shared" si="76"/>
        <v>28427.56</v>
      </c>
      <c r="Y137" s="19">
        <v>28427.56</v>
      </c>
      <c r="Z137" s="19">
        <v>0</v>
      </c>
      <c r="AA137" s="76">
        <f>AB137+AC137</f>
        <v>37210.080000000002</v>
      </c>
      <c r="AB137" s="19">
        <v>37210.080000000002</v>
      </c>
      <c r="AC137" s="19">
        <v>0</v>
      </c>
      <c r="AD137" s="44">
        <f t="shared" si="80"/>
        <v>3281882.3000000003</v>
      </c>
      <c r="AE137" s="19">
        <v>0</v>
      </c>
      <c r="AF137" s="76">
        <f t="shared" si="79"/>
        <v>3281882.3000000003</v>
      </c>
      <c r="AG137" s="59" t="s">
        <v>515</v>
      </c>
      <c r="AH137" s="19" t="s">
        <v>2170</v>
      </c>
      <c r="AI137" s="1">
        <f>266429.76+125991.5+33676.15-20905.43+606230.28</f>
        <v>1011422.26</v>
      </c>
      <c r="AJ137" s="1">
        <f>29705.22+12037.96+5150.47+20905.43+82411.3</f>
        <v>150210.38</v>
      </c>
    </row>
    <row r="138" spans="1:37" s="23" customFormat="1" ht="178.5" customHeight="1" x14ac:dyDescent="0.25">
      <c r="A138" s="5">
        <f t="shared" si="81"/>
        <v>135</v>
      </c>
      <c r="B138" s="139">
        <v>128004</v>
      </c>
      <c r="C138" s="133">
        <v>635</v>
      </c>
      <c r="D138" s="40" t="s">
        <v>1985</v>
      </c>
      <c r="E138" s="119" t="s">
        <v>1246</v>
      </c>
      <c r="F138" s="134" t="s">
        <v>1262</v>
      </c>
      <c r="G138" s="19" t="s">
        <v>1261</v>
      </c>
      <c r="H138" s="135" t="s">
        <v>151</v>
      </c>
      <c r="I138" s="136" t="s">
        <v>1263</v>
      </c>
      <c r="J138" s="2">
        <v>43620</v>
      </c>
      <c r="K138" s="2">
        <v>44473</v>
      </c>
      <c r="L138" s="16">
        <f t="shared" si="77"/>
        <v>85</v>
      </c>
      <c r="M138" s="133">
        <v>4</v>
      </c>
      <c r="N138" s="19" t="s">
        <v>529</v>
      </c>
      <c r="O138" s="19" t="s">
        <v>361</v>
      </c>
      <c r="P138" s="19" t="s">
        <v>174</v>
      </c>
      <c r="Q138" s="19" t="s">
        <v>34</v>
      </c>
      <c r="R138" s="9">
        <f t="shared" si="78"/>
        <v>1919118.95</v>
      </c>
      <c r="S138" s="1">
        <v>1919118.95</v>
      </c>
      <c r="T138" s="1">
        <v>0</v>
      </c>
      <c r="U138" s="4">
        <f t="shared" si="75"/>
        <v>293512.31</v>
      </c>
      <c r="V138" s="71">
        <v>293512.31</v>
      </c>
      <c r="W138" s="71">
        <v>0</v>
      </c>
      <c r="X138" s="4">
        <f t="shared" si="76"/>
        <v>45155.74</v>
      </c>
      <c r="Y138" s="1">
        <v>45155.74</v>
      </c>
      <c r="Z138" s="1">
        <v>0</v>
      </c>
      <c r="AA138" s="4">
        <v>0</v>
      </c>
      <c r="AB138" s="1">
        <v>0</v>
      </c>
      <c r="AC138" s="1">
        <v>0</v>
      </c>
      <c r="AD138" s="44">
        <f t="shared" si="80"/>
        <v>2257787</v>
      </c>
      <c r="AE138" s="1">
        <v>0</v>
      </c>
      <c r="AF138" s="9">
        <f t="shared" si="79"/>
        <v>2257787</v>
      </c>
      <c r="AG138" s="59" t="s">
        <v>515</v>
      </c>
      <c r="AH138" s="1" t="s">
        <v>2188</v>
      </c>
      <c r="AI138" s="1">
        <f>23213.93+189613.77</f>
        <v>212827.69999999998</v>
      </c>
      <c r="AJ138" s="1">
        <f>3550.36+28999.75</f>
        <v>32550.11</v>
      </c>
    </row>
    <row r="139" spans="1:37" s="23" customFormat="1" ht="178.5" customHeight="1" x14ac:dyDescent="0.25">
      <c r="A139" s="5">
        <f t="shared" si="81"/>
        <v>136</v>
      </c>
      <c r="B139" s="140">
        <v>126500</v>
      </c>
      <c r="C139" s="133">
        <v>501</v>
      </c>
      <c r="D139" s="134" t="s">
        <v>1988</v>
      </c>
      <c r="E139" s="119" t="s">
        <v>1130</v>
      </c>
      <c r="F139" s="141" t="s">
        <v>1274</v>
      </c>
      <c r="G139" s="19" t="s">
        <v>767</v>
      </c>
      <c r="H139" s="19" t="s">
        <v>247</v>
      </c>
      <c r="I139" s="136" t="s">
        <v>1275</v>
      </c>
      <c r="J139" s="2">
        <v>43626</v>
      </c>
      <c r="K139" s="2">
        <v>44714</v>
      </c>
      <c r="L139" s="16">
        <f t="shared" si="77"/>
        <v>83.560067781888534</v>
      </c>
      <c r="M139" s="133">
        <v>4</v>
      </c>
      <c r="N139" s="19" t="s">
        <v>529</v>
      </c>
      <c r="O139" s="19" t="s">
        <v>361</v>
      </c>
      <c r="P139" s="19" t="s">
        <v>275</v>
      </c>
      <c r="Q139" s="19" t="s">
        <v>34</v>
      </c>
      <c r="R139" s="9">
        <f t="shared" si="78"/>
        <v>1824019.35</v>
      </c>
      <c r="S139" s="1">
        <v>1824019.35</v>
      </c>
      <c r="T139" s="1">
        <v>0</v>
      </c>
      <c r="U139" s="4">
        <f t="shared" si="75"/>
        <v>315206.96999999997</v>
      </c>
      <c r="V139" s="71">
        <v>315206.96999999997</v>
      </c>
      <c r="W139" s="71">
        <v>0</v>
      </c>
      <c r="X139" s="4">
        <f t="shared" si="76"/>
        <v>6678.79</v>
      </c>
      <c r="Y139" s="1">
        <v>6678.79</v>
      </c>
      <c r="Z139" s="1">
        <v>0</v>
      </c>
      <c r="AA139" s="4">
        <f>AB139+AC139</f>
        <v>36978.89</v>
      </c>
      <c r="AB139" s="1">
        <v>36978.89</v>
      </c>
      <c r="AC139" s="1">
        <v>0</v>
      </c>
      <c r="AD139" s="44">
        <f t="shared" si="80"/>
        <v>2182884.0000000005</v>
      </c>
      <c r="AE139" s="1">
        <v>0</v>
      </c>
      <c r="AF139" s="9">
        <f t="shared" si="79"/>
        <v>2182884.0000000005</v>
      </c>
      <c r="AG139" s="59" t="s">
        <v>515</v>
      </c>
      <c r="AH139" s="1" t="s">
        <v>2034</v>
      </c>
      <c r="AI139" s="1">
        <f>198612.8-11848.59-516.96+238980.14+9798.05+33393-1619.29+301235.86+216667.51+34050.15</f>
        <v>1018752.67</v>
      </c>
      <c r="AJ139" s="1">
        <f>19674.2+11848.59+3814.49+6605.69+90184.69+5207.67</f>
        <v>137335.33000000002</v>
      </c>
    </row>
    <row r="140" spans="1:37" s="23" customFormat="1" ht="178.5" customHeight="1" x14ac:dyDescent="0.25">
      <c r="A140" s="5">
        <f t="shared" si="81"/>
        <v>137</v>
      </c>
      <c r="B140" s="140" t="s">
        <v>1815</v>
      </c>
      <c r="C140" s="133">
        <v>832</v>
      </c>
      <c r="D140" s="40" t="s">
        <v>1985</v>
      </c>
      <c r="E140" s="81" t="s">
        <v>1701</v>
      </c>
      <c r="F140" s="120" t="s">
        <v>1816</v>
      </c>
      <c r="G140" s="19" t="s">
        <v>1818</v>
      </c>
      <c r="H140" s="62" t="s">
        <v>151</v>
      </c>
      <c r="I140" s="101" t="s">
        <v>1817</v>
      </c>
      <c r="J140" s="63">
        <v>43998</v>
      </c>
      <c r="K140" s="63">
        <v>44728</v>
      </c>
      <c r="L140" s="16">
        <f t="shared" si="77"/>
        <v>85.000000651832096</v>
      </c>
      <c r="M140" s="133">
        <v>4</v>
      </c>
      <c r="N140" s="19" t="s">
        <v>529</v>
      </c>
      <c r="O140" s="19" t="s">
        <v>361</v>
      </c>
      <c r="P140" s="19" t="s">
        <v>174</v>
      </c>
      <c r="Q140" s="62" t="s">
        <v>34</v>
      </c>
      <c r="R140" s="9">
        <f t="shared" si="78"/>
        <v>1434418.48</v>
      </c>
      <c r="S140" s="66">
        <v>1434418.48</v>
      </c>
      <c r="T140" s="66">
        <v>0</v>
      </c>
      <c r="U140" s="4">
        <f t="shared" si="75"/>
        <v>219381.63</v>
      </c>
      <c r="V140" s="68">
        <v>219381.63</v>
      </c>
      <c r="W140" s="68">
        <v>0</v>
      </c>
      <c r="X140" s="4">
        <f t="shared" si="76"/>
        <v>33751.03</v>
      </c>
      <c r="Y140" s="66">
        <v>33751.03</v>
      </c>
      <c r="Z140" s="66">
        <v>0</v>
      </c>
      <c r="AA140" s="4">
        <f>AB140+AC140</f>
        <v>0</v>
      </c>
      <c r="AB140" s="1">
        <v>0</v>
      </c>
      <c r="AC140" s="1">
        <v>0</v>
      </c>
      <c r="AD140" s="44">
        <f t="shared" si="80"/>
        <v>1687551.14</v>
      </c>
      <c r="AE140" s="1">
        <v>0</v>
      </c>
      <c r="AF140" s="9">
        <f t="shared" si="79"/>
        <v>1687551.14</v>
      </c>
      <c r="AG140" s="59" t="s">
        <v>515</v>
      </c>
      <c r="AH140" s="80" t="s">
        <v>296</v>
      </c>
      <c r="AI140" s="1">
        <v>1658.86</v>
      </c>
      <c r="AJ140" s="1">
        <v>253.71</v>
      </c>
    </row>
    <row r="141" spans="1:37" ht="252" x14ac:dyDescent="0.25">
      <c r="A141" s="5">
        <f t="shared" si="81"/>
        <v>138</v>
      </c>
      <c r="B141" s="15">
        <v>120590</v>
      </c>
      <c r="C141" s="6">
        <v>69</v>
      </c>
      <c r="D141" s="40" t="s">
        <v>1985</v>
      </c>
      <c r="E141" s="17" t="s">
        <v>278</v>
      </c>
      <c r="F141" s="8" t="s">
        <v>175</v>
      </c>
      <c r="G141" s="5" t="s">
        <v>878</v>
      </c>
      <c r="H141" s="5" t="s">
        <v>151</v>
      </c>
      <c r="I141" s="74" t="s">
        <v>179</v>
      </c>
      <c r="J141" s="2">
        <v>43129</v>
      </c>
      <c r="K141" s="2">
        <v>43553</v>
      </c>
      <c r="L141" s="16">
        <f t="shared" ref="L141:L146" si="82">R141/AD141*100</f>
        <v>85</v>
      </c>
      <c r="M141" s="5">
        <v>2</v>
      </c>
      <c r="N141" s="5" t="s">
        <v>186</v>
      </c>
      <c r="O141" s="5" t="s">
        <v>184</v>
      </c>
      <c r="P141" s="3" t="s">
        <v>174</v>
      </c>
      <c r="Q141" s="5" t="s">
        <v>34</v>
      </c>
      <c r="R141" s="9">
        <f t="shared" ref="R141:R146" si="83">S141+T141</f>
        <v>312939.57</v>
      </c>
      <c r="S141" s="9">
        <v>312939.57</v>
      </c>
      <c r="T141" s="9">
        <v>0</v>
      </c>
      <c r="U141" s="4">
        <f t="shared" ref="U141:U146" si="84">V141+W141</f>
        <v>47861.35</v>
      </c>
      <c r="V141" s="53">
        <v>47861.35</v>
      </c>
      <c r="W141" s="53">
        <v>0</v>
      </c>
      <c r="X141" s="4">
        <f t="shared" ref="X141:X146" si="85">Y141+Z141</f>
        <v>7363.28</v>
      </c>
      <c r="Y141" s="9">
        <v>7363.28</v>
      </c>
      <c r="Z141" s="9">
        <v>0</v>
      </c>
      <c r="AA141" s="9">
        <f t="shared" ref="AA141:AA146" si="86">AB141+AC141</f>
        <v>0</v>
      </c>
      <c r="AB141" s="9">
        <v>0</v>
      </c>
      <c r="AC141" s="9">
        <v>0</v>
      </c>
      <c r="AD141" s="44">
        <f t="shared" si="80"/>
        <v>368164.2</v>
      </c>
      <c r="AE141" s="9">
        <v>0</v>
      </c>
      <c r="AF141" s="9">
        <f t="shared" ref="AF141:AF146" si="87">AD141+AE141</f>
        <v>368164.2</v>
      </c>
      <c r="AG141" s="49" t="s">
        <v>966</v>
      </c>
      <c r="AH141" s="13" t="s">
        <v>151</v>
      </c>
      <c r="AI141" s="1">
        <v>269997.55</v>
      </c>
      <c r="AJ141" s="1">
        <v>41293.74</v>
      </c>
    </row>
    <row r="142" spans="1:37" ht="409.5" x14ac:dyDescent="0.25">
      <c r="A142" s="5">
        <f t="shared" si="81"/>
        <v>139</v>
      </c>
      <c r="B142" s="15">
        <v>118013</v>
      </c>
      <c r="C142" s="5">
        <v>419</v>
      </c>
      <c r="D142" s="8" t="s">
        <v>1986</v>
      </c>
      <c r="E142" s="5" t="s">
        <v>540</v>
      </c>
      <c r="F142" s="8" t="s">
        <v>877</v>
      </c>
      <c r="G142" s="5" t="s">
        <v>878</v>
      </c>
      <c r="H142" s="5" t="s">
        <v>151</v>
      </c>
      <c r="I142" s="8" t="s">
        <v>879</v>
      </c>
      <c r="J142" s="2">
        <v>43336</v>
      </c>
      <c r="K142" s="2">
        <v>43762</v>
      </c>
      <c r="L142" s="16">
        <f t="shared" si="82"/>
        <v>84.999998597642829</v>
      </c>
      <c r="M142" s="5">
        <v>2</v>
      </c>
      <c r="N142" s="5" t="s">
        <v>186</v>
      </c>
      <c r="O142" s="5" t="s">
        <v>184</v>
      </c>
      <c r="P142" s="3" t="s">
        <v>174</v>
      </c>
      <c r="Q142" s="5" t="s">
        <v>34</v>
      </c>
      <c r="R142" s="9">
        <f t="shared" si="83"/>
        <v>242448.93</v>
      </c>
      <c r="S142" s="1">
        <v>242448.93</v>
      </c>
      <c r="T142" s="1">
        <v>0</v>
      </c>
      <c r="U142" s="4">
        <f t="shared" si="84"/>
        <v>37080.43</v>
      </c>
      <c r="V142" s="71">
        <v>37080.43</v>
      </c>
      <c r="W142" s="71">
        <v>0</v>
      </c>
      <c r="X142" s="4">
        <f t="shared" si="85"/>
        <v>5704.68</v>
      </c>
      <c r="Y142" s="1">
        <v>5704.68</v>
      </c>
      <c r="Z142" s="1">
        <v>0</v>
      </c>
      <c r="AA142" s="9">
        <f t="shared" si="86"/>
        <v>0</v>
      </c>
      <c r="AB142" s="1">
        <v>0</v>
      </c>
      <c r="AC142" s="1">
        <v>0</v>
      </c>
      <c r="AD142" s="44">
        <f t="shared" si="80"/>
        <v>285234.03999999998</v>
      </c>
      <c r="AE142" s="59">
        <v>0</v>
      </c>
      <c r="AF142" s="9">
        <f t="shared" si="87"/>
        <v>285234.03999999998</v>
      </c>
      <c r="AG142" s="49" t="s">
        <v>966</v>
      </c>
      <c r="AH142" s="13" t="s">
        <v>151</v>
      </c>
      <c r="AI142" s="1">
        <v>220919.96</v>
      </c>
      <c r="AJ142" s="1">
        <v>33787.72</v>
      </c>
    </row>
    <row r="143" spans="1:37" ht="189" x14ac:dyDescent="0.25">
      <c r="A143" s="5">
        <f t="shared" si="81"/>
        <v>140</v>
      </c>
      <c r="B143" s="15">
        <v>126419</v>
      </c>
      <c r="C143" s="15">
        <v>561</v>
      </c>
      <c r="D143" s="40" t="s">
        <v>1985</v>
      </c>
      <c r="E143" s="17" t="s">
        <v>1018</v>
      </c>
      <c r="F143" s="8" t="s">
        <v>1023</v>
      </c>
      <c r="G143" s="5" t="s">
        <v>878</v>
      </c>
      <c r="H143" s="5" t="s">
        <v>151</v>
      </c>
      <c r="I143" s="41" t="s">
        <v>1024</v>
      </c>
      <c r="J143" s="2">
        <v>43432</v>
      </c>
      <c r="K143" s="2">
        <v>44832</v>
      </c>
      <c r="L143" s="16">
        <f t="shared" si="82"/>
        <v>85</v>
      </c>
      <c r="M143" s="15">
        <v>2</v>
      </c>
      <c r="N143" s="5" t="s">
        <v>186</v>
      </c>
      <c r="O143" s="5" t="s">
        <v>184</v>
      </c>
      <c r="P143" s="31" t="s">
        <v>174</v>
      </c>
      <c r="Q143" s="5" t="s">
        <v>34</v>
      </c>
      <c r="R143" s="112">
        <f t="shared" si="83"/>
        <v>2627225.9</v>
      </c>
      <c r="S143" s="1">
        <v>2627225.9</v>
      </c>
      <c r="T143" s="1">
        <v>0</v>
      </c>
      <c r="U143" s="4">
        <f t="shared" si="84"/>
        <v>401811.02</v>
      </c>
      <c r="V143" s="53">
        <v>401811.02</v>
      </c>
      <c r="W143" s="71">
        <v>0</v>
      </c>
      <c r="X143" s="4">
        <f t="shared" si="85"/>
        <v>61817.079999999994</v>
      </c>
      <c r="Y143" s="114">
        <v>61817.079999999994</v>
      </c>
      <c r="Z143" s="1">
        <v>0</v>
      </c>
      <c r="AA143" s="9">
        <f t="shared" si="86"/>
        <v>0</v>
      </c>
      <c r="AB143" s="1">
        <v>0</v>
      </c>
      <c r="AC143" s="1">
        <v>0</v>
      </c>
      <c r="AD143" s="44">
        <f t="shared" si="80"/>
        <v>3090854</v>
      </c>
      <c r="AE143" s="15">
        <v>0</v>
      </c>
      <c r="AF143" s="9">
        <f t="shared" si="87"/>
        <v>3090854</v>
      </c>
      <c r="AG143" s="59" t="s">
        <v>515</v>
      </c>
      <c r="AH143" s="11" t="s">
        <v>151</v>
      </c>
      <c r="AI143" s="1">
        <f>316850.48-6689.8-24163.88-3750.5</f>
        <v>282246.3</v>
      </c>
      <c r="AJ143" s="1">
        <f>1187.66+6689.8+24163.88+3750.5</f>
        <v>35791.839999999997</v>
      </c>
    </row>
    <row r="144" spans="1:37" ht="173.25" x14ac:dyDescent="0.25">
      <c r="A144" s="5">
        <f t="shared" si="81"/>
        <v>141</v>
      </c>
      <c r="B144" s="15">
        <v>125256</v>
      </c>
      <c r="C144" s="15">
        <v>562</v>
      </c>
      <c r="D144" s="40" t="s">
        <v>1985</v>
      </c>
      <c r="E144" s="17" t="s">
        <v>1018</v>
      </c>
      <c r="F144" s="8" t="s">
        <v>1051</v>
      </c>
      <c r="G144" s="5" t="s">
        <v>2007</v>
      </c>
      <c r="H144" s="5" t="s">
        <v>151</v>
      </c>
      <c r="I144" s="41" t="s">
        <v>1050</v>
      </c>
      <c r="J144" s="2">
        <v>43444</v>
      </c>
      <c r="K144" s="2">
        <v>43931</v>
      </c>
      <c r="L144" s="16">
        <f t="shared" si="82"/>
        <v>84.999999921204406</v>
      </c>
      <c r="M144" s="15">
        <v>2</v>
      </c>
      <c r="N144" s="5" t="s">
        <v>186</v>
      </c>
      <c r="O144" s="5" t="s">
        <v>186</v>
      </c>
      <c r="P144" s="31" t="s">
        <v>174</v>
      </c>
      <c r="Q144" s="5" t="s">
        <v>34</v>
      </c>
      <c r="R144" s="112">
        <f t="shared" si="83"/>
        <v>3236221.13</v>
      </c>
      <c r="S144" s="1">
        <v>3236221.13</v>
      </c>
      <c r="T144" s="1">
        <v>0</v>
      </c>
      <c r="U144" s="4">
        <f t="shared" si="84"/>
        <v>494951.47</v>
      </c>
      <c r="V144" s="53">
        <v>494951.47</v>
      </c>
      <c r="W144" s="71">
        <v>0</v>
      </c>
      <c r="X144" s="4">
        <f t="shared" si="85"/>
        <v>76146.38</v>
      </c>
      <c r="Y144" s="114">
        <v>76146.38</v>
      </c>
      <c r="Z144" s="1">
        <v>0</v>
      </c>
      <c r="AA144" s="9">
        <f t="shared" si="86"/>
        <v>0</v>
      </c>
      <c r="AB144" s="1">
        <v>0</v>
      </c>
      <c r="AC144" s="1">
        <v>0</v>
      </c>
      <c r="AD144" s="44">
        <f t="shared" si="80"/>
        <v>3807318.9799999995</v>
      </c>
      <c r="AE144" s="15">
        <v>630578.23</v>
      </c>
      <c r="AF144" s="9">
        <f t="shared" si="87"/>
        <v>4437897.209999999</v>
      </c>
      <c r="AG144" s="59" t="s">
        <v>966</v>
      </c>
      <c r="AH144" s="59" t="s">
        <v>1645</v>
      </c>
      <c r="AI144" s="1">
        <v>2739230.71</v>
      </c>
      <c r="AJ144" s="1">
        <v>418941.15000000008</v>
      </c>
    </row>
    <row r="145" spans="1:37" ht="362.25" x14ac:dyDescent="0.25">
      <c r="A145" s="5">
        <f t="shared" si="81"/>
        <v>142</v>
      </c>
      <c r="B145" s="15">
        <v>126291</v>
      </c>
      <c r="C145" s="78">
        <v>535</v>
      </c>
      <c r="D145" s="40" t="s">
        <v>1985</v>
      </c>
      <c r="E145" s="17" t="s">
        <v>1018</v>
      </c>
      <c r="F145" s="8" t="s">
        <v>1110</v>
      </c>
      <c r="G145" s="5" t="s">
        <v>1111</v>
      </c>
      <c r="H145" s="5" t="s">
        <v>362</v>
      </c>
      <c r="I145" s="41" t="s">
        <v>1112</v>
      </c>
      <c r="J145" s="2">
        <v>43493</v>
      </c>
      <c r="K145" s="2">
        <v>44344</v>
      </c>
      <c r="L145" s="16">
        <f t="shared" si="82"/>
        <v>85</v>
      </c>
      <c r="M145" s="15">
        <v>2</v>
      </c>
      <c r="N145" s="5" t="s">
        <v>186</v>
      </c>
      <c r="O145" s="5" t="s">
        <v>186</v>
      </c>
      <c r="P145" s="31" t="s">
        <v>174</v>
      </c>
      <c r="Q145" s="5" t="s">
        <v>34</v>
      </c>
      <c r="R145" s="112">
        <f t="shared" si="83"/>
        <v>1370650.5</v>
      </c>
      <c r="S145" s="1">
        <v>1370650.5</v>
      </c>
      <c r="T145" s="1">
        <v>0</v>
      </c>
      <c r="U145" s="4">
        <f t="shared" si="84"/>
        <v>209628.9</v>
      </c>
      <c r="V145" s="53">
        <v>209628.9</v>
      </c>
      <c r="W145" s="113">
        <v>0</v>
      </c>
      <c r="X145" s="4">
        <f t="shared" si="85"/>
        <v>32250.6</v>
      </c>
      <c r="Y145" s="114">
        <v>32250.6</v>
      </c>
      <c r="Z145" s="1">
        <v>0</v>
      </c>
      <c r="AA145" s="9">
        <f t="shared" si="86"/>
        <v>0</v>
      </c>
      <c r="AB145" s="9">
        <v>0</v>
      </c>
      <c r="AC145" s="9">
        <v>0</v>
      </c>
      <c r="AD145" s="44">
        <f t="shared" si="80"/>
        <v>1612530</v>
      </c>
      <c r="AE145" s="15"/>
      <c r="AF145" s="9">
        <f t="shared" si="87"/>
        <v>1612530</v>
      </c>
      <c r="AG145" s="59" t="s">
        <v>966</v>
      </c>
      <c r="AH145" s="59" t="s">
        <v>1887</v>
      </c>
      <c r="AI145" s="1">
        <f>355563.46+309565.75+152873.35+9352.55</f>
        <v>827355.11</v>
      </c>
      <c r="AJ145" s="1">
        <f>54380.3+47345.35+23380.63+1430.39</f>
        <v>126536.67</v>
      </c>
    </row>
    <row r="146" spans="1:37" ht="157.5" x14ac:dyDescent="0.25">
      <c r="A146" s="5">
        <f t="shared" si="81"/>
        <v>143</v>
      </c>
      <c r="B146" s="15">
        <v>128555</v>
      </c>
      <c r="C146" s="78">
        <v>679</v>
      </c>
      <c r="D146" s="40" t="s">
        <v>1985</v>
      </c>
      <c r="E146" s="17" t="s">
        <v>1246</v>
      </c>
      <c r="F146" s="8" t="s">
        <v>1436</v>
      </c>
      <c r="G146" s="5" t="s">
        <v>1111</v>
      </c>
      <c r="H146" s="142" t="s">
        <v>1606</v>
      </c>
      <c r="I146" s="41" t="s">
        <v>1437</v>
      </c>
      <c r="J146" s="2">
        <v>43690</v>
      </c>
      <c r="K146" s="2">
        <v>44178</v>
      </c>
      <c r="L146" s="16">
        <f t="shared" si="82"/>
        <v>84.193851603626115</v>
      </c>
      <c r="M146" s="15">
        <v>2</v>
      </c>
      <c r="N146" s="5" t="s">
        <v>186</v>
      </c>
      <c r="O146" s="5" t="s">
        <v>186</v>
      </c>
      <c r="P146" s="31" t="s">
        <v>174</v>
      </c>
      <c r="Q146" s="5" t="s">
        <v>34</v>
      </c>
      <c r="R146" s="112">
        <f t="shared" si="83"/>
        <v>298646.52</v>
      </c>
      <c r="S146" s="1">
        <v>298646.52</v>
      </c>
      <c r="T146" s="1">
        <v>0</v>
      </c>
      <c r="U146" s="4">
        <f t="shared" si="84"/>
        <v>48972.19</v>
      </c>
      <c r="V146" s="53">
        <v>48972.19</v>
      </c>
      <c r="W146" s="71">
        <v>0</v>
      </c>
      <c r="X146" s="4">
        <f t="shared" si="85"/>
        <v>3730.13</v>
      </c>
      <c r="Y146" s="114">
        <v>3730.13</v>
      </c>
      <c r="Z146" s="1">
        <v>0</v>
      </c>
      <c r="AA146" s="9">
        <f t="shared" si="86"/>
        <v>3364.14</v>
      </c>
      <c r="AB146" s="5">
        <v>3364.14</v>
      </c>
      <c r="AC146" s="1">
        <v>0</v>
      </c>
      <c r="AD146" s="44">
        <f t="shared" si="80"/>
        <v>354712.98000000004</v>
      </c>
      <c r="AE146" s="15"/>
      <c r="AF146" s="9">
        <f t="shared" si="87"/>
        <v>354712.98000000004</v>
      </c>
      <c r="AG146" s="59" t="s">
        <v>966</v>
      </c>
      <c r="AH146" s="59" t="s">
        <v>1954</v>
      </c>
      <c r="AI146" s="1">
        <f>185469.97+6878.14+35470+27093.36+4489.6</f>
        <v>259401.07000000004</v>
      </c>
      <c r="AJ146" s="1">
        <f>4005.59+20340.83+7694.75+10159.19+699.82</f>
        <v>42900.18</v>
      </c>
    </row>
    <row r="147" spans="1:37" ht="141.75" x14ac:dyDescent="0.25">
      <c r="A147" s="5">
        <f t="shared" si="81"/>
        <v>144</v>
      </c>
      <c r="B147" s="5">
        <v>111029</v>
      </c>
      <c r="C147" s="6">
        <v>126</v>
      </c>
      <c r="D147" s="40" t="s">
        <v>1985</v>
      </c>
      <c r="E147" s="17" t="s">
        <v>278</v>
      </c>
      <c r="F147" s="8" t="s">
        <v>334</v>
      </c>
      <c r="G147" s="5" t="s">
        <v>335</v>
      </c>
      <c r="H147" s="5" t="s">
        <v>151</v>
      </c>
      <c r="I147" s="41" t="s">
        <v>336</v>
      </c>
      <c r="J147" s="2">
        <v>43208</v>
      </c>
      <c r="K147" s="2">
        <v>43695</v>
      </c>
      <c r="L147" s="16">
        <f t="shared" ref="L147:L152" si="88">R147/AD147*100</f>
        <v>85.000001177275294</v>
      </c>
      <c r="M147" s="5">
        <v>3</v>
      </c>
      <c r="N147" s="5" t="s">
        <v>333</v>
      </c>
      <c r="O147" s="5" t="s">
        <v>333</v>
      </c>
      <c r="P147" s="3" t="s">
        <v>174</v>
      </c>
      <c r="Q147" s="5" t="s">
        <v>34</v>
      </c>
      <c r="R147" s="4">
        <f>S147+T147</f>
        <v>361003.08</v>
      </c>
      <c r="S147" s="9">
        <v>361003.08</v>
      </c>
      <c r="T147" s="9">
        <v>0</v>
      </c>
      <c r="U147" s="4">
        <f t="shared" ref="U147:U152" si="89">V147+W147</f>
        <v>55212.23</v>
      </c>
      <c r="V147" s="53">
        <v>55212.23</v>
      </c>
      <c r="W147" s="53"/>
      <c r="X147" s="4">
        <f t="shared" ref="X147:X152" si="90">Y147+Z147</f>
        <v>8494.19</v>
      </c>
      <c r="Y147" s="9">
        <v>8494.19</v>
      </c>
      <c r="Z147" s="9">
        <v>0</v>
      </c>
      <c r="AA147" s="9">
        <f t="shared" ref="AA147:AA152" si="91">AB147+AC147</f>
        <v>0</v>
      </c>
      <c r="AB147" s="9">
        <v>0</v>
      </c>
      <c r="AC147" s="9">
        <v>0</v>
      </c>
      <c r="AD147" s="44">
        <f t="shared" si="80"/>
        <v>424709.5</v>
      </c>
      <c r="AE147" s="9">
        <v>0</v>
      </c>
      <c r="AF147" s="9">
        <f t="shared" ref="AF147:AF152" si="92">AD147+AE147</f>
        <v>424709.5</v>
      </c>
      <c r="AG147" s="49" t="s">
        <v>966</v>
      </c>
      <c r="AH147" s="13" t="s">
        <v>151</v>
      </c>
      <c r="AI147" s="1">
        <v>306350.18</v>
      </c>
      <c r="AJ147" s="1">
        <v>46853.56</v>
      </c>
    </row>
    <row r="148" spans="1:37" ht="141.75" x14ac:dyDescent="0.25">
      <c r="A148" s="5">
        <f t="shared" si="81"/>
        <v>145</v>
      </c>
      <c r="B148" s="5">
        <v>116685</v>
      </c>
      <c r="C148" s="5">
        <v>407</v>
      </c>
      <c r="D148" s="8" t="s">
        <v>1986</v>
      </c>
      <c r="E148" s="17" t="s">
        <v>540</v>
      </c>
      <c r="F148" s="17" t="s">
        <v>712</v>
      </c>
      <c r="G148" s="5" t="s">
        <v>715</v>
      </c>
      <c r="H148" s="5" t="s">
        <v>713</v>
      </c>
      <c r="I148" s="41" t="s">
        <v>714</v>
      </c>
      <c r="J148" s="2">
        <v>43298</v>
      </c>
      <c r="K148" s="2">
        <v>43907</v>
      </c>
      <c r="L148" s="16">
        <f t="shared" si="88"/>
        <v>84.519132769277391</v>
      </c>
      <c r="M148" s="5">
        <v>3</v>
      </c>
      <c r="N148" s="5" t="s">
        <v>333</v>
      </c>
      <c r="O148" s="5" t="s">
        <v>333</v>
      </c>
      <c r="P148" s="3" t="s">
        <v>174</v>
      </c>
      <c r="Q148" s="5" t="s">
        <v>34</v>
      </c>
      <c r="R148" s="4">
        <f>S148+T148</f>
        <v>335058.15000000002</v>
      </c>
      <c r="S148" s="9">
        <v>335058.15000000002</v>
      </c>
      <c r="T148" s="9">
        <v>0</v>
      </c>
      <c r="U148" s="4">
        <f t="shared" si="89"/>
        <v>53442.06</v>
      </c>
      <c r="V148" s="53">
        <v>53442.06</v>
      </c>
      <c r="W148" s="53">
        <v>0</v>
      </c>
      <c r="X148" s="4">
        <f t="shared" si="90"/>
        <v>0</v>
      </c>
      <c r="Y148" s="9">
        <v>0</v>
      </c>
      <c r="Z148" s="9">
        <v>0</v>
      </c>
      <c r="AA148" s="9">
        <f t="shared" si="91"/>
        <v>7928.55</v>
      </c>
      <c r="AB148" s="9">
        <v>7928.55</v>
      </c>
      <c r="AC148" s="9">
        <v>0</v>
      </c>
      <c r="AD148" s="44">
        <f t="shared" si="80"/>
        <v>396428.76</v>
      </c>
      <c r="AE148" s="9">
        <v>0</v>
      </c>
      <c r="AF148" s="9">
        <f t="shared" si="92"/>
        <v>396428.76</v>
      </c>
      <c r="AG148" s="59" t="s">
        <v>966</v>
      </c>
      <c r="AH148" s="13" t="s">
        <v>1266</v>
      </c>
      <c r="AI148" s="1">
        <v>326035.62</v>
      </c>
      <c r="AJ148" s="1">
        <v>51899.82</v>
      </c>
    </row>
    <row r="149" spans="1:37" ht="409.5" x14ac:dyDescent="0.25">
      <c r="A149" s="5">
        <f t="shared" si="81"/>
        <v>146</v>
      </c>
      <c r="B149" s="5">
        <v>118751</v>
      </c>
      <c r="C149" s="5">
        <v>437</v>
      </c>
      <c r="D149" s="8" t="s">
        <v>1986</v>
      </c>
      <c r="E149" s="17" t="s">
        <v>540</v>
      </c>
      <c r="F149" s="8" t="s">
        <v>885</v>
      </c>
      <c r="G149" s="5" t="s">
        <v>335</v>
      </c>
      <c r="H149" s="5" t="s">
        <v>151</v>
      </c>
      <c r="I149" s="41" t="s">
        <v>1599</v>
      </c>
      <c r="J149" s="2">
        <v>43340</v>
      </c>
      <c r="K149" s="2">
        <v>43644</v>
      </c>
      <c r="L149" s="16">
        <f t="shared" si="88"/>
        <v>85.000001668371198</v>
      </c>
      <c r="M149" s="5">
        <v>3</v>
      </c>
      <c r="N149" s="5" t="s">
        <v>333</v>
      </c>
      <c r="O149" s="5" t="s">
        <v>333</v>
      </c>
      <c r="P149" s="3" t="s">
        <v>174</v>
      </c>
      <c r="Q149" s="5" t="s">
        <v>34</v>
      </c>
      <c r="R149" s="4">
        <v>254739.48</v>
      </c>
      <c r="S149" s="1">
        <v>254739.48</v>
      </c>
      <c r="T149" s="9">
        <v>0</v>
      </c>
      <c r="U149" s="4">
        <f t="shared" si="89"/>
        <v>38960.15</v>
      </c>
      <c r="V149" s="53">
        <v>38960.15</v>
      </c>
      <c r="W149" s="53">
        <v>0</v>
      </c>
      <c r="X149" s="4">
        <f t="shared" si="90"/>
        <v>5993.87</v>
      </c>
      <c r="Y149" s="9">
        <v>5993.87</v>
      </c>
      <c r="Z149" s="9">
        <v>0</v>
      </c>
      <c r="AA149" s="9">
        <f t="shared" si="91"/>
        <v>0</v>
      </c>
      <c r="AB149" s="9">
        <v>0</v>
      </c>
      <c r="AC149" s="9">
        <v>0</v>
      </c>
      <c r="AD149" s="44">
        <f t="shared" si="80"/>
        <v>299693.5</v>
      </c>
      <c r="AE149" s="9">
        <v>0</v>
      </c>
      <c r="AF149" s="9">
        <f t="shared" si="92"/>
        <v>299693.5</v>
      </c>
      <c r="AG149" s="49" t="s">
        <v>966</v>
      </c>
      <c r="AH149" s="13" t="s">
        <v>151</v>
      </c>
      <c r="AI149" s="1">
        <v>248993.41</v>
      </c>
      <c r="AJ149" s="1">
        <v>38081.339999999997</v>
      </c>
      <c r="AK149" s="52"/>
    </row>
    <row r="150" spans="1:37" ht="173.25" x14ac:dyDescent="0.25">
      <c r="A150" s="5">
        <f t="shared" si="81"/>
        <v>147</v>
      </c>
      <c r="B150" s="15">
        <v>126535</v>
      </c>
      <c r="C150" s="5">
        <v>564</v>
      </c>
      <c r="D150" s="40" t="s">
        <v>1985</v>
      </c>
      <c r="E150" s="17" t="s">
        <v>1018</v>
      </c>
      <c r="F150" s="15" t="s">
        <v>1069</v>
      </c>
      <c r="G150" s="5" t="s">
        <v>335</v>
      </c>
      <c r="H150" s="6" t="s">
        <v>151</v>
      </c>
      <c r="I150" s="8" t="s">
        <v>1070</v>
      </c>
      <c r="J150" s="2">
        <v>43447</v>
      </c>
      <c r="K150" s="2">
        <v>44543</v>
      </c>
      <c r="L150" s="16">
        <f t="shared" si="88"/>
        <v>85</v>
      </c>
      <c r="M150" s="5">
        <v>3</v>
      </c>
      <c r="N150" s="5" t="s">
        <v>333</v>
      </c>
      <c r="O150" s="5" t="s">
        <v>333</v>
      </c>
      <c r="P150" s="3" t="s">
        <v>174</v>
      </c>
      <c r="Q150" s="5" t="s">
        <v>34</v>
      </c>
      <c r="R150" s="4">
        <f>S150+T150</f>
        <v>3199377.9</v>
      </c>
      <c r="S150" s="1">
        <v>3199377.9</v>
      </c>
      <c r="T150" s="1">
        <v>0</v>
      </c>
      <c r="U150" s="4">
        <f t="shared" si="89"/>
        <v>489316.62</v>
      </c>
      <c r="V150" s="71">
        <v>489316.62</v>
      </c>
      <c r="W150" s="71">
        <v>0</v>
      </c>
      <c r="X150" s="4">
        <f t="shared" si="90"/>
        <v>75279.48</v>
      </c>
      <c r="Y150" s="9">
        <v>75279.48</v>
      </c>
      <c r="Z150" s="9">
        <v>0</v>
      </c>
      <c r="AA150" s="9">
        <f t="shared" si="91"/>
        <v>0</v>
      </c>
      <c r="AB150" s="1">
        <v>0</v>
      </c>
      <c r="AC150" s="1">
        <v>0</v>
      </c>
      <c r="AD150" s="44">
        <f t="shared" si="80"/>
        <v>3763974</v>
      </c>
      <c r="AE150" s="9">
        <v>0</v>
      </c>
      <c r="AF150" s="9">
        <f t="shared" si="92"/>
        <v>3763974</v>
      </c>
      <c r="AG150" s="59" t="s">
        <v>515</v>
      </c>
      <c r="AH150" s="13" t="s">
        <v>2034</v>
      </c>
      <c r="AI150" s="1">
        <f>436731.77-12762.45</f>
        <v>423969.32</v>
      </c>
      <c r="AJ150" s="1">
        <f>49783.81+15058.55</f>
        <v>64842.36</v>
      </c>
    </row>
    <row r="151" spans="1:37" ht="189" x14ac:dyDescent="0.25">
      <c r="A151" s="5">
        <f t="shared" si="81"/>
        <v>148</v>
      </c>
      <c r="B151" s="15">
        <v>135893</v>
      </c>
      <c r="C151" s="5">
        <v>791</v>
      </c>
      <c r="D151" s="40" t="s">
        <v>1985</v>
      </c>
      <c r="E151" s="17" t="s">
        <v>1701</v>
      </c>
      <c r="F151" s="15" t="s">
        <v>1721</v>
      </c>
      <c r="G151" s="5" t="s">
        <v>335</v>
      </c>
      <c r="H151" s="5" t="s">
        <v>151</v>
      </c>
      <c r="I151" s="41" t="s">
        <v>1722</v>
      </c>
      <c r="J151" s="63">
        <v>43959</v>
      </c>
      <c r="K151" s="63">
        <v>44873</v>
      </c>
      <c r="L151" s="16">
        <f t="shared" si="88"/>
        <v>85.000000000000014</v>
      </c>
      <c r="M151" s="62">
        <v>3</v>
      </c>
      <c r="N151" s="5" t="s">
        <v>333</v>
      </c>
      <c r="O151" s="5" t="s">
        <v>333</v>
      </c>
      <c r="P151" s="65" t="s">
        <v>174</v>
      </c>
      <c r="Q151" s="62" t="s">
        <v>34</v>
      </c>
      <c r="R151" s="4">
        <f>S151+T151</f>
        <v>3203800.45</v>
      </c>
      <c r="S151" s="1">
        <v>3203800.45</v>
      </c>
      <c r="T151" s="1">
        <v>0</v>
      </c>
      <c r="U151" s="4">
        <f t="shared" si="89"/>
        <v>489993.01</v>
      </c>
      <c r="V151" s="71">
        <v>489993.01</v>
      </c>
      <c r="W151" s="71">
        <v>0</v>
      </c>
      <c r="X151" s="4">
        <f t="shared" si="90"/>
        <v>75383.539999999994</v>
      </c>
      <c r="Y151" s="9">
        <v>75383.539999999994</v>
      </c>
      <c r="Z151" s="9">
        <v>0</v>
      </c>
      <c r="AA151" s="9">
        <f t="shared" si="91"/>
        <v>0</v>
      </c>
      <c r="AB151" s="1">
        <v>0</v>
      </c>
      <c r="AC151" s="1">
        <v>0</v>
      </c>
      <c r="AD151" s="44">
        <f t="shared" si="80"/>
        <v>3769177</v>
      </c>
      <c r="AE151" s="9">
        <v>0</v>
      </c>
      <c r="AF151" s="9">
        <f t="shared" si="92"/>
        <v>3769177</v>
      </c>
      <c r="AG151" s="59" t="s">
        <v>515</v>
      </c>
      <c r="AH151" s="13" t="s">
        <v>151</v>
      </c>
      <c r="AI151" s="1">
        <f>9077.15+222941</f>
        <v>232018.15</v>
      </c>
      <c r="AJ151" s="1">
        <v>1388.27</v>
      </c>
    </row>
    <row r="152" spans="1:37" ht="198" x14ac:dyDescent="0.25">
      <c r="A152" s="5">
        <f t="shared" si="81"/>
        <v>149</v>
      </c>
      <c r="B152" s="61">
        <v>135244</v>
      </c>
      <c r="C152" s="116">
        <v>817</v>
      </c>
      <c r="D152" s="40" t="s">
        <v>1985</v>
      </c>
      <c r="E152" s="81" t="s">
        <v>1701</v>
      </c>
      <c r="F152" s="120" t="s">
        <v>1744</v>
      </c>
      <c r="G152" s="62" t="s">
        <v>715</v>
      </c>
      <c r="H152" s="62" t="s">
        <v>151</v>
      </c>
      <c r="I152" s="101" t="s">
        <v>1745</v>
      </c>
      <c r="J152" s="63">
        <v>43969</v>
      </c>
      <c r="K152" s="63">
        <v>44822</v>
      </c>
      <c r="L152" s="16">
        <f t="shared" si="88"/>
        <v>85.000000120245716</v>
      </c>
      <c r="M152" s="62">
        <v>3</v>
      </c>
      <c r="N152" s="5" t="s">
        <v>333</v>
      </c>
      <c r="O152" s="5" t="s">
        <v>333</v>
      </c>
      <c r="P152" s="65" t="s">
        <v>174</v>
      </c>
      <c r="Q152" s="62" t="s">
        <v>34</v>
      </c>
      <c r="R152" s="4">
        <f>S152+T152</f>
        <v>3180986.65</v>
      </c>
      <c r="S152" s="66">
        <v>3180986.65</v>
      </c>
      <c r="T152" s="66">
        <v>0</v>
      </c>
      <c r="U152" s="4">
        <f t="shared" si="89"/>
        <v>486503.83</v>
      </c>
      <c r="V152" s="68">
        <v>486503.83</v>
      </c>
      <c r="W152" s="68">
        <v>0</v>
      </c>
      <c r="X152" s="4">
        <f t="shared" si="90"/>
        <v>74846.75</v>
      </c>
      <c r="Y152" s="66">
        <v>74846.75</v>
      </c>
      <c r="Z152" s="66">
        <v>0</v>
      </c>
      <c r="AA152" s="9">
        <f t="shared" si="91"/>
        <v>0</v>
      </c>
      <c r="AB152" s="1">
        <v>0</v>
      </c>
      <c r="AC152" s="1">
        <v>0</v>
      </c>
      <c r="AD152" s="44">
        <f t="shared" si="80"/>
        <v>3742337.23</v>
      </c>
      <c r="AE152" s="9">
        <v>0</v>
      </c>
      <c r="AF152" s="9">
        <f t="shared" si="92"/>
        <v>3742337.23</v>
      </c>
      <c r="AG152" s="59" t="s">
        <v>515</v>
      </c>
      <c r="AH152" s="13" t="s">
        <v>151</v>
      </c>
      <c r="AI152" s="1">
        <f>108933+137399.08</f>
        <v>246332.08</v>
      </c>
      <c r="AJ152" s="1">
        <v>21013.98</v>
      </c>
    </row>
    <row r="153" spans="1:37" ht="141.75" x14ac:dyDescent="0.25">
      <c r="A153" s="5">
        <f t="shared" si="81"/>
        <v>150</v>
      </c>
      <c r="B153" s="5">
        <v>120638</v>
      </c>
      <c r="C153" s="6">
        <v>97</v>
      </c>
      <c r="D153" s="40" t="s">
        <v>1985</v>
      </c>
      <c r="E153" s="17" t="s">
        <v>278</v>
      </c>
      <c r="F153" s="8" t="s">
        <v>234</v>
      </c>
      <c r="G153" s="5" t="s">
        <v>2008</v>
      </c>
      <c r="H153" s="5" t="s">
        <v>151</v>
      </c>
      <c r="I153" s="74" t="s">
        <v>235</v>
      </c>
      <c r="J153" s="2">
        <v>43145</v>
      </c>
      <c r="K153" s="2">
        <v>43630</v>
      </c>
      <c r="L153" s="16">
        <f t="shared" ref="L153:L160" si="93">R153/AD153*100</f>
        <v>84.999998641808133</v>
      </c>
      <c r="M153" s="5">
        <v>4</v>
      </c>
      <c r="N153" s="5" t="s">
        <v>232</v>
      </c>
      <c r="O153" s="5" t="s">
        <v>233</v>
      </c>
      <c r="P153" s="3" t="s">
        <v>174</v>
      </c>
      <c r="Q153" s="5" t="s">
        <v>34</v>
      </c>
      <c r="R153" s="9">
        <f t="shared" ref="R153:R160" si="94">S153+T153</f>
        <v>312916.02</v>
      </c>
      <c r="S153" s="69">
        <v>312916.02</v>
      </c>
      <c r="T153" s="143">
        <v>0</v>
      </c>
      <c r="U153" s="4">
        <f t="shared" ref="U153:U165" si="95">V153+W153</f>
        <v>47857.75</v>
      </c>
      <c r="V153" s="53">
        <v>47857.75</v>
      </c>
      <c r="W153" s="53">
        <v>0</v>
      </c>
      <c r="X153" s="4">
        <f t="shared" ref="X153:X165" si="96">Y153+Z153</f>
        <v>7362.73</v>
      </c>
      <c r="Y153" s="9">
        <v>7362.73</v>
      </c>
      <c r="Z153" s="9">
        <v>0</v>
      </c>
      <c r="AA153" s="9">
        <f t="shared" ref="AA153:AA160" si="97">AB153+AC153</f>
        <v>0</v>
      </c>
      <c r="AB153" s="9">
        <v>0</v>
      </c>
      <c r="AC153" s="9">
        <v>0</v>
      </c>
      <c r="AD153" s="44">
        <f t="shared" si="80"/>
        <v>368136.5</v>
      </c>
      <c r="AE153" s="9">
        <v>0</v>
      </c>
      <c r="AF153" s="9">
        <f t="shared" ref="AF153:AF160" si="98">AD153+AE153</f>
        <v>368136.5</v>
      </c>
      <c r="AG153" s="49" t="s">
        <v>966</v>
      </c>
      <c r="AH153" s="13" t="s">
        <v>296</v>
      </c>
      <c r="AI153" s="1">
        <v>237555.28999999998</v>
      </c>
      <c r="AJ153" s="1">
        <v>36331.979999999996</v>
      </c>
    </row>
    <row r="154" spans="1:37" ht="141.75" x14ac:dyDescent="0.25">
      <c r="A154" s="5">
        <f t="shared" si="81"/>
        <v>151</v>
      </c>
      <c r="B154" s="78">
        <v>120714</v>
      </c>
      <c r="C154" s="6">
        <v>111</v>
      </c>
      <c r="D154" s="40" t="s">
        <v>1985</v>
      </c>
      <c r="E154" s="17" t="s">
        <v>278</v>
      </c>
      <c r="F154" s="8" t="s">
        <v>251</v>
      </c>
      <c r="G154" s="5" t="s">
        <v>1031</v>
      </c>
      <c r="H154" s="5" t="s">
        <v>250</v>
      </c>
      <c r="I154" s="41" t="s">
        <v>449</v>
      </c>
      <c r="J154" s="2">
        <v>43166</v>
      </c>
      <c r="K154" s="2">
        <v>43653</v>
      </c>
      <c r="L154" s="16">
        <f t="shared" si="93"/>
        <v>85</v>
      </c>
      <c r="M154" s="5">
        <v>4</v>
      </c>
      <c r="N154" s="5" t="s">
        <v>232</v>
      </c>
      <c r="O154" s="5" t="s">
        <v>233</v>
      </c>
      <c r="P154" s="3" t="s">
        <v>174</v>
      </c>
      <c r="Q154" s="5" t="s">
        <v>34</v>
      </c>
      <c r="R154" s="9">
        <f t="shared" si="94"/>
        <v>355906.39</v>
      </c>
      <c r="S154" s="87">
        <v>355906.39</v>
      </c>
      <c r="T154" s="87">
        <v>0</v>
      </c>
      <c r="U154" s="4">
        <f t="shared" si="95"/>
        <v>54432.74</v>
      </c>
      <c r="V154" s="53">
        <v>54432.74</v>
      </c>
      <c r="W154" s="53">
        <v>0</v>
      </c>
      <c r="X154" s="4">
        <f t="shared" si="96"/>
        <v>8374.27</v>
      </c>
      <c r="Y154" s="9">
        <v>8374.27</v>
      </c>
      <c r="Z154" s="9">
        <v>0</v>
      </c>
      <c r="AA154" s="9">
        <f t="shared" si="97"/>
        <v>0</v>
      </c>
      <c r="AB154" s="9">
        <v>0</v>
      </c>
      <c r="AC154" s="9">
        <v>0</v>
      </c>
      <c r="AD154" s="44">
        <f t="shared" si="80"/>
        <v>418713.4</v>
      </c>
      <c r="AE154" s="9">
        <v>0</v>
      </c>
      <c r="AF154" s="9">
        <f t="shared" si="98"/>
        <v>418713.4</v>
      </c>
      <c r="AG154" s="49" t="s">
        <v>966</v>
      </c>
      <c r="AH154" s="13" t="s">
        <v>151</v>
      </c>
      <c r="AI154" s="1">
        <v>292880.73</v>
      </c>
      <c r="AJ154" s="1">
        <v>44793.507300000012</v>
      </c>
    </row>
    <row r="155" spans="1:37" ht="157.5" x14ac:dyDescent="0.25">
      <c r="A155" s="5">
        <f t="shared" si="81"/>
        <v>152</v>
      </c>
      <c r="B155" s="78">
        <v>119758</v>
      </c>
      <c r="C155" s="6">
        <v>460</v>
      </c>
      <c r="D155" s="40" t="s">
        <v>1985</v>
      </c>
      <c r="E155" s="17" t="s">
        <v>474</v>
      </c>
      <c r="F155" s="144" t="s">
        <v>503</v>
      </c>
      <c r="G155" s="5" t="s">
        <v>504</v>
      </c>
      <c r="H155" s="5" t="s">
        <v>151</v>
      </c>
      <c r="I155" s="41" t="s">
        <v>505</v>
      </c>
      <c r="J155" s="2">
        <v>43264</v>
      </c>
      <c r="K155" s="2">
        <v>43751</v>
      </c>
      <c r="L155" s="16">
        <f t="shared" si="93"/>
        <v>85</v>
      </c>
      <c r="M155" s="5">
        <v>4</v>
      </c>
      <c r="N155" s="5" t="s">
        <v>232</v>
      </c>
      <c r="O155" s="5" t="s">
        <v>506</v>
      </c>
      <c r="P155" s="3" t="s">
        <v>174</v>
      </c>
      <c r="Q155" s="5" t="s">
        <v>34</v>
      </c>
      <c r="R155" s="9">
        <f t="shared" si="94"/>
        <v>356536.75</v>
      </c>
      <c r="S155" s="87">
        <v>356536.75</v>
      </c>
      <c r="T155" s="87">
        <v>0</v>
      </c>
      <c r="U155" s="4">
        <f t="shared" si="95"/>
        <v>54529.15</v>
      </c>
      <c r="V155" s="53">
        <v>54529.15</v>
      </c>
      <c r="W155" s="53"/>
      <c r="X155" s="4">
        <f t="shared" si="96"/>
        <v>8389.1</v>
      </c>
      <c r="Y155" s="9">
        <v>8389.1</v>
      </c>
      <c r="Z155" s="9">
        <v>0</v>
      </c>
      <c r="AA155" s="9">
        <f t="shared" si="97"/>
        <v>0</v>
      </c>
      <c r="AB155" s="9">
        <v>0</v>
      </c>
      <c r="AC155" s="9">
        <v>0</v>
      </c>
      <c r="AD155" s="44">
        <f t="shared" si="80"/>
        <v>419455</v>
      </c>
      <c r="AE155" s="9"/>
      <c r="AF155" s="9">
        <f t="shared" si="98"/>
        <v>419455</v>
      </c>
      <c r="AG155" s="49" t="s">
        <v>966</v>
      </c>
      <c r="AH155" s="13"/>
      <c r="AI155" s="1">
        <v>294297.16000000003</v>
      </c>
      <c r="AJ155" s="1">
        <v>45010.169999999991</v>
      </c>
    </row>
    <row r="156" spans="1:37" ht="141.75" x14ac:dyDescent="0.25">
      <c r="A156" s="5">
        <f t="shared" si="81"/>
        <v>153</v>
      </c>
      <c r="B156" s="78">
        <v>116766</v>
      </c>
      <c r="C156" s="6">
        <v>409</v>
      </c>
      <c r="D156" s="8" t="s">
        <v>1986</v>
      </c>
      <c r="E156" s="5" t="s">
        <v>540</v>
      </c>
      <c r="F156" s="8" t="s">
        <v>580</v>
      </c>
      <c r="G156" s="5" t="s">
        <v>2008</v>
      </c>
      <c r="H156" s="6" t="s">
        <v>151</v>
      </c>
      <c r="I156" s="8" t="s">
        <v>581</v>
      </c>
      <c r="J156" s="2">
        <v>43278</v>
      </c>
      <c r="K156" s="2">
        <v>43826</v>
      </c>
      <c r="L156" s="16">
        <f t="shared" si="93"/>
        <v>85.000000275422053</v>
      </c>
      <c r="M156" s="5">
        <v>4</v>
      </c>
      <c r="N156" s="5" t="s">
        <v>232</v>
      </c>
      <c r="O156" s="6" t="s">
        <v>582</v>
      </c>
      <c r="P156" s="6" t="s">
        <v>174</v>
      </c>
      <c r="Q156" s="5" t="s">
        <v>34</v>
      </c>
      <c r="R156" s="9">
        <f t="shared" si="94"/>
        <v>308617.27</v>
      </c>
      <c r="S156" s="87">
        <v>308617.27</v>
      </c>
      <c r="T156" s="87">
        <v>0</v>
      </c>
      <c r="U156" s="4">
        <f t="shared" si="95"/>
        <v>47200.29</v>
      </c>
      <c r="V156" s="53">
        <v>47200.29</v>
      </c>
      <c r="W156" s="53">
        <v>0</v>
      </c>
      <c r="X156" s="4">
        <f t="shared" si="96"/>
        <v>7261.58</v>
      </c>
      <c r="Y156" s="9">
        <v>7261.58</v>
      </c>
      <c r="Z156" s="4">
        <v>0</v>
      </c>
      <c r="AA156" s="9">
        <f t="shared" si="97"/>
        <v>0</v>
      </c>
      <c r="AB156" s="4">
        <v>0</v>
      </c>
      <c r="AC156" s="4">
        <v>0</v>
      </c>
      <c r="AD156" s="44">
        <f t="shared" si="80"/>
        <v>363079.14</v>
      </c>
      <c r="AE156" s="145">
        <v>0</v>
      </c>
      <c r="AF156" s="9">
        <f t="shared" si="98"/>
        <v>363079.14</v>
      </c>
      <c r="AG156" s="59" t="s">
        <v>966</v>
      </c>
      <c r="AH156" s="108" t="s">
        <v>1582</v>
      </c>
      <c r="AI156" s="1">
        <v>225079</v>
      </c>
      <c r="AJ156" s="1">
        <v>34423.869999999995</v>
      </c>
    </row>
    <row r="157" spans="1:37" ht="141.75" x14ac:dyDescent="0.25">
      <c r="A157" s="5">
        <f t="shared" si="81"/>
        <v>154</v>
      </c>
      <c r="B157" s="15">
        <v>126293</v>
      </c>
      <c r="C157" s="5">
        <v>523</v>
      </c>
      <c r="D157" s="40" t="s">
        <v>1985</v>
      </c>
      <c r="E157" s="5" t="s">
        <v>1018</v>
      </c>
      <c r="F157" s="8" t="s">
        <v>1059</v>
      </c>
      <c r="G157" s="5" t="s">
        <v>1031</v>
      </c>
      <c r="H157" s="6" t="s">
        <v>151</v>
      </c>
      <c r="I157" s="8" t="s">
        <v>1032</v>
      </c>
      <c r="J157" s="2">
        <v>43437</v>
      </c>
      <c r="K157" s="2">
        <v>44564</v>
      </c>
      <c r="L157" s="16">
        <f t="shared" si="93"/>
        <v>85.000000538702352</v>
      </c>
      <c r="M157" s="5">
        <v>4</v>
      </c>
      <c r="N157" s="5" t="s">
        <v>232</v>
      </c>
      <c r="O157" s="6" t="s">
        <v>582</v>
      </c>
      <c r="P157" s="6" t="s">
        <v>174</v>
      </c>
      <c r="Q157" s="5" t="s">
        <v>34</v>
      </c>
      <c r="R157" s="9">
        <f t="shared" si="94"/>
        <v>2366798.75</v>
      </c>
      <c r="S157" s="87">
        <v>2366798.75</v>
      </c>
      <c r="T157" s="87">
        <v>0</v>
      </c>
      <c r="U157" s="4">
        <f t="shared" si="95"/>
        <v>361980.97</v>
      </c>
      <c r="V157" s="53">
        <v>361980.97</v>
      </c>
      <c r="W157" s="53">
        <v>0</v>
      </c>
      <c r="X157" s="4">
        <f t="shared" si="96"/>
        <v>55689.38</v>
      </c>
      <c r="Y157" s="9">
        <v>55689.38</v>
      </c>
      <c r="Z157" s="1">
        <v>0</v>
      </c>
      <c r="AA157" s="9">
        <f t="shared" si="97"/>
        <v>0</v>
      </c>
      <c r="AB157" s="1">
        <v>0</v>
      </c>
      <c r="AC157" s="1">
        <v>0</v>
      </c>
      <c r="AD157" s="44">
        <f t="shared" si="80"/>
        <v>2784469.0999999996</v>
      </c>
      <c r="AE157" s="9">
        <v>129948</v>
      </c>
      <c r="AF157" s="9">
        <f t="shared" si="98"/>
        <v>2914417.0999999996</v>
      </c>
      <c r="AG157" s="59" t="s">
        <v>515</v>
      </c>
      <c r="AH157" s="108" t="s">
        <v>2171</v>
      </c>
      <c r="AI157" s="1">
        <f>319351.51+294803.9+201586.29+363120.54+102457.87+370209+338953.65+27108.2</f>
        <v>2017590.9599999997</v>
      </c>
      <c r="AJ157" s="1">
        <f>48841.98+45087.66+30830.84+55536.09+15670.03+56620.2+51839.97+4145.96</f>
        <v>308572.73000000004</v>
      </c>
    </row>
    <row r="158" spans="1:37" ht="141.75" x14ac:dyDescent="0.25">
      <c r="A158" s="5">
        <f t="shared" si="81"/>
        <v>155</v>
      </c>
      <c r="B158" s="15">
        <v>126212</v>
      </c>
      <c r="C158" s="5">
        <v>516</v>
      </c>
      <c r="D158" s="40" t="s">
        <v>1985</v>
      </c>
      <c r="E158" s="5" t="s">
        <v>1018</v>
      </c>
      <c r="F158" s="8" t="s">
        <v>1058</v>
      </c>
      <c r="G158" s="5" t="s">
        <v>504</v>
      </c>
      <c r="H158" s="6" t="s">
        <v>151</v>
      </c>
      <c r="I158" s="8" t="s">
        <v>1057</v>
      </c>
      <c r="J158" s="2">
        <v>43445</v>
      </c>
      <c r="K158" s="2">
        <v>44358</v>
      </c>
      <c r="L158" s="16">
        <f t="shared" si="93"/>
        <v>85.000000138721092</v>
      </c>
      <c r="M158" s="5">
        <v>4</v>
      </c>
      <c r="N158" s="5" t="s">
        <v>232</v>
      </c>
      <c r="O158" s="5" t="s">
        <v>506</v>
      </c>
      <c r="P158" s="5" t="s">
        <v>174</v>
      </c>
      <c r="Q158" s="5" t="s">
        <v>34</v>
      </c>
      <c r="R158" s="9">
        <f t="shared" si="94"/>
        <v>3063701.5</v>
      </c>
      <c r="S158" s="87">
        <v>3063701.5</v>
      </c>
      <c r="T158" s="87">
        <v>0</v>
      </c>
      <c r="U158" s="4">
        <f t="shared" si="95"/>
        <v>468566.11</v>
      </c>
      <c r="V158" s="53">
        <v>468566.11</v>
      </c>
      <c r="W158" s="53">
        <v>0</v>
      </c>
      <c r="X158" s="4">
        <f t="shared" si="96"/>
        <v>72087.09</v>
      </c>
      <c r="Y158" s="9">
        <v>72087.09</v>
      </c>
      <c r="Z158" s="1">
        <v>0</v>
      </c>
      <c r="AA158" s="9">
        <f t="shared" si="97"/>
        <v>0</v>
      </c>
      <c r="AB158" s="1">
        <v>0</v>
      </c>
      <c r="AC158" s="1">
        <v>0</v>
      </c>
      <c r="AD158" s="44">
        <f t="shared" si="80"/>
        <v>3604354.6999999997</v>
      </c>
      <c r="AE158" s="11">
        <v>0</v>
      </c>
      <c r="AF158" s="9">
        <f t="shared" si="98"/>
        <v>3604354.6999999997</v>
      </c>
      <c r="AG158" s="59" t="s">
        <v>966</v>
      </c>
      <c r="AH158" s="108" t="s">
        <v>151</v>
      </c>
      <c r="AI158" s="1">
        <f>990540.15-36410.86+95571.03+687657.15+681657</f>
        <v>2419014.4700000002</v>
      </c>
      <c r="AJ158" s="1">
        <f>96435.54+49490.11+14616.74+105171.09+49194.6</f>
        <v>314908.07999999996</v>
      </c>
    </row>
    <row r="159" spans="1:37" ht="156.75" customHeight="1" x14ac:dyDescent="0.25">
      <c r="A159" s="5">
        <f t="shared" si="81"/>
        <v>156</v>
      </c>
      <c r="B159" s="78">
        <v>125603</v>
      </c>
      <c r="C159" s="6">
        <v>528</v>
      </c>
      <c r="D159" s="40" t="s">
        <v>1985</v>
      </c>
      <c r="E159" s="5" t="s">
        <v>1018</v>
      </c>
      <c r="F159" s="8" t="s">
        <v>1106</v>
      </c>
      <c r="G159" s="5" t="s">
        <v>2008</v>
      </c>
      <c r="H159" s="6" t="s">
        <v>151</v>
      </c>
      <c r="I159" s="8" t="s">
        <v>1107</v>
      </c>
      <c r="J159" s="2">
        <v>43486</v>
      </c>
      <c r="K159" s="2">
        <v>44582</v>
      </c>
      <c r="L159" s="16">
        <f t="shared" si="93"/>
        <v>85.000000127543871</v>
      </c>
      <c r="M159" s="5">
        <v>4</v>
      </c>
      <c r="N159" s="5" t="s">
        <v>232</v>
      </c>
      <c r="O159" s="6" t="s">
        <v>582</v>
      </c>
      <c r="P159" s="6" t="s">
        <v>174</v>
      </c>
      <c r="Q159" s="5" t="s">
        <v>34</v>
      </c>
      <c r="R159" s="9">
        <f t="shared" si="94"/>
        <v>2998968.16</v>
      </c>
      <c r="S159" s="87">
        <v>2998968.16</v>
      </c>
      <c r="T159" s="87">
        <v>0</v>
      </c>
      <c r="U159" s="4">
        <f t="shared" si="95"/>
        <v>458665.73</v>
      </c>
      <c r="V159" s="53">
        <v>458665.73</v>
      </c>
      <c r="W159" s="53">
        <v>0</v>
      </c>
      <c r="X159" s="4">
        <f t="shared" si="96"/>
        <v>70563.94</v>
      </c>
      <c r="Y159" s="9">
        <v>70563.94</v>
      </c>
      <c r="Z159" s="1">
        <v>0</v>
      </c>
      <c r="AA159" s="9">
        <f t="shared" si="97"/>
        <v>0</v>
      </c>
      <c r="AB159" s="1">
        <v>0</v>
      </c>
      <c r="AC159" s="1">
        <v>0</v>
      </c>
      <c r="AD159" s="44">
        <f t="shared" si="80"/>
        <v>3528197.83</v>
      </c>
      <c r="AE159" s="11">
        <v>0</v>
      </c>
      <c r="AF159" s="9">
        <f t="shared" si="98"/>
        <v>3528197.83</v>
      </c>
      <c r="AG159" s="59" t="s">
        <v>515</v>
      </c>
      <c r="AH159" s="108" t="s">
        <v>2161</v>
      </c>
      <c r="AI159" s="1">
        <f>222039.75+785175.49</f>
        <v>1007215.24</v>
      </c>
      <c r="AJ159" s="1">
        <f>33959.02+120085.66</f>
        <v>154044.68</v>
      </c>
    </row>
    <row r="160" spans="1:37" ht="156.75" customHeight="1" x14ac:dyDescent="0.25">
      <c r="A160" s="5">
        <f t="shared" si="81"/>
        <v>157</v>
      </c>
      <c r="B160" s="78">
        <v>135509</v>
      </c>
      <c r="C160" s="6">
        <v>769</v>
      </c>
      <c r="D160" s="40" t="s">
        <v>1985</v>
      </c>
      <c r="E160" s="17" t="s">
        <v>1701</v>
      </c>
      <c r="F160" s="8" t="s">
        <v>1738</v>
      </c>
      <c r="G160" s="5" t="s">
        <v>1031</v>
      </c>
      <c r="H160" s="6" t="s">
        <v>151</v>
      </c>
      <c r="I160" s="8" t="s">
        <v>2030</v>
      </c>
      <c r="J160" s="2">
        <v>43959</v>
      </c>
      <c r="K160" s="2">
        <v>44781</v>
      </c>
      <c r="L160" s="16">
        <f t="shared" si="93"/>
        <v>85.000001093049093</v>
      </c>
      <c r="M160" s="5">
        <v>4</v>
      </c>
      <c r="N160" s="5" t="s">
        <v>232</v>
      </c>
      <c r="O160" s="6" t="s">
        <v>582</v>
      </c>
      <c r="P160" s="6" t="s">
        <v>174</v>
      </c>
      <c r="Q160" s="5" t="s">
        <v>1714</v>
      </c>
      <c r="R160" s="9">
        <f t="shared" si="94"/>
        <v>777641.21</v>
      </c>
      <c r="S160" s="87">
        <v>777641.21</v>
      </c>
      <c r="T160" s="87">
        <v>0</v>
      </c>
      <c r="U160" s="4">
        <f t="shared" si="95"/>
        <v>118933.35</v>
      </c>
      <c r="V160" s="53">
        <v>118933.35</v>
      </c>
      <c r="W160" s="53">
        <v>0</v>
      </c>
      <c r="X160" s="4">
        <f t="shared" si="96"/>
        <v>18297.439999999999</v>
      </c>
      <c r="Y160" s="9">
        <v>18297.439999999999</v>
      </c>
      <c r="Z160" s="1">
        <v>0</v>
      </c>
      <c r="AA160" s="9">
        <f t="shared" si="97"/>
        <v>0</v>
      </c>
      <c r="AB160" s="1">
        <v>0</v>
      </c>
      <c r="AC160" s="1">
        <v>0</v>
      </c>
      <c r="AD160" s="44">
        <f t="shared" si="80"/>
        <v>914871.99999999988</v>
      </c>
      <c r="AE160" s="11">
        <v>0</v>
      </c>
      <c r="AF160" s="9">
        <f t="shared" si="98"/>
        <v>914871.99999999988</v>
      </c>
      <c r="AG160" s="59" t="s">
        <v>515</v>
      </c>
      <c r="AH160" s="108" t="s">
        <v>2166</v>
      </c>
      <c r="AI160" s="1">
        <f>13554.11+150600.21</f>
        <v>164154.32</v>
      </c>
      <c r="AJ160" s="1">
        <f>2072.97+23032.98</f>
        <v>25105.95</v>
      </c>
    </row>
    <row r="161" spans="1:37" ht="141.75" x14ac:dyDescent="0.25">
      <c r="A161" s="5">
        <f t="shared" si="81"/>
        <v>158</v>
      </c>
      <c r="B161" s="15">
        <v>111237</v>
      </c>
      <c r="C161" s="6">
        <v>124</v>
      </c>
      <c r="D161" s="40" t="s">
        <v>1985</v>
      </c>
      <c r="E161" s="17" t="s">
        <v>278</v>
      </c>
      <c r="F161" s="8" t="s">
        <v>450</v>
      </c>
      <c r="G161" s="5" t="s">
        <v>1475</v>
      </c>
      <c r="H161" s="5" t="s">
        <v>151</v>
      </c>
      <c r="I161" s="41" t="s">
        <v>451</v>
      </c>
      <c r="J161" s="2">
        <v>43145</v>
      </c>
      <c r="K161" s="2">
        <v>43783</v>
      </c>
      <c r="L161" s="16">
        <f t="shared" ref="L161:L165" si="99">R161/AD161*100</f>
        <v>85.000000000000014</v>
      </c>
      <c r="M161" s="5">
        <v>7</v>
      </c>
      <c r="N161" s="27" t="s">
        <v>223</v>
      </c>
      <c r="O161" s="5" t="s">
        <v>218</v>
      </c>
      <c r="P161" s="3" t="s">
        <v>174</v>
      </c>
      <c r="Q161" s="5" t="s">
        <v>34</v>
      </c>
      <c r="R161" s="146">
        <f t="shared" ref="R161:R165" si="100">S161+T161</f>
        <v>306686.8</v>
      </c>
      <c r="S161" s="87">
        <v>306686.8</v>
      </c>
      <c r="T161" s="147">
        <v>0</v>
      </c>
      <c r="U161" s="4">
        <f t="shared" si="95"/>
        <v>46905.04</v>
      </c>
      <c r="V161" s="53">
        <v>46905.04</v>
      </c>
      <c r="W161" s="53">
        <v>0</v>
      </c>
      <c r="X161" s="4">
        <f t="shared" si="96"/>
        <v>7216.16</v>
      </c>
      <c r="Y161" s="9">
        <v>7216.16</v>
      </c>
      <c r="Z161" s="9">
        <v>0</v>
      </c>
      <c r="AA161" s="9">
        <f t="shared" ref="AA161:AA165" si="101">AB161+AC161</f>
        <v>0</v>
      </c>
      <c r="AB161" s="9">
        <v>0</v>
      </c>
      <c r="AC161" s="9">
        <v>0</v>
      </c>
      <c r="AD161" s="44">
        <f t="shared" si="80"/>
        <v>360807.99999999994</v>
      </c>
      <c r="AE161" s="9">
        <v>0</v>
      </c>
      <c r="AF161" s="9">
        <f t="shared" ref="AF161:AF165" si="102">AD161+AE161</f>
        <v>360807.99999999994</v>
      </c>
      <c r="AG161" s="49" t="s">
        <v>966</v>
      </c>
      <c r="AH161" s="13" t="s">
        <v>1473</v>
      </c>
      <c r="AI161" s="1">
        <v>194851.21</v>
      </c>
      <c r="AJ161" s="1">
        <v>29800.81</v>
      </c>
      <c r="AK161" s="72"/>
    </row>
    <row r="162" spans="1:37" ht="259.5" customHeight="1" x14ac:dyDescent="0.25">
      <c r="A162" s="5">
        <f t="shared" si="81"/>
        <v>159</v>
      </c>
      <c r="B162" s="15">
        <v>126548</v>
      </c>
      <c r="C162" s="5">
        <v>533</v>
      </c>
      <c r="D162" s="40" t="s">
        <v>1985</v>
      </c>
      <c r="E162" s="17" t="s">
        <v>1018</v>
      </c>
      <c r="F162" s="8" t="s">
        <v>1224</v>
      </c>
      <c r="G162" s="5" t="s">
        <v>1225</v>
      </c>
      <c r="H162" s="8" t="s">
        <v>151</v>
      </c>
      <c r="I162" s="41" t="s">
        <v>1226</v>
      </c>
      <c r="J162" s="2">
        <v>43595</v>
      </c>
      <c r="K162" s="2">
        <v>44449</v>
      </c>
      <c r="L162" s="16">
        <f t="shared" si="99"/>
        <v>85.000007303770332</v>
      </c>
      <c r="M162" s="5">
        <v>7</v>
      </c>
      <c r="N162" s="27" t="s">
        <v>223</v>
      </c>
      <c r="O162" s="27" t="s">
        <v>223</v>
      </c>
      <c r="P162" s="3" t="s">
        <v>174</v>
      </c>
      <c r="Q162" s="5" t="s">
        <v>34</v>
      </c>
      <c r="R162" s="148">
        <f>S162+T162</f>
        <v>436418.46999999991</v>
      </c>
      <c r="S162" s="71">
        <v>436418.46999999991</v>
      </c>
      <c r="T162" s="71">
        <v>0</v>
      </c>
      <c r="U162" s="53">
        <f>V162+W162</f>
        <v>66746.31</v>
      </c>
      <c r="V162" s="71">
        <v>66746.31</v>
      </c>
      <c r="W162" s="71">
        <v>0</v>
      </c>
      <c r="X162" s="53">
        <f>Y162+Z162</f>
        <v>10268.67</v>
      </c>
      <c r="Y162" s="71">
        <v>10268.67</v>
      </c>
      <c r="Z162" s="71">
        <v>0</v>
      </c>
      <c r="AA162" s="53">
        <v>0</v>
      </c>
      <c r="AB162" s="53">
        <v>0</v>
      </c>
      <c r="AC162" s="53">
        <v>0</v>
      </c>
      <c r="AD162" s="44">
        <f t="shared" si="80"/>
        <v>513433.4499999999</v>
      </c>
      <c r="AE162" s="9">
        <v>0</v>
      </c>
      <c r="AF162" s="9">
        <v>513433.4499999999</v>
      </c>
      <c r="AG162" s="59" t="s">
        <v>515</v>
      </c>
      <c r="AH162" s="59" t="s">
        <v>2150</v>
      </c>
      <c r="AI162" s="1">
        <f>86309.8+49942.6+114116.43</f>
        <v>250368.83</v>
      </c>
      <c r="AJ162" s="1">
        <f>13200.3+7638.28+17453.1</f>
        <v>38291.679999999993</v>
      </c>
    </row>
    <row r="163" spans="1:37" ht="259.5" customHeight="1" x14ac:dyDescent="0.25">
      <c r="A163" s="5">
        <f t="shared" si="81"/>
        <v>160</v>
      </c>
      <c r="B163" s="78">
        <v>128765</v>
      </c>
      <c r="C163" s="6">
        <v>633</v>
      </c>
      <c r="D163" s="40" t="s">
        <v>1985</v>
      </c>
      <c r="E163" s="17" t="s">
        <v>1246</v>
      </c>
      <c r="F163" s="8" t="s">
        <v>1327</v>
      </c>
      <c r="G163" s="5" t="s">
        <v>934</v>
      </c>
      <c r="H163" s="8" t="s">
        <v>362</v>
      </c>
      <c r="I163" s="41" t="s">
        <v>1476</v>
      </c>
      <c r="J163" s="2">
        <v>43647</v>
      </c>
      <c r="K163" s="2">
        <v>44501</v>
      </c>
      <c r="L163" s="16">
        <f t="shared" si="99"/>
        <v>85.000000191241938</v>
      </c>
      <c r="M163" s="5">
        <v>7</v>
      </c>
      <c r="N163" s="27" t="s">
        <v>223</v>
      </c>
      <c r="O163" s="27" t="s">
        <v>1328</v>
      </c>
      <c r="P163" s="3" t="s">
        <v>174</v>
      </c>
      <c r="Q163" s="5" t="s">
        <v>34</v>
      </c>
      <c r="R163" s="146">
        <f t="shared" si="100"/>
        <v>2222316.08</v>
      </c>
      <c r="S163" s="1">
        <v>2222316.08</v>
      </c>
      <c r="T163" s="56">
        <v>0</v>
      </c>
      <c r="U163" s="4">
        <f t="shared" si="95"/>
        <v>339883.63</v>
      </c>
      <c r="V163" s="85">
        <v>339883.63</v>
      </c>
      <c r="W163" s="85">
        <v>0</v>
      </c>
      <c r="X163" s="4">
        <f t="shared" si="96"/>
        <v>52289.79</v>
      </c>
      <c r="Y163" s="80">
        <v>52289.79</v>
      </c>
      <c r="Z163" s="80">
        <v>0</v>
      </c>
      <c r="AA163" s="9">
        <f t="shared" si="101"/>
        <v>0</v>
      </c>
      <c r="AB163" s="56">
        <v>0</v>
      </c>
      <c r="AC163" s="56">
        <v>0</v>
      </c>
      <c r="AD163" s="44">
        <f t="shared" si="80"/>
        <v>2614489.5</v>
      </c>
      <c r="AE163" s="9">
        <v>0</v>
      </c>
      <c r="AF163" s="9">
        <f t="shared" si="102"/>
        <v>2614489.5</v>
      </c>
      <c r="AG163" s="59" t="s">
        <v>515</v>
      </c>
      <c r="AH163" s="11"/>
      <c r="AI163" s="1">
        <f>57017.37+1947946.74</f>
        <v>2004964.11</v>
      </c>
      <c r="AJ163" s="1">
        <f>8135.13+297921.27</f>
        <v>306056.40000000002</v>
      </c>
    </row>
    <row r="164" spans="1:37" ht="259.5" customHeight="1" x14ac:dyDescent="0.25">
      <c r="A164" s="5">
        <f t="shared" si="81"/>
        <v>161</v>
      </c>
      <c r="B164" s="78">
        <v>129281</v>
      </c>
      <c r="C164" s="6">
        <v>658</v>
      </c>
      <c r="D164" s="40" t="s">
        <v>1985</v>
      </c>
      <c r="E164" s="17" t="s">
        <v>1246</v>
      </c>
      <c r="F164" s="8" t="s">
        <v>1474</v>
      </c>
      <c r="G164" s="5" t="s">
        <v>1475</v>
      </c>
      <c r="H164" s="8" t="s">
        <v>362</v>
      </c>
      <c r="I164" s="41" t="s">
        <v>1477</v>
      </c>
      <c r="J164" s="2">
        <v>43710</v>
      </c>
      <c r="K164" s="2">
        <v>44532</v>
      </c>
      <c r="L164" s="16">
        <f t="shared" si="99"/>
        <v>85.000000187352825</v>
      </c>
      <c r="M164" s="5">
        <v>7</v>
      </c>
      <c r="N164" s="27" t="s">
        <v>223</v>
      </c>
      <c r="O164" s="27" t="s">
        <v>218</v>
      </c>
      <c r="P164" s="3" t="s">
        <v>174</v>
      </c>
      <c r="Q164" s="5" t="s">
        <v>34</v>
      </c>
      <c r="R164" s="146">
        <f t="shared" si="100"/>
        <v>2495291.94</v>
      </c>
      <c r="S164" s="1">
        <v>2495291.94</v>
      </c>
      <c r="T164" s="56">
        <v>0</v>
      </c>
      <c r="U164" s="4">
        <f t="shared" si="95"/>
        <v>381632.89</v>
      </c>
      <c r="V164" s="85">
        <v>381632.89</v>
      </c>
      <c r="W164" s="85">
        <v>0</v>
      </c>
      <c r="X164" s="4">
        <f t="shared" si="96"/>
        <v>58712.74</v>
      </c>
      <c r="Y164" s="80">
        <v>58712.74</v>
      </c>
      <c r="Z164" s="80">
        <v>0</v>
      </c>
      <c r="AA164" s="9">
        <f t="shared" si="101"/>
        <v>0</v>
      </c>
      <c r="AB164" s="56">
        <v>0</v>
      </c>
      <c r="AC164" s="56">
        <v>0</v>
      </c>
      <c r="AD164" s="44">
        <f t="shared" si="80"/>
        <v>2935637.5700000003</v>
      </c>
      <c r="AE164" s="9">
        <v>0</v>
      </c>
      <c r="AF164" s="9">
        <f t="shared" si="102"/>
        <v>2935637.5700000003</v>
      </c>
      <c r="AG164" s="59" t="s">
        <v>515</v>
      </c>
      <c r="AH164" s="11"/>
      <c r="AI164" s="1">
        <v>505.75</v>
      </c>
      <c r="AJ164" s="1">
        <v>77.349999999999994</v>
      </c>
    </row>
    <row r="165" spans="1:37" ht="187.5" customHeight="1" x14ac:dyDescent="0.25">
      <c r="A165" s="5">
        <f t="shared" si="81"/>
        <v>162</v>
      </c>
      <c r="B165" s="78">
        <v>135297</v>
      </c>
      <c r="C165" s="6">
        <v>797</v>
      </c>
      <c r="D165" s="40" t="s">
        <v>1985</v>
      </c>
      <c r="E165" s="17" t="s">
        <v>1701</v>
      </c>
      <c r="F165" s="8" t="s">
        <v>1811</v>
      </c>
      <c r="G165" s="5" t="s">
        <v>1812</v>
      </c>
      <c r="H165" s="8" t="s">
        <v>362</v>
      </c>
      <c r="I165" s="41" t="s">
        <v>1813</v>
      </c>
      <c r="J165" s="2">
        <v>43987</v>
      </c>
      <c r="K165" s="2">
        <v>44778</v>
      </c>
      <c r="L165" s="16">
        <f t="shared" si="99"/>
        <v>85.000000104918257</v>
      </c>
      <c r="M165" s="5">
        <v>7</v>
      </c>
      <c r="N165" s="27" t="s">
        <v>223</v>
      </c>
      <c r="O165" s="27" t="s">
        <v>1814</v>
      </c>
      <c r="P165" s="3" t="s">
        <v>174</v>
      </c>
      <c r="Q165" s="5" t="s">
        <v>34</v>
      </c>
      <c r="R165" s="146">
        <f t="shared" si="100"/>
        <v>2430463.5</v>
      </c>
      <c r="S165" s="1">
        <v>2430463.5</v>
      </c>
      <c r="T165" s="56">
        <v>0</v>
      </c>
      <c r="U165" s="4">
        <f t="shared" si="95"/>
        <v>371717.94</v>
      </c>
      <c r="V165" s="85">
        <v>371717.94</v>
      </c>
      <c r="W165" s="85">
        <v>0</v>
      </c>
      <c r="X165" s="4">
        <f t="shared" si="96"/>
        <v>57187.38</v>
      </c>
      <c r="Y165" s="80">
        <v>57187.38</v>
      </c>
      <c r="Z165" s="80">
        <v>0</v>
      </c>
      <c r="AA165" s="9">
        <f t="shared" si="101"/>
        <v>0</v>
      </c>
      <c r="AB165" s="85">
        <v>0</v>
      </c>
      <c r="AC165" s="85">
        <v>0</v>
      </c>
      <c r="AD165" s="44">
        <f t="shared" si="80"/>
        <v>2859368.82</v>
      </c>
      <c r="AE165" s="9">
        <v>0</v>
      </c>
      <c r="AF165" s="9">
        <f t="shared" si="102"/>
        <v>2859368.82</v>
      </c>
      <c r="AG165" s="59" t="s">
        <v>515</v>
      </c>
      <c r="AH165" s="11"/>
      <c r="AI165" s="1">
        <v>0</v>
      </c>
      <c r="AJ165" s="1">
        <v>0</v>
      </c>
    </row>
    <row r="166" spans="1:37" ht="173.25" x14ac:dyDescent="0.25">
      <c r="A166" s="5">
        <f t="shared" si="81"/>
        <v>163</v>
      </c>
      <c r="B166" s="15">
        <v>120617</v>
      </c>
      <c r="C166" s="6">
        <v>79</v>
      </c>
      <c r="D166" s="40" t="s">
        <v>1985</v>
      </c>
      <c r="E166" s="17" t="s">
        <v>278</v>
      </c>
      <c r="F166" s="17" t="s">
        <v>211</v>
      </c>
      <c r="G166" s="15" t="s">
        <v>212</v>
      </c>
      <c r="H166" s="5" t="s">
        <v>151</v>
      </c>
      <c r="I166" s="41" t="s">
        <v>215</v>
      </c>
      <c r="J166" s="2">
        <v>43145</v>
      </c>
      <c r="K166" s="2">
        <v>43630</v>
      </c>
      <c r="L166" s="16">
        <f t="shared" ref="L166:L178" si="103">R166/AD166*100</f>
        <v>84.999999644441075</v>
      </c>
      <c r="M166" s="5">
        <v>5</v>
      </c>
      <c r="N166" s="5" t="s">
        <v>221</v>
      </c>
      <c r="O166" s="5" t="s">
        <v>216</v>
      </c>
      <c r="P166" s="3" t="s">
        <v>174</v>
      </c>
      <c r="Q166" s="5" t="s">
        <v>34</v>
      </c>
      <c r="R166" s="9">
        <f>S166+T166</f>
        <v>358590.34</v>
      </c>
      <c r="S166" s="87">
        <v>358590.34</v>
      </c>
      <c r="T166" s="9">
        <v>0</v>
      </c>
      <c r="U166" s="4">
        <f t="shared" ref="U166:U178" si="104">V166+W166</f>
        <v>54843.23</v>
      </c>
      <c r="V166" s="127">
        <v>54843.23</v>
      </c>
      <c r="W166" s="53">
        <v>0</v>
      </c>
      <c r="X166" s="4">
        <f t="shared" ref="X166:X178" si="105">Y166+Z166</f>
        <v>8437.42</v>
      </c>
      <c r="Y166" s="87">
        <v>8437.42</v>
      </c>
      <c r="Z166" s="4">
        <v>0</v>
      </c>
      <c r="AA166" s="9">
        <f t="shared" ref="AA166:AA178" si="106">AB166+AC166</f>
        <v>0</v>
      </c>
      <c r="AB166" s="9">
        <v>0</v>
      </c>
      <c r="AC166" s="9">
        <v>0</v>
      </c>
      <c r="AD166" s="44">
        <f t="shared" si="80"/>
        <v>421870.99</v>
      </c>
      <c r="AE166" s="9">
        <v>0</v>
      </c>
      <c r="AF166" s="9">
        <f t="shared" ref="AF166:AF178" si="107">AD166+AE166</f>
        <v>421870.99</v>
      </c>
      <c r="AG166" s="49" t="s">
        <v>966</v>
      </c>
      <c r="AH166" s="13" t="s">
        <v>151</v>
      </c>
      <c r="AI166" s="1">
        <v>257973.22999999998</v>
      </c>
      <c r="AJ166" s="1">
        <v>39454.700000000004</v>
      </c>
    </row>
    <row r="167" spans="1:37" ht="141.75" x14ac:dyDescent="0.25">
      <c r="A167" s="5">
        <f t="shared" si="81"/>
        <v>164</v>
      </c>
      <c r="B167" s="78">
        <v>118193</v>
      </c>
      <c r="C167" s="6">
        <v>424</v>
      </c>
      <c r="D167" s="8" t="s">
        <v>1986</v>
      </c>
      <c r="E167" s="17" t="s">
        <v>540</v>
      </c>
      <c r="F167" s="17" t="s">
        <v>639</v>
      </c>
      <c r="G167" s="15" t="s">
        <v>640</v>
      </c>
      <c r="H167" s="5" t="s">
        <v>151</v>
      </c>
      <c r="I167" s="8" t="s">
        <v>709</v>
      </c>
      <c r="J167" s="2">
        <v>43285</v>
      </c>
      <c r="K167" s="2">
        <v>43773</v>
      </c>
      <c r="L167" s="16">
        <f t="shared" si="103"/>
        <v>85.000000000000014</v>
      </c>
      <c r="M167" s="6">
        <v>5</v>
      </c>
      <c r="N167" s="5" t="s">
        <v>641</v>
      </c>
      <c r="O167" s="5" t="s">
        <v>642</v>
      </c>
      <c r="P167" s="5" t="s">
        <v>174</v>
      </c>
      <c r="Q167" s="5" t="s">
        <v>34</v>
      </c>
      <c r="R167" s="9">
        <v>239111.8</v>
      </c>
      <c r="S167" s="70">
        <v>239111.8</v>
      </c>
      <c r="T167" s="56">
        <v>0</v>
      </c>
      <c r="U167" s="4">
        <f t="shared" si="104"/>
        <v>36570.04</v>
      </c>
      <c r="V167" s="71">
        <v>36570.04</v>
      </c>
      <c r="W167" s="85"/>
      <c r="X167" s="4">
        <f t="shared" si="105"/>
        <v>5626.16</v>
      </c>
      <c r="Y167" s="1">
        <v>5626.16</v>
      </c>
      <c r="Z167" s="80">
        <v>0</v>
      </c>
      <c r="AA167" s="9">
        <f t="shared" si="106"/>
        <v>0</v>
      </c>
      <c r="AB167" s="9">
        <v>0</v>
      </c>
      <c r="AC167" s="9">
        <v>0</v>
      </c>
      <c r="AD167" s="44">
        <f t="shared" si="80"/>
        <v>281307.99999999994</v>
      </c>
      <c r="AE167" s="11"/>
      <c r="AF167" s="9">
        <f t="shared" si="107"/>
        <v>281307.99999999994</v>
      </c>
      <c r="AG167" s="49" t="s">
        <v>966</v>
      </c>
      <c r="AH167" s="11"/>
      <c r="AI167" s="1">
        <v>185666.26</v>
      </c>
      <c r="AJ167" s="1">
        <v>28396.000000000004</v>
      </c>
    </row>
    <row r="168" spans="1:37" ht="204.75" x14ac:dyDescent="0.25">
      <c r="A168" s="5">
        <f t="shared" si="81"/>
        <v>165</v>
      </c>
      <c r="B168" s="15">
        <v>117483</v>
      </c>
      <c r="C168" s="15">
        <v>412</v>
      </c>
      <c r="D168" s="8" t="s">
        <v>1986</v>
      </c>
      <c r="E168" s="17" t="s">
        <v>540</v>
      </c>
      <c r="F168" s="17" t="s">
        <v>777</v>
      </c>
      <c r="G168" s="32" t="s">
        <v>212</v>
      </c>
      <c r="H168" s="5" t="s">
        <v>151</v>
      </c>
      <c r="I168" s="8" t="s">
        <v>778</v>
      </c>
      <c r="J168" s="2">
        <v>43314</v>
      </c>
      <c r="K168" s="2">
        <v>43679</v>
      </c>
      <c r="L168" s="16">
        <f t="shared" si="103"/>
        <v>85.000000000000014</v>
      </c>
      <c r="M168" s="6">
        <v>5</v>
      </c>
      <c r="N168" s="5" t="s">
        <v>641</v>
      </c>
      <c r="O168" s="5" t="s">
        <v>216</v>
      </c>
      <c r="P168" s="3" t="s">
        <v>174</v>
      </c>
      <c r="Q168" s="5" t="s">
        <v>34</v>
      </c>
      <c r="R168" s="9">
        <v>242732.46</v>
      </c>
      <c r="S168" s="69">
        <f>R168</f>
        <v>242732.46</v>
      </c>
      <c r="T168" s="9">
        <v>0</v>
      </c>
      <c r="U168" s="4">
        <f t="shared" si="104"/>
        <v>37123.78</v>
      </c>
      <c r="V168" s="82">
        <v>37123.78</v>
      </c>
      <c r="W168" s="53">
        <v>0</v>
      </c>
      <c r="X168" s="4">
        <f t="shared" si="105"/>
        <v>5711.36</v>
      </c>
      <c r="Y168" s="69">
        <v>5711.36</v>
      </c>
      <c r="Z168" s="4">
        <v>0</v>
      </c>
      <c r="AA168" s="9">
        <f t="shared" si="106"/>
        <v>0</v>
      </c>
      <c r="AB168" s="9">
        <v>0</v>
      </c>
      <c r="AC168" s="9">
        <v>0</v>
      </c>
      <c r="AD168" s="44">
        <f t="shared" si="80"/>
        <v>285567.59999999998</v>
      </c>
      <c r="AE168" s="9">
        <v>0</v>
      </c>
      <c r="AF168" s="9">
        <f t="shared" si="107"/>
        <v>285567.59999999998</v>
      </c>
      <c r="AG168" s="49" t="s">
        <v>966</v>
      </c>
      <c r="AH168" s="13" t="s">
        <v>151</v>
      </c>
      <c r="AI168" s="1">
        <v>231572.1</v>
      </c>
      <c r="AJ168" s="1">
        <v>35416.890000000014</v>
      </c>
      <c r="AK168" s="149"/>
    </row>
    <row r="169" spans="1:37" ht="141.75" x14ac:dyDescent="0.25">
      <c r="A169" s="5">
        <f t="shared" si="81"/>
        <v>166</v>
      </c>
      <c r="B169" s="15">
        <v>126237</v>
      </c>
      <c r="C169" s="6">
        <v>529</v>
      </c>
      <c r="D169" s="40" t="s">
        <v>1985</v>
      </c>
      <c r="E169" s="5" t="s">
        <v>1018</v>
      </c>
      <c r="F169" s="8" t="s">
        <v>1075</v>
      </c>
      <c r="G169" s="5" t="s">
        <v>1060</v>
      </c>
      <c r="H169" s="5" t="s">
        <v>151</v>
      </c>
      <c r="I169" s="74" t="s">
        <v>1076</v>
      </c>
      <c r="J169" s="2">
        <v>43446</v>
      </c>
      <c r="K169" s="2">
        <v>44177</v>
      </c>
      <c r="L169" s="16">
        <f t="shared" si="103"/>
        <v>85.000000000000014</v>
      </c>
      <c r="M169" s="5">
        <v>5</v>
      </c>
      <c r="N169" s="5" t="s">
        <v>641</v>
      </c>
      <c r="O169" s="5" t="s">
        <v>641</v>
      </c>
      <c r="P169" s="3" t="s">
        <v>174</v>
      </c>
      <c r="Q169" s="5" t="s">
        <v>34</v>
      </c>
      <c r="R169" s="9">
        <f t="shared" ref="R169:R178" si="108">S169+T169</f>
        <v>2072800.65</v>
      </c>
      <c r="S169" s="87">
        <v>2072800.65</v>
      </c>
      <c r="T169" s="9">
        <v>0</v>
      </c>
      <c r="U169" s="4">
        <f t="shared" si="104"/>
        <v>317016.56999999995</v>
      </c>
      <c r="V169" s="53">
        <v>317016.56999999995</v>
      </c>
      <c r="W169" s="53">
        <v>0</v>
      </c>
      <c r="X169" s="4">
        <f t="shared" si="105"/>
        <v>48771.78</v>
      </c>
      <c r="Y169" s="9">
        <v>48771.78</v>
      </c>
      <c r="Z169" s="9">
        <v>0</v>
      </c>
      <c r="AA169" s="9">
        <f t="shared" si="106"/>
        <v>0</v>
      </c>
      <c r="AB169" s="9">
        <v>0</v>
      </c>
      <c r="AC169" s="9">
        <v>0</v>
      </c>
      <c r="AD169" s="44">
        <f t="shared" si="80"/>
        <v>2438588.9999999995</v>
      </c>
      <c r="AE169" s="9">
        <v>0</v>
      </c>
      <c r="AF169" s="9">
        <f t="shared" si="107"/>
        <v>2438588.9999999995</v>
      </c>
      <c r="AG169" s="59" t="s">
        <v>966</v>
      </c>
      <c r="AH169" s="13" t="s">
        <v>151</v>
      </c>
      <c r="AI169" s="1">
        <f>1135968.56+22786.8+371374.35+170009.35</f>
        <v>1700139.06</v>
      </c>
      <c r="AJ169" s="1">
        <f>173736.37+3485.04+56798.43+26001.43</f>
        <v>260021.27</v>
      </c>
    </row>
    <row r="170" spans="1:37" ht="156" customHeight="1" x14ac:dyDescent="0.25">
      <c r="A170" s="5">
        <f t="shared" si="81"/>
        <v>167</v>
      </c>
      <c r="B170" s="78">
        <v>126422</v>
      </c>
      <c r="C170" s="6">
        <v>536</v>
      </c>
      <c r="D170" s="40" t="s">
        <v>1985</v>
      </c>
      <c r="E170" s="5" t="s">
        <v>1018</v>
      </c>
      <c r="F170" s="8" t="s">
        <v>1196</v>
      </c>
      <c r="G170" s="27" t="s">
        <v>640</v>
      </c>
      <c r="H170" s="121" t="s">
        <v>1197</v>
      </c>
      <c r="I170" s="74" t="s">
        <v>1198</v>
      </c>
      <c r="J170" s="2">
        <v>43556</v>
      </c>
      <c r="K170" s="2">
        <v>44652</v>
      </c>
      <c r="L170" s="16">
        <f t="shared" si="103"/>
        <v>84.449828692364051</v>
      </c>
      <c r="M170" s="5">
        <v>5</v>
      </c>
      <c r="N170" s="5" t="s">
        <v>641</v>
      </c>
      <c r="O170" s="6" t="s">
        <v>642</v>
      </c>
      <c r="P170" s="3" t="s">
        <v>174</v>
      </c>
      <c r="Q170" s="5" t="s">
        <v>34</v>
      </c>
      <c r="R170" s="9">
        <f t="shared" si="108"/>
        <v>3195443.02</v>
      </c>
      <c r="S170" s="1">
        <v>3195443.02</v>
      </c>
      <c r="T170" s="1">
        <v>0</v>
      </c>
      <c r="U170" s="4">
        <f t="shared" si="104"/>
        <v>512716.26</v>
      </c>
      <c r="V170" s="71">
        <v>512716.26</v>
      </c>
      <c r="W170" s="53">
        <v>0</v>
      </c>
      <c r="X170" s="4">
        <f t="shared" si="105"/>
        <v>51185.440000000002</v>
      </c>
      <c r="Y170" s="1">
        <v>51185.440000000002</v>
      </c>
      <c r="Z170" s="1">
        <v>0</v>
      </c>
      <c r="AA170" s="9">
        <f t="shared" si="106"/>
        <v>24491.279999999999</v>
      </c>
      <c r="AB170" s="1">
        <v>24491.279999999999</v>
      </c>
      <c r="AC170" s="56">
        <v>0</v>
      </c>
      <c r="AD170" s="44">
        <f t="shared" si="80"/>
        <v>3783836</v>
      </c>
      <c r="AE170" s="9">
        <v>0</v>
      </c>
      <c r="AF170" s="9">
        <f t="shared" si="107"/>
        <v>3783836</v>
      </c>
      <c r="AG170" s="59" t="s">
        <v>515</v>
      </c>
      <c r="AH170" s="13" t="s">
        <v>2196</v>
      </c>
      <c r="AI170" s="1">
        <f>297354.9+119241.06-4498.53+225425.62+116929.56+16351.81+266529.22+121365.47</f>
        <v>1158699.1100000001</v>
      </c>
      <c r="AJ170" s="1">
        <f>48764.85+1616.42+20029.95+39781+22699.08+26424.14+21924.92</f>
        <v>181240.36</v>
      </c>
    </row>
    <row r="171" spans="1:37" ht="379.5" customHeight="1" x14ac:dyDescent="0.25">
      <c r="A171" s="5">
        <f t="shared" si="81"/>
        <v>168</v>
      </c>
      <c r="B171" s="78">
        <v>127741</v>
      </c>
      <c r="C171" s="6">
        <v>642</v>
      </c>
      <c r="D171" s="40" t="s">
        <v>1985</v>
      </c>
      <c r="E171" s="5" t="s">
        <v>1246</v>
      </c>
      <c r="F171" s="8" t="s">
        <v>1278</v>
      </c>
      <c r="G171" s="27" t="s">
        <v>1279</v>
      </c>
      <c r="H171" s="121" t="s">
        <v>151</v>
      </c>
      <c r="I171" s="74" t="s">
        <v>1280</v>
      </c>
      <c r="J171" s="2">
        <v>43622</v>
      </c>
      <c r="K171" s="2">
        <v>44445</v>
      </c>
      <c r="L171" s="16">
        <f t="shared" si="103"/>
        <v>85.000000180308987</v>
      </c>
      <c r="M171" s="5">
        <v>5</v>
      </c>
      <c r="N171" s="5" t="s">
        <v>641</v>
      </c>
      <c r="O171" s="6" t="s">
        <v>1281</v>
      </c>
      <c r="P171" s="3" t="s">
        <v>174</v>
      </c>
      <c r="Q171" s="5" t="s">
        <v>34</v>
      </c>
      <c r="R171" s="9">
        <f t="shared" si="108"/>
        <v>2357064.88</v>
      </c>
      <c r="S171" s="1">
        <v>2357064.88</v>
      </c>
      <c r="T171" s="1">
        <v>0</v>
      </c>
      <c r="U171" s="4">
        <f t="shared" si="104"/>
        <v>360492.27</v>
      </c>
      <c r="V171" s="71">
        <v>360492.27</v>
      </c>
      <c r="W171" s="85">
        <v>0</v>
      </c>
      <c r="X171" s="4">
        <f t="shared" si="105"/>
        <v>55460.35</v>
      </c>
      <c r="Y171" s="1">
        <v>55460.35</v>
      </c>
      <c r="Z171" s="1">
        <v>0</v>
      </c>
      <c r="AA171" s="9">
        <f t="shared" si="106"/>
        <v>0</v>
      </c>
      <c r="AB171" s="80"/>
      <c r="AC171" s="56">
        <v>0</v>
      </c>
      <c r="AD171" s="44">
        <f t="shared" si="80"/>
        <v>2773017.5</v>
      </c>
      <c r="AE171" s="9">
        <v>1</v>
      </c>
      <c r="AF171" s="9">
        <f t="shared" si="107"/>
        <v>2773018.5</v>
      </c>
      <c r="AG171" s="59" t="s">
        <v>515</v>
      </c>
      <c r="AH171" s="13" t="s">
        <v>1971</v>
      </c>
      <c r="AI171" s="1">
        <f>128349.05+371710.95+24893.95+484097.67+24605.8+299089.41+34249.56</f>
        <v>1366996.39</v>
      </c>
      <c r="AJ171" s="1">
        <f>3984.43+5415.15+10230.27+56849.91+3807.31+74038.47+3763.24+45743.08+5238.17</f>
        <v>209070.03</v>
      </c>
    </row>
    <row r="172" spans="1:37" ht="379.5" customHeight="1" x14ac:dyDescent="0.25">
      <c r="A172" s="5">
        <f t="shared" si="81"/>
        <v>169</v>
      </c>
      <c r="B172" s="78">
        <v>128531</v>
      </c>
      <c r="C172" s="6">
        <v>643</v>
      </c>
      <c r="D172" s="40" t="s">
        <v>1985</v>
      </c>
      <c r="E172" s="5" t="s">
        <v>1246</v>
      </c>
      <c r="F172" s="8" t="s">
        <v>1297</v>
      </c>
      <c r="G172" s="27" t="s">
        <v>1296</v>
      </c>
      <c r="H172" s="121" t="s">
        <v>151</v>
      </c>
      <c r="I172" s="74" t="s">
        <v>1298</v>
      </c>
      <c r="J172" s="2">
        <v>43634</v>
      </c>
      <c r="K172" s="2">
        <v>44548</v>
      </c>
      <c r="L172" s="16">
        <f t="shared" si="103"/>
        <v>85</v>
      </c>
      <c r="M172" s="5">
        <v>5</v>
      </c>
      <c r="N172" s="5" t="s">
        <v>641</v>
      </c>
      <c r="O172" s="6" t="s">
        <v>1299</v>
      </c>
      <c r="P172" s="3" t="s">
        <v>174</v>
      </c>
      <c r="Q172" s="5" t="s">
        <v>34</v>
      </c>
      <c r="R172" s="9">
        <f t="shared" si="108"/>
        <v>2728625.8</v>
      </c>
      <c r="S172" s="80">
        <v>2728625.8</v>
      </c>
      <c r="T172" s="80">
        <v>0</v>
      </c>
      <c r="U172" s="4">
        <f t="shared" si="104"/>
        <v>417319.24</v>
      </c>
      <c r="V172" s="85">
        <v>417319.24</v>
      </c>
      <c r="W172" s="85">
        <v>0</v>
      </c>
      <c r="X172" s="4">
        <f t="shared" si="105"/>
        <v>64202.96</v>
      </c>
      <c r="Y172" s="80">
        <v>64202.96</v>
      </c>
      <c r="Z172" s="80">
        <v>0</v>
      </c>
      <c r="AA172" s="9">
        <f t="shared" si="106"/>
        <v>0</v>
      </c>
      <c r="AB172" s="9">
        <v>0</v>
      </c>
      <c r="AC172" s="9">
        <v>0</v>
      </c>
      <c r="AD172" s="44">
        <f t="shared" si="80"/>
        <v>3210148</v>
      </c>
      <c r="AE172" s="9"/>
      <c r="AF172" s="9">
        <f t="shared" si="107"/>
        <v>3210148</v>
      </c>
      <c r="AG172" s="59" t="s">
        <v>515</v>
      </c>
      <c r="AH172" s="13" t="s">
        <v>2154</v>
      </c>
      <c r="AI172" s="1">
        <f>217687.62+240049.18+215955.25+105468.61+857119.81+199574.05+108838.08</f>
        <v>1944692.6000000003</v>
      </c>
      <c r="AJ172" s="1">
        <f>32312.38+36713.4+33028.45+17111.51+131088.92+30523.09+16645.82</f>
        <v>297423.57</v>
      </c>
    </row>
    <row r="173" spans="1:37" ht="379.5" customHeight="1" x14ac:dyDescent="0.25">
      <c r="A173" s="5">
        <f t="shared" si="81"/>
        <v>170</v>
      </c>
      <c r="B173" s="78">
        <v>129575</v>
      </c>
      <c r="C173" s="6">
        <v>659</v>
      </c>
      <c r="D173" s="40" t="s">
        <v>1985</v>
      </c>
      <c r="E173" s="5" t="s">
        <v>1246</v>
      </c>
      <c r="F173" s="8" t="s">
        <v>1318</v>
      </c>
      <c r="G173" s="27" t="s">
        <v>1316</v>
      </c>
      <c r="H173" s="121" t="s">
        <v>151</v>
      </c>
      <c r="I173" s="74" t="s">
        <v>1319</v>
      </c>
      <c r="J173" s="2">
        <v>43640</v>
      </c>
      <c r="K173" s="2">
        <v>44432</v>
      </c>
      <c r="L173" s="16">
        <f t="shared" si="103"/>
        <v>84.999999883898255</v>
      </c>
      <c r="M173" s="5">
        <v>5</v>
      </c>
      <c r="N173" s="5" t="s">
        <v>641</v>
      </c>
      <c r="O173" s="6" t="s">
        <v>1317</v>
      </c>
      <c r="P173" s="3" t="s">
        <v>174</v>
      </c>
      <c r="Q173" s="5" t="s">
        <v>34</v>
      </c>
      <c r="R173" s="9">
        <f t="shared" si="108"/>
        <v>2562407.54</v>
      </c>
      <c r="S173" s="80">
        <v>2562407.54</v>
      </c>
      <c r="T173" s="80">
        <v>0</v>
      </c>
      <c r="U173" s="4">
        <f t="shared" si="104"/>
        <v>391897.63</v>
      </c>
      <c r="V173" s="85">
        <v>391897.63</v>
      </c>
      <c r="W173" s="85">
        <v>0</v>
      </c>
      <c r="X173" s="4">
        <f t="shared" si="105"/>
        <v>60291.939999999981</v>
      </c>
      <c r="Y173" s="80">
        <v>60291.939999999981</v>
      </c>
      <c r="Z173" s="80">
        <v>0</v>
      </c>
      <c r="AA173" s="9">
        <f t="shared" si="106"/>
        <v>0</v>
      </c>
      <c r="AB173" s="80">
        <v>0</v>
      </c>
      <c r="AC173" s="80">
        <v>0</v>
      </c>
      <c r="AD173" s="44">
        <f t="shared" si="80"/>
        <v>3014597.11</v>
      </c>
      <c r="AE173" s="9">
        <v>0</v>
      </c>
      <c r="AF173" s="9">
        <f t="shared" si="107"/>
        <v>3014597.11</v>
      </c>
      <c r="AG173" s="59" t="s">
        <v>515</v>
      </c>
      <c r="AH173" s="13" t="s">
        <v>2175</v>
      </c>
      <c r="AI173" s="1">
        <f>649821.42+332457.04-19866.57+315838.48+399197.23+240858.26-28723.66</f>
        <v>1889582.2000000002</v>
      </c>
      <c r="AJ173" s="1">
        <f>50197.04+50846.37+19866.57+25399.72+61053.69+36837.15+28723.66</f>
        <v>272924.2</v>
      </c>
    </row>
    <row r="174" spans="1:37" ht="379.5" customHeight="1" x14ac:dyDescent="0.25">
      <c r="A174" s="5">
        <f t="shared" si="81"/>
        <v>171</v>
      </c>
      <c r="B174" s="5">
        <v>128870</v>
      </c>
      <c r="C174" s="6">
        <v>668</v>
      </c>
      <c r="D174" s="40" t="s">
        <v>1985</v>
      </c>
      <c r="E174" s="17" t="s">
        <v>1246</v>
      </c>
      <c r="F174" s="8" t="s">
        <v>1451</v>
      </c>
      <c r="G174" s="5" t="s">
        <v>212</v>
      </c>
      <c r="H174" s="5" t="s">
        <v>151</v>
      </c>
      <c r="I174" s="41" t="s">
        <v>1452</v>
      </c>
      <c r="J174" s="2">
        <v>43697</v>
      </c>
      <c r="K174" s="2">
        <v>44428</v>
      </c>
      <c r="L174" s="16">
        <f t="shared" si="103"/>
        <v>85.000000000000014</v>
      </c>
      <c r="M174" s="5">
        <v>5</v>
      </c>
      <c r="N174" s="5" t="s">
        <v>641</v>
      </c>
      <c r="O174" s="5" t="s">
        <v>216</v>
      </c>
      <c r="P174" s="3" t="s">
        <v>174</v>
      </c>
      <c r="Q174" s="5" t="s">
        <v>34</v>
      </c>
      <c r="R174" s="4">
        <v>2288366.6000000006</v>
      </c>
      <c r="S174" s="9">
        <v>2288366.6000000006</v>
      </c>
      <c r="T174" s="9">
        <v>0</v>
      </c>
      <c r="U174" s="4">
        <v>349985.48</v>
      </c>
      <c r="V174" s="53">
        <v>349985.48</v>
      </c>
      <c r="W174" s="53">
        <v>0</v>
      </c>
      <c r="X174" s="4">
        <v>53843.92</v>
      </c>
      <c r="Y174" s="9">
        <v>53843.92</v>
      </c>
      <c r="Z174" s="9">
        <v>0</v>
      </c>
      <c r="AA174" s="9">
        <v>0</v>
      </c>
      <c r="AB174" s="9">
        <v>0</v>
      </c>
      <c r="AC174" s="9">
        <v>0</v>
      </c>
      <c r="AD174" s="44">
        <f t="shared" si="80"/>
        <v>2692196.0000000005</v>
      </c>
      <c r="AE174" s="9">
        <v>0</v>
      </c>
      <c r="AF174" s="9">
        <v>2692196.0000000005</v>
      </c>
      <c r="AG174" s="59" t="s">
        <v>515</v>
      </c>
      <c r="AH174" s="13" t="s">
        <v>151</v>
      </c>
      <c r="AI174" s="1">
        <f>246216.09+160994.99-19780.05+275583.18+223439.59+743140.22-32529.53+227704.03</f>
        <v>1824768.52</v>
      </c>
      <c r="AJ174" s="1">
        <f>23002.91+12411.49+19780.05+42148.01+37418.04+73296.86+32529.53+17518.55</f>
        <v>258105.43999999997</v>
      </c>
    </row>
    <row r="175" spans="1:37" ht="301.5" customHeight="1" x14ac:dyDescent="0.25">
      <c r="A175" s="5">
        <f t="shared" si="81"/>
        <v>172</v>
      </c>
      <c r="B175" s="5">
        <v>128738</v>
      </c>
      <c r="C175" s="6">
        <v>627</v>
      </c>
      <c r="D175" s="40" t="s">
        <v>1985</v>
      </c>
      <c r="E175" s="17" t="s">
        <v>1246</v>
      </c>
      <c r="F175" s="8" t="s">
        <v>1673</v>
      </c>
      <c r="G175" s="5" t="s">
        <v>1781</v>
      </c>
      <c r="H175" s="5" t="s">
        <v>151</v>
      </c>
      <c r="I175" s="41" t="s">
        <v>1675</v>
      </c>
      <c r="J175" s="2">
        <v>43838</v>
      </c>
      <c r="K175" s="2">
        <v>44569</v>
      </c>
      <c r="L175" s="16">
        <f t="shared" si="103"/>
        <v>84.999999882123163</v>
      </c>
      <c r="M175" s="5">
        <v>5</v>
      </c>
      <c r="N175" s="5" t="s">
        <v>641</v>
      </c>
      <c r="O175" s="5" t="s">
        <v>1674</v>
      </c>
      <c r="P175" s="3" t="s">
        <v>174</v>
      </c>
      <c r="Q175" s="5" t="s">
        <v>34</v>
      </c>
      <c r="R175" s="4">
        <f t="shared" si="108"/>
        <v>1802729.17</v>
      </c>
      <c r="S175" s="9">
        <v>1802729.17</v>
      </c>
      <c r="T175" s="9">
        <v>0</v>
      </c>
      <c r="U175" s="4">
        <f t="shared" si="104"/>
        <v>275711.53999999998</v>
      </c>
      <c r="V175" s="53">
        <v>275711.53999999998</v>
      </c>
      <c r="W175" s="53">
        <v>0</v>
      </c>
      <c r="X175" s="4">
        <f t="shared" si="105"/>
        <v>42417.14</v>
      </c>
      <c r="Y175" s="9">
        <v>42417.14</v>
      </c>
      <c r="Z175" s="9">
        <v>0</v>
      </c>
      <c r="AA175" s="9">
        <f t="shared" si="106"/>
        <v>0</v>
      </c>
      <c r="AB175" s="9">
        <v>0</v>
      </c>
      <c r="AC175" s="9">
        <v>0</v>
      </c>
      <c r="AD175" s="44">
        <f t="shared" si="80"/>
        <v>2120857.85</v>
      </c>
      <c r="AE175" s="9">
        <v>0</v>
      </c>
      <c r="AF175" s="9">
        <f t="shared" si="107"/>
        <v>2120857.85</v>
      </c>
      <c r="AG175" s="59" t="s">
        <v>515</v>
      </c>
      <c r="AH175" s="13" t="s">
        <v>151</v>
      </c>
      <c r="AI175" s="1">
        <f>112000-9678.11+77447.46+267216.34+620115.86+71682.9+448633.63</f>
        <v>1587418.08</v>
      </c>
      <c r="AJ175" s="1">
        <f>9678.11+4051.32+40868.39+94841.24+10045.62+68614.55</f>
        <v>228099.22999999998</v>
      </c>
    </row>
    <row r="176" spans="1:37" ht="212.25" customHeight="1" x14ac:dyDescent="0.25">
      <c r="A176" s="5">
        <f t="shared" si="81"/>
        <v>173</v>
      </c>
      <c r="B176" s="5">
        <v>135237</v>
      </c>
      <c r="C176" s="6">
        <v>793</v>
      </c>
      <c r="D176" s="40" t="s">
        <v>1985</v>
      </c>
      <c r="E176" s="17" t="s">
        <v>1701</v>
      </c>
      <c r="F176" s="8" t="s">
        <v>1710</v>
      </c>
      <c r="G176" s="5" t="s">
        <v>640</v>
      </c>
      <c r="H176" s="5" t="s">
        <v>151</v>
      </c>
      <c r="I176" s="41" t="s">
        <v>1711</v>
      </c>
      <c r="J176" s="2">
        <v>43949</v>
      </c>
      <c r="K176" s="2">
        <v>44854</v>
      </c>
      <c r="L176" s="16">
        <f t="shared" si="103"/>
        <v>84.999999628092681</v>
      </c>
      <c r="M176" s="5">
        <v>5</v>
      </c>
      <c r="N176" s="5" t="s">
        <v>641</v>
      </c>
      <c r="O176" s="5" t="s">
        <v>642</v>
      </c>
      <c r="P176" s="3" t="s">
        <v>174</v>
      </c>
      <c r="Q176" s="5" t="s">
        <v>34</v>
      </c>
      <c r="R176" s="4">
        <f t="shared" si="108"/>
        <v>2399791.5</v>
      </c>
      <c r="S176" s="9">
        <v>2399791.5</v>
      </c>
      <c r="T176" s="9">
        <v>0</v>
      </c>
      <c r="U176" s="4">
        <f t="shared" si="104"/>
        <v>367026.95</v>
      </c>
      <c r="V176" s="53">
        <v>367026.95</v>
      </c>
      <c r="W176" s="53">
        <v>0</v>
      </c>
      <c r="X176" s="4">
        <f t="shared" si="105"/>
        <v>56465.68</v>
      </c>
      <c r="Y176" s="9">
        <v>56465.68</v>
      </c>
      <c r="Z176" s="9">
        <v>0</v>
      </c>
      <c r="AA176" s="9">
        <f t="shared" si="106"/>
        <v>0</v>
      </c>
      <c r="AB176" s="9">
        <v>0</v>
      </c>
      <c r="AC176" s="9">
        <v>0</v>
      </c>
      <c r="AD176" s="44">
        <f t="shared" si="80"/>
        <v>2823284.1300000004</v>
      </c>
      <c r="AE176" s="9">
        <v>0</v>
      </c>
      <c r="AF176" s="9">
        <f t="shared" si="107"/>
        <v>2823284.1300000004</v>
      </c>
      <c r="AG176" s="59" t="s">
        <v>515</v>
      </c>
      <c r="AH176" s="13" t="s">
        <v>151</v>
      </c>
      <c r="AI176" s="1">
        <f>282328.41-3301.74-10148.36</f>
        <v>268878.31</v>
      </c>
      <c r="AJ176" s="1">
        <f>3301.74+10148.36</f>
        <v>13450.1</v>
      </c>
    </row>
    <row r="177" spans="1:36" ht="204.75" x14ac:dyDescent="0.25">
      <c r="A177" s="5">
        <f t="shared" si="81"/>
        <v>174</v>
      </c>
      <c r="B177" s="5">
        <v>136172</v>
      </c>
      <c r="C177" s="6">
        <v>798</v>
      </c>
      <c r="D177" s="40" t="s">
        <v>1985</v>
      </c>
      <c r="E177" s="17" t="s">
        <v>1701</v>
      </c>
      <c r="F177" s="8" t="s">
        <v>1780</v>
      </c>
      <c r="G177" s="5" t="s">
        <v>1781</v>
      </c>
      <c r="H177" s="5" t="s">
        <v>151</v>
      </c>
      <c r="I177" s="41" t="s">
        <v>1782</v>
      </c>
      <c r="J177" s="2">
        <v>43969</v>
      </c>
      <c r="K177" s="2">
        <v>44699</v>
      </c>
      <c r="L177" s="16">
        <f t="shared" si="103"/>
        <v>85.000000403987528</v>
      </c>
      <c r="M177" s="5">
        <v>5</v>
      </c>
      <c r="N177" s="5" t="s">
        <v>641</v>
      </c>
      <c r="O177" s="5" t="s">
        <v>1674</v>
      </c>
      <c r="P177" s="3" t="s">
        <v>174</v>
      </c>
      <c r="Q177" s="5" t="s">
        <v>34</v>
      </c>
      <c r="R177" s="4">
        <f t="shared" si="108"/>
        <v>3156038.03</v>
      </c>
      <c r="S177" s="9">
        <v>3156038.03</v>
      </c>
      <c r="T177" s="9">
        <v>0</v>
      </c>
      <c r="U177" s="4">
        <f t="shared" si="104"/>
        <v>482688.15</v>
      </c>
      <c r="V177" s="53">
        <v>482688.15</v>
      </c>
      <c r="W177" s="53">
        <v>0</v>
      </c>
      <c r="X177" s="4">
        <f t="shared" si="105"/>
        <v>74259.72</v>
      </c>
      <c r="Y177" s="9">
        <v>74259.72</v>
      </c>
      <c r="Z177" s="9">
        <v>0</v>
      </c>
      <c r="AA177" s="9">
        <f t="shared" si="106"/>
        <v>0</v>
      </c>
      <c r="AB177" s="9">
        <v>0</v>
      </c>
      <c r="AC177" s="9">
        <v>0</v>
      </c>
      <c r="AD177" s="44">
        <f t="shared" si="80"/>
        <v>3712985.9</v>
      </c>
      <c r="AE177" s="9">
        <v>0</v>
      </c>
      <c r="AF177" s="9">
        <f t="shared" si="107"/>
        <v>3712985.9</v>
      </c>
      <c r="AG177" s="59" t="s">
        <v>515</v>
      </c>
      <c r="AH177" s="13" t="s">
        <v>151</v>
      </c>
      <c r="AI177" s="1">
        <f>80000-10419.72+98548.63-3498.98+284928.39</f>
        <v>449558.32</v>
      </c>
      <c r="AJ177" s="1">
        <f>10419.72+3498.98+8954.92</f>
        <v>22873.62</v>
      </c>
    </row>
    <row r="178" spans="1:36" ht="346.5" x14ac:dyDescent="0.25">
      <c r="A178" s="5">
        <f t="shared" si="81"/>
        <v>175</v>
      </c>
      <c r="B178" s="5">
        <v>136022</v>
      </c>
      <c r="C178" s="6">
        <v>809</v>
      </c>
      <c r="D178" s="40" t="s">
        <v>1985</v>
      </c>
      <c r="E178" s="17" t="s">
        <v>1701</v>
      </c>
      <c r="F178" s="8" t="s">
        <v>1873</v>
      </c>
      <c r="G178" s="5" t="s">
        <v>1316</v>
      </c>
      <c r="H178" s="5" t="s">
        <v>151</v>
      </c>
      <c r="I178" s="41" t="s">
        <v>1874</v>
      </c>
      <c r="J178" s="2">
        <v>44014</v>
      </c>
      <c r="K178" s="2">
        <v>44744</v>
      </c>
      <c r="L178" s="16">
        <f t="shared" si="103"/>
        <v>85.000000140255977</v>
      </c>
      <c r="M178" s="5">
        <v>5</v>
      </c>
      <c r="N178" s="5" t="s">
        <v>641</v>
      </c>
      <c r="O178" s="5" t="s">
        <v>1317</v>
      </c>
      <c r="P178" s="3" t="s">
        <v>174</v>
      </c>
      <c r="Q178" s="5" t="s">
        <v>34</v>
      </c>
      <c r="R178" s="4">
        <f t="shared" si="108"/>
        <v>3030173.76</v>
      </c>
      <c r="S178" s="9">
        <v>3030173.76</v>
      </c>
      <c r="T178" s="9">
        <v>0</v>
      </c>
      <c r="U178" s="4">
        <f t="shared" si="104"/>
        <v>463438.33</v>
      </c>
      <c r="V178" s="53">
        <v>463438.33</v>
      </c>
      <c r="W178" s="53">
        <v>0</v>
      </c>
      <c r="X178" s="4">
        <f t="shared" si="105"/>
        <v>71298.210000000006</v>
      </c>
      <c r="Y178" s="9">
        <v>71298.210000000006</v>
      </c>
      <c r="Z178" s="9">
        <v>0</v>
      </c>
      <c r="AA178" s="9">
        <f t="shared" si="106"/>
        <v>0</v>
      </c>
      <c r="AB178" s="9">
        <v>0</v>
      </c>
      <c r="AC178" s="9">
        <v>0</v>
      </c>
      <c r="AD178" s="44">
        <f t="shared" si="80"/>
        <v>3564910.3</v>
      </c>
      <c r="AE178" s="9">
        <v>0</v>
      </c>
      <c r="AF178" s="9">
        <f t="shared" si="107"/>
        <v>3564910.3</v>
      </c>
      <c r="AG178" s="59" t="s">
        <v>515</v>
      </c>
      <c r="AH178" s="13" t="s">
        <v>151</v>
      </c>
      <c r="AI178" s="1">
        <f>356491+211105</f>
        <v>567596</v>
      </c>
      <c r="AJ178" s="1">
        <v>32286.639999999999</v>
      </c>
    </row>
    <row r="179" spans="1:36" ht="173.25" x14ac:dyDescent="0.25">
      <c r="A179" s="5">
        <f t="shared" si="81"/>
        <v>176</v>
      </c>
      <c r="B179" s="15">
        <v>120482</v>
      </c>
      <c r="C179" s="6">
        <v>68</v>
      </c>
      <c r="D179" s="40" t="s">
        <v>1985</v>
      </c>
      <c r="E179" s="17" t="s">
        <v>278</v>
      </c>
      <c r="F179" s="8" t="s">
        <v>236</v>
      </c>
      <c r="G179" s="5" t="s">
        <v>239</v>
      </c>
      <c r="H179" s="5" t="s">
        <v>151</v>
      </c>
      <c r="I179" s="74" t="s">
        <v>240</v>
      </c>
      <c r="J179" s="2">
        <v>43145</v>
      </c>
      <c r="K179" s="2">
        <v>43630</v>
      </c>
      <c r="L179" s="16">
        <f t="shared" ref="L179:L188" si="109">R179/AD179*100</f>
        <v>85</v>
      </c>
      <c r="M179" s="5">
        <v>3</v>
      </c>
      <c r="N179" s="5" t="s">
        <v>241</v>
      </c>
      <c r="O179" s="5" t="s">
        <v>242</v>
      </c>
      <c r="P179" s="3" t="s">
        <v>174</v>
      </c>
      <c r="Q179" s="5" t="s">
        <v>34</v>
      </c>
      <c r="R179" s="9">
        <f t="shared" ref="R179:R184" si="110">S179+T179</f>
        <v>508342.5</v>
      </c>
      <c r="S179" s="87">
        <v>508342.5</v>
      </c>
      <c r="T179" s="9">
        <v>0</v>
      </c>
      <c r="U179" s="4">
        <f t="shared" ref="U179:U188" si="111">V179+W179</f>
        <v>77746.5</v>
      </c>
      <c r="V179" s="53">
        <v>77746.5</v>
      </c>
      <c r="W179" s="53">
        <v>0</v>
      </c>
      <c r="X179" s="4">
        <f t="shared" ref="X179:X188" si="112">Y179+Z179</f>
        <v>11961</v>
      </c>
      <c r="Y179" s="9">
        <v>11961</v>
      </c>
      <c r="Z179" s="9">
        <v>0</v>
      </c>
      <c r="AA179" s="9">
        <f>AB179+AC179</f>
        <v>0</v>
      </c>
      <c r="AB179" s="9">
        <v>0</v>
      </c>
      <c r="AC179" s="9">
        <v>0</v>
      </c>
      <c r="AD179" s="44">
        <f t="shared" si="80"/>
        <v>598050</v>
      </c>
      <c r="AE179" s="9">
        <v>0</v>
      </c>
      <c r="AF179" s="9">
        <f t="shared" ref="AF179:AF188" si="113">AD179+AE179</f>
        <v>598050</v>
      </c>
      <c r="AG179" s="49" t="s">
        <v>966</v>
      </c>
      <c r="AH179" s="13"/>
      <c r="AI179" s="1">
        <v>385296.94</v>
      </c>
      <c r="AJ179" s="1">
        <v>58927.729999999996</v>
      </c>
    </row>
    <row r="180" spans="1:36" ht="330.75" x14ac:dyDescent="0.25">
      <c r="A180" s="5">
        <f t="shared" si="81"/>
        <v>177</v>
      </c>
      <c r="B180" s="15">
        <v>122108</v>
      </c>
      <c r="C180" s="6">
        <v>83</v>
      </c>
      <c r="D180" s="40" t="s">
        <v>1985</v>
      </c>
      <c r="E180" s="17" t="s">
        <v>278</v>
      </c>
      <c r="F180" s="8" t="s">
        <v>402</v>
      </c>
      <c r="G180" s="5" t="s">
        <v>1324</v>
      </c>
      <c r="H180" s="5" t="s">
        <v>151</v>
      </c>
      <c r="I180" s="74" t="s">
        <v>452</v>
      </c>
      <c r="J180" s="2">
        <v>43234</v>
      </c>
      <c r="K180" s="2">
        <v>43722</v>
      </c>
      <c r="L180" s="16">
        <f t="shared" si="109"/>
        <v>84.999995128143141</v>
      </c>
      <c r="M180" s="5">
        <v>3</v>
      </c>
      <c r="N180" s="5" t="s">
        <v>241</v>
      </c>
      <c r="O180" s="5" t="s">
        <v>403</v>
      </c>
      <c r="P180" s="3" t="s">
        <v>174</v>
      </c>
      <c r="Q180" s="5" t="s">
        <v>34</v>
      </c>
      <c r="R180" s="9">
        <f t="shared" si="110"/>
        <v>322772.19</v>
      </c>
      <c r="S180" s="69">
        <v>322772.19</v>
      </c>
      <c r="T180" s="150">
        <v>0</v>
      </c>
      <c r="U180" s="4">
        <f t="shared" si="111"/>
        <v>49365.18</v>
      </c>
      <c r="V180" s="53">
        <v>49365.18</v>
      </c>
      <c r="W180" s="53">
        <v>0</v>
      </c>
      <c r="X180" s="4">
        <f t="shared" si="112"/>
        <v>7594.64</v>
      </c>
      <c r="Y180" s="9">
        <v>7594.64</v>
      </c>
      <c r="Z180" s="9">
        <v>0</v>
      </c>
      <c r="AA180" s="9">
        <f>AB180+AC180</f>
        <v>0</v>
      </c>
      <c r="AB180" s="9">
        <v>0</v>
      </c>
      <c r="AC180" s="9">
        <v>0</v>
      </c>
      <c r="AD180" s="44">
        <f t="shared" si="80"/>
        <v>379732.01</v>
      </c>
      <c r="AE180" s="9">
        <v>55635.199999999997</v>
      </c>
      <c r="AF180" s="9">
        <f t="shared" si="113"/>
        <v>435367.21</v>
      </c>
      <c r="AG180" s="49" t="s">
        <v>966</v>
      </c>
      <c r="AH180" s="13" t="s">
        <v>1273</v>
      </c>
      <c r="AI180" s="1">
        <v>218039.20999999996</v>
      </c>
      <c r="AJ180" s="1">
        <v>33347.15</v>
      </c>
    </row>
    <row r="181" spans="1:36" ht="204.75" x14ac:dyDescent="0.25">
      <c r="A181" s="5">
        <f t="shared" si="81"/>
        <v>178</v>
      </c>
      <c r="B181" s="15">
        <v>118782</v>
      </c>
      <c r="C181" s="5">
        <v>444</v>
      </c>
      <c r="D181" s="8" t="s">
        <v>1986</v>
      </c>
      <c r="E181" s="17" t="s">
        <v>540</v>
      </c>
      <c r="F181" s="8" t="s">
        <v>744</v>
      </c>
      <c r="G181" s="5" t="s">
        <v>1267</v>
      </c>
      <c r="H181" s="6"/>
      <c r="I181" s="60" t="s">
        <v>743</v>
      </c>
      <c r="J181" s="2">
        <v>43304</v>
      </c>
      <c r="K181" s="2">
        <v>43792</v>
      </c>
      <c r="L181" s="16">
        <f t="shared" si="109"/>
        <v>85</v>
      </c>
      <c r="M181" s="6">
        <v>3</v>
      </c>
      <c r="N181" s="5" t="s">
        <v>241</v>
      </c>
      <c r="O181" s="5" t="s">
        <v>745</v>
      </c>
      <c r="P181" s="3" t="s">
        <v>174</v>
      </c>
      <c r="Q181" s="5" t="s">
        <v>34</v>
      </c>
      <c r="R181" s="9">
        <f t="shared" si="110"/>
        <v>242091.39</v>
      </c>
      <c r="S181" s="10">
        <v>242091.39</v>
      </c>
      <c r="T181" s="56">
        <v>0</v>
      </c>
      <c r="U181" s="4">
        <f t="shared" si="111"/>
        <v>37025.74</v>
      </c>
      <c r="V181" s="71">
        <v>37025.74</v>
      </c>
      <c r="W181" s="85">
        <v>0</v>
      </c>
      <c r="X181" s="4">
        <f t="shared" si="112"/>
        <v>5696.27</v>
      </c>
      <c r="Y181" s="1">
        <v>5696.27</v>
      </c>
      <c r="Z181" s="1">
        <v>0</v>
      </c>
      <c r="AA181" s="9">
        <f>AB181+AC181</f>
        <v>0</v>
      </c>
      <c r="AB181" s="54">
        <v>0</v>
      </c>
      <c r="AC181" s="54">
        <v>0</v>
      </c>
      <c r="AD181" s="44">
        <f t="shared" si="80"/>
        <v>284813.40000000002</v>
      </c>
      <c r="AE181" s="80">
        <v>0</v>
      </c>
      <c r="AF181" s="9">
        <f t="shared" si="113"/>
        <v>284813.40000000002</v>
      </c>
      <c r="AG181" s="49" t="s">
        <v>966</v>
      </c>
      <c r="AH181" s="11" t="s">
        <v>1386</v>
      </c>
      <c r="AI181" s="1">
        <v>218691.65000000002</v>
      </c>
      <c r="AJ181" s="1">
        <v>33446.97</v>
      </c>
    </row>
    <row r="182" spans="1:36" s="72" customFormat="1" ht="237.75" customHeight="1" x14ac:dyDescent="0.25">
      <c r="A182" s="5">
        <f t="shared" si="81"/>
        <v>179</v>
      </c>
      <c r="B182" s="15">
        <v>118562</v>
      </c>
      <c r="C182" s="5">
        <v>430</v>
      </c>
      <c r="D182" s="8" t="s">
        <v>1986</v>
      </c>
      <c r="E182" s="17" t="s">
        <v>540</v>
      </c>
      <c r="F182" s="8" t="s">
        <v>799</v>
      </c>
      <c r="G182" s="5" t="s">
        <v>800</v>
      </c>
      <c r="H182" s="6" t="s">
        <v>151</v>
      </c>
      <c r="I182" s="60" t="s">
        <v>801</v>
      </c>
      <c r="J182" s="2">
        <v>43318</v>
      </c>
      <c r="K182" s="2">
        <v>43683</v>
      </c>
      <c r="L182" s="16">
        <f t="shared" si="109"/>
        <v>85</v>
      </c>
      <c r="M182" s="6">
        <v>3</v>
      </c>
      <c r="N182" s="5" t="s">
        <v>241</v>
      </c>
      <c r="O182" s="5" t="s">
        <v>242</v>
      </c>
      <c r="P182" s="3" t="s">
        <v>174</v>
      </c>
      <c r="Q182" s="5" t="s">
        <v>34</v>
      </c>
      <c r="R182" s="9">
        <f t="shared" si="110"/>
        <v>244199.22</v>
      </c>
      <c r="S182" s="10">
        <v>244199.22</v>
      </c>
      <c r="T182" s="56">
        <v>0</v>
      </c>
      <c r="U182" s="4">
        <f t="shared" si="111"/>
        <v>37348.11</v>
      </c>
      <c r="V182" s="71">
        <v>37348.11</v>
      </c>
      <c r="W182" s="85">
        <v>0</v>
      </c>
      <c r="X182" s="4">
        <f t="shared" si="112"/>
        <v>5745.87</v>
      </c>
      <c r="Y182" s="1">
        <v>5745.87</v>
      </c>
      <c r="Z182" s="1">
        <v>0</v>
      </c>
      <c r="AB182" s="56">
        <v>0</v>
      </c>
      <c r="AC182" s="56">
        <v>0</v>
      </c>
      <c r="AD182" s="44">
        <f t="shared" si="80"/>
        <v>287293.2</v>
      </c>
      <c r="AE182" s="11">
        <v>0</v>
      </c>
      <c r="AF182" s="9">
        <f t="shared" si="113"/>
        <v>287293.2</v>
      </c>
      <c r="AG182" s="49" t="s">
        <v>966</v>
      </c>
      <c r="AH182" s="11"/>
      <c r="AI182" s="1">
        <v>187221.18</v>
      </c>
      <c r="AJ182" s="1">
        <v>28633.829999999994</v>
      </c>
    </row>
    <row r="183" spans="1:36" s="72" customFormat="1" ht="237.75" customHeight="1" x14ac:dyDescent="0.25">
      <c r="A183" s="5">
        <f t="shared" si="81"/>
        <v>180</v>
      </c>
      <c r="B183" s="15">
        <v>128788</v>
      </c>
      <c r="C183" s="5">
        <v>632</v>
      </c>
      <c r="D183" s="40" t="s">
        <v>1985</v>
      </c>
      <c r="E183" s="17" t="s">
        <v>1246</v>
      </c>
      <c r="F183" s="8" t="s">
        <v>1270</v>
      </c>
      <c r="G183" s="5" t="s">
        <v>1267</v>
      </c>
      <c r="H183" s="6" t="s">
        <v>151</v>
      </c>
      <c r="I183" s="60" t="s">
        <v>1269</v>
      </c>
      <c r="J183" s="2">
        <v>43622</v>
      </c>
      <c r="K183" s="2">
        <v>44626</v>
      </c>
      <c r="L183" s="16">
        <f t="shared" si="109"/>
        <v>85.000000230035937</v>
      </c>
      <c r="M183" s="6">
        <v>3</v>
      </c>
      <c r="N183" s="5" t="s">
        <v>241</v>
      </c>
      <c r="O183" s="5" t="s">
        <v>1268</v>
      </c>
      <c r="P183" s="3" t="s">
        <v>174</v>
      </c>
      <c r="Q183" s="5" t="s">
        <v>34</v>
      </c>
      <c r="R183" s="9">
        <f t="shared" si="110"/>
        <v>1847537.48</v>
      </c>
      <c r="S183" s="10">
        <v>1847537.48</v>
      </c>
      <c r="T183" s="56">
        <v>0</v>
      </c>
      <c r="U183" s="4">
        <f t="shared" si="111"/>
        <v>282564.55</v>
      </c>
      <c r="V183" s="71">
        <v>282564.55</v>
      </c>
      <c r="W183" s="85">
        <v>0</v>
      </c>
      <c r="X183" s="4">
        <f t="shared" si="112"/>
        <v>43471.47</v>
      </c>
      <c r="Y183" s="1">
        <v>43471.47</v>
      </c>
      <c r="Z183" s="1">
        <v>0</v>
      </c>
      <c r="AA183" s="1">
        <f t="shared" ref="AA183:AA188" si="114">AB183+AC183</f>
        <v>0</v>
      </c>
      <c r="AB183" s="56">
        <v>0</v>
      </c>
      <c r="AC183" s="56">
        <v>0</v>
      </c>
      <c r="AD183" s="44">
        <f t="shared" si="80"/>
        <v>2173573.5</v>
      </c>
      <c r="AE183" s="11">
        <v>0</v>
      </c>
      <c r="AF183" s="9">
        <f t="shared" si="113"/>
        <v>2173573.5</v>
      </c>
      <c r="AG183" s="59" t="s">
        <v>515</v>
      </c>
      <c r="AH183" s="59" t="s">
        <v>2151</v>
      </c>
      <c r="AI183" s="1">
        <f>159761.73+205286.29-12744.7-6213.9+144175.74-19413.29</f>
        <v>470851.87</v>
      </c>
      <c r="AJ183" s="1">
        <f>14235.89+8544.38+12744.7+6213.9+19413.29</f>
        <v>61152.160000000003</v>
      </c>
    </row>
    <row r="184" spans="1:36" s="72" customFormat="1" ht="232.5" customHeight="1" x14ac:dyDescent="0.25">
      <c r="A184" s="5">
        <f t="shared" si="81"/>
        <v>181</v>
      </c>
      <c r="B184" s="15">
        <v>129218</v>
      </c>
      <c r="C184" s="5">
        <v>645</v>
      </c>
      <c r="D184" s="40" t="s">
        <v>1985</v>
      </c>
      <c r="E184" s="17" t="s">
        <v>1246</v>
      </c>
      <c r="F184" s="105" t="s">
        <v>1323</v>
      </c>
      <c r="G184" s="5" t="s">
        <v>1324</v>
      </c>
      <c r="H184" s="6" t="s">
        <v>151</v>
      </c>
      <c r="I184" s="60" t="s">
        <v>1325</v>
      </c>
      <c r="J184" s="2">
        <v>43643</v>
      </c>
      <c r="K184" s="2">
        <v>44282</v>
      </c>
      <c r="L184" s="16">
        <f t="shared" si="109"/>
        <v>84.999999707660962</v>
      </c>
      <c r="M184" s="6">
        <v>3</v>
      </c>
      <c r="N184" s="5" t="s">
        <v>241</v>
      </c>
      <c r="O184" s="5" t="s">
        <v>403</v>
      </c>
      <c r="P184" s="3" t="s">
        <v>174</v>
      </c>
      <c r="Q184" s="5" t="s">
        <v>34</v>
      </c>
      <c r="R184" s="9">
        <f t="shared" si="110"/>
        <v>2326066.37</v>
      </c>
      <c r="S184" s="10">
        <v>2326066.37</v>
      </c>
      <c r="T184" s="56">
        <v>0</v>
      </c>
      <c r="U184" s="4">
        <f t="shared" si="111"/>
        <v>355751.33</v>
      </c>
      <c r="V184" s="71">
        <v>355751.33</v>
      </c>
      <c r="W184" s="85">
        <v>0</v>
      </c>
      <c r="X184" s="4">
        <f t="shared" si="112"/>
        <v>54730.98</v>
      </c>
      <c r="Y184" s="1">
        <v>54730.98</v>
      </c>
      <c r="Z184" s="1">
        <v>0</v>
      </c>
      <c r="AA184" s="1">
        <f t="shared" si="114"/>
        <v>0</v>
      </c>
      <c r="AB184" s="56">
        <v>0</v>
      </c>
      <c r="AC184" s="56">
        <v>0</v>
      </c>
      <c r="AD184" s="44">
        <f t="shared" si="80"/>
        <v>2736548.68</v>
      </c>
      <c r="AE184" s="11">
        <v>0</v>
      </c>
      <c r="AF184" s="9">
        <f t="shared" si="113"/>
        <v>2736548.68</v>
      </c>
      <c r="AG184" s="59" t="s">
        <v>966</v>
      </c>
      <c r="AH184" s="59" t="s">
        <v>2056</v>
      </c>
      <c r="AI184" s="1">
        <f>1079226.9+25907.15+1092653.83+34194.23</f>
        <v>2231982.11</v>
      </c>
      <c r="AJ184" s="1">
        <f>165058.24+3962.27+167111.76+5229.7</f>
        <v>341361.97000000003</v>
      </c>
    </row>
    <row r="185" spans="1:36" s="72" customFormat="1" ht="175.5" customHeight="1" x14ac:dyDescent="0.25">
      <c r="A185" s="5">
        <f t="shared" si="81"/>
        <v>182</v>
      </c>
      <c r="B185" s="61">
        <v>136346</v>
      </c>
      <c r="C185" s="116">
        <v>803</v>
      </c>
      <c r="D185" s="40" t="s">
        <v>1985</v>
      </c>
      <c r="E185" s="17" t="s">
        <v>1701</v>
      </c>
      <c r="F185" s="55" t="s">
        <v>1705</v>
      </c>
      <c r="G185" s="5" t="s">
        <v>1324</v>
      </c>
      <c r="H185" s="5" t="s">
        <v>151</v>
      </c>
      <c r="I185" s="41" t="s">
        <v>1706</v>
      </c>
      <c r="J185" s="63">
        <v>43949</v>
      </c>
      <c r="K185" s="63">
        <v>44497</v>
      </c>
      <c r="L185" s="64">
        <f t="shared" si="109"/>
        <v>84.999999931876232</v>
      </c>
      <c r="M185" s="62">
        <v>3</v>
      </c>
      <c r="N185" s="62" t="s">
        <v>1707</v>
      </c>
      <c r="O185" s="62" t="s">
        <v>403</v>
      </c>
      <c r="P185" s="65" t="s">
        <v>174</v>
      </c>
      <c r="Q185" s="62" t="s">
        <v>34</v>
      </c>
      <c r="R185" s="66">
        <f>S185+T185</f>
        <v>2495457.98</v>
      </c>
      <c r="S185" s="66">
        <v>2495457.98</v>
      </c>
      <c r="T185" s="66">
        <v>0</v>
      </c>
      <c r="U185" s="67">
        <f t="shared" si="111"/>
        <v>381658.28</v>
      </c>
      <c r="V185" s="68">
        <v>381658.28</v>
      </c>
      <c r="W185" s="68">
        <v>0</v>
      </c>
      <c r="X185" s="67">
        <f t="shared" si="112"/>
        <v>58716.66</v>
      </c>
      <c r="Y185" s="66">
        <v>58716.66</v>
      </c>
      <c r="Z185" s="66">
        <v>0</v>
      </c>
      <c r="AA185" s="66">
        <f t="shared" si="114"/>
        <v>0</v>
      </c>
      <c r="AB185" s="66">
        <v>0</v>
      </c>
      <c r="AC185" s="66">
        <v>0</v>
      </c>
      <c r="AD185" s="44">
        <f t="shared" si="80"/>
        <v>2935832.92</v>
      </c>
      <c r="AE185" s="66">
        <v>0</v>
      </c>
      <c r="AF185" s="66">
        <f t="shared" si="113"/>
        <v>2935832.92</v>
      </c>
      <c r="AG185" s="59" t="s">
        <v>515</v>
      </c>
      <c r="AH185" s="11"/>
      <c r="AI185" s="1">
        <f>55951.7+71473.21+23932.81</f>
        <v>151357.72</v>
      </c>
      <c r="AJ185" s="1">
        <f>8557.32+10931.2+3660.31</f>
        <v>23148.83</v>
      </c>
    </row>
    <row r="186" spans="1:36" s="72" customFormat="1" ht="175.5" customHeight="1" x14ac:dyDescent="0.25">
      <c r="A186" s="5">
        <f t="shared" si="81"/>
        <v>183</v>
      </c>
      <c r="B186" s="61">
        <v>135154</v>
      </c>
      <c r="C186" s="116">
        <v>800</v>
      </c>
      <c r="D186" s="40" t="s">
        <v>1985</v>
      </c>
      <c r="E186" s="17" t="s">
        <v>1701</v>
      </c>
      <c r="F186" s="55" t="s">
        <v>1757</v>
      </c>
      <c r="G186" s="5" t="s">
        <v>800</v>
      </c>
      <c r="H186" s="5" t="s">
        <v>151</v>
      </c>
      <c r="I186" s="41" t="s">
        <v>1758</v>
      </c>
      <c r="J186" s="63">
        <v>43969</v>
      </c>
      <c r="K186" s="63">
        <v>44669</v>
      </c>
      <c r="L186" s="64">
        <f t="shared" si="109"/>
        <v>85</v>
      </c>
      <c r="M186" s="62">
        <v>3</v>
      </c>
      <c r="N186" s="62" t="s">
        <v>1707</v>
      </c>
      <c r="O186" s="62" t="s">
        <v>242</v>
      </c>
      <c r="P186" s="65" t="s">
        <v>174</v>
      </c>
      <c r="Q186" s="62" t="s">
        <v>34</v>
      </c>
      <c r="R186" s="66">
        <f>S186+T186</f>
        <v>1599713.6</v>
      </c>
      <c r="S186" s="66">
        <v>1599713.6</v>
      </c>
      <c r="T186" s="66">
        <v>0</v>
      </c>
      <c r="U186" s="67">
        <f t="shared" si="111"/>
        <v>244662.08</v>
      </c>
      <c r="V186" s="68">
        <v>244662.08</v>
      </c>
      <c r="W186" s="68">
        <v>0</v>
      </c>
      <c r="X186" s="67">
        <f t="shared" si="112"/>
        <v>37640.32</v>
      </c>
      <c r="Y186" s="66">
        <v>37640.32</v>
      </c>
      <c r="Z186" s="66">
        <v>0</v>
      </c>
      <c r="AA186" s="66">
        <f t="shared" si="114"/>
        <v>0</v>
      </c>
      <c r="AB186" s="66">
        <v>0</v>
      </c>
      <c r="AC186" s="66">
        <v>0</v>
      </c>
      <c r="AD186" s="44">
        <f t="shared" si="80"/>
        <v>1882016.0000000002</v>
      </c>
      <c r="AE186" s="66">
        <v>0</v>
      </c>
      <c r="AF186" s="66">
        <f t="shared" si="113"/>
        <v>1882016.0000000002</v>
      </c>
      <c r="AG186" s="59" t="s">
        <v>515</v>
      </c>
      <c r="AH186" s="11"/>
      <c r="AI186" s="1">
        <v>2551.5</v>
      </c>
      <c r="AJ186" s="1">
        <v>390.23</v>
      </c>
    </row>
    <row r="187" spans="1:36" s="72" customFormat="1" ht="175.5" customHeight="1" x14ac:dyDescent="0.25">
      <c r="A187" s="5">
        <f t="shared" si="81"/>
        <v>184</v>
      </c>
      <c r="B187" s="61">
        <v>135954</v>
      </c>
      <c r="C187" s="116">
        <v>801</v>
      </c>
      <c r="D187" s="40" t="s">
        <v>1985</v>
      </c>
      <c r="E187" s="17" t="s">
        <v>1701</v>
      </c>
      <c r="F187" s="55" t="s">
        <v>1759</v>
      </c>
      <c r="G187" s="5" t="s">
        <v>1760</v>
      </c>
      <c r="H187" s="5" t="s">
        <v>151</v>
      </c>
      <c r="I187" s="41" t="s">
        <v>1761</v>
      </c>
      <c r="J187" s="63">
        <v>43969</v>
      </c>
      <c r="K187" s="63">
        <v>44822</v>
      </c>
      <c r="L187" s="64">
        <f t="shared" si="109"/>
        <v>84.999999779520635</v>
      </c>
      <c r="M187" s="62">
        <v>3</v>
      </c>
      <c r="N187" s="62" t="s">
        <v>1707</v>
      </c>
      <c r="O187" s="62" t="s">
        <v>1707</v>
      </c>
      <c r="P187" s="65" t="s">
        <v>174</v>
      </c>
      <c r="Q187" s="62" t="s">
        <v>34</v>
      </c>
      <c r="R187" s="66">
        <f>S187+T187</f>
        <v>1927618.01</v>
      </c>
      <c r="S187" s="66">
        <v>1927618.01</v>
      </c>
      <c r="T187" s="66">
        <v>0</v>
      </c>
      <c r="U187" s="67">
        <f t="shared" si="111"/>
        <v>294812.18</v>
      </c>
      <c r="V187" s="68">
        <v>294812.18</v>
      </c>
      <c r="W187" s="68">
        <v>0</v>
      </c>
      <c r="X187" s="67">
        <f t="shared" si="112"/>
        <v>45355.71</v>
      </c>
      <c r="Y187" s="66">
        <v>45355.71</v>
      </c>
      <c r="Z187" s="66">
        <v>0</v>
      </c>
      <c r="AA187" s="66">
        <f t="shared" si="114"/>
        <v>0</v>
      </c>
      <c r="AB187" s="66">
        <v>0</v>
      </c>
      <c r="AC187" s="66">
        <v>0</v>
      </c>
      <c r="AD187" s="44">
        <f t="shared" si="80"/>
        <v>2267785.9</v>
      </c>
      <c r="AE187" s="66">
        <v>0</v>
      </c>
      <c r="AF187" s="66">
        <f t="shared" si="113"/>
        <v>2267785.9</v>
      </c>
      <c r="AG187" s="59" t="s">
        <v>515</v>
      </c>
      <c r="AH187" s="11"/>
      <c r="AI187" s="1">
        <f>11293.7+181280.25+37633.87</f>
        <v>230207.82</v>
      </c>
      <c r="AJ187" s="1">
        <f>1727.28+27725.21+5755.77</f>
        <v>35208.259999999995</v>
      </c>
    </row>
    <row r="188" spans="1:36" s="72" customFormat="1" ht="175.5" customHeight="1" x14ac:dyDescent="0.25">
      <c r="A188" s="5">
        <f t="shared" si="81"/>
        <v>185</v>
      </c>
      <c r="B188" s="61">
        <v>135870</v>
      </c>
      <c r="C188" s="116">
        <v>796</v>
      </c>
      <c r="D188" s="40" t="s">
        <v>1985</v>
      </c>
      <c r="E188" s="17" t="s">
        <v>1701</v>
      </c>
      <c r="F188" s="55" t="s">
        <v>1888</v>
      </c>
      <c r="G188" s="5" t="s">
        <v>1267</v>
      </c>
      <c r="H188" s="5" t="s">
        <v>151</v>
      </c>
      <c r="I188" s="41" t="s">
        <v>1889</v>
      </c>
      <c r="J188" s="63">
        <v>44020</v>
      </c>
      <c r="K188" s="63">
        <v>44812</v>
      </c>
      <c r="L188" s="64">
        <f t="shared" si="109"/>
        <v>85.000000069296306</v>
      </c>
      <c r="M188" s="62">
        <v>3</v>
      </c>
      <c r="N188" s="62" t="s">
        <v>1707</v>
      </c>
      <c r="O188" s="62" t="s">
        <v>1268</v>
      </c>
      <c r="P188" s="65" t="s">
        <v>174</v>
      </c>
      <c r="Q188" s="62" t="s">
        <v>34</v>
      </c>
      <c r="R188" s="66">
        <f>S188+T188</f>
        <v>3066541.05</v>
      </c>
      <c r="S188" s="66">
        <v>3066541.05</v>
      </c>
      <c r="T188" s="66">
        <v>0</v>
      </c>
      <c r="U188" s="67">
        <f t="shared" si="111"/>
        <v>469000.39</v>
      </c>
      <c r="V188" s="68">
        <v>469000.39</v>
      </c>
      <c r="W188" s="68">
        <v>0</v>
      </c>
      <c r="X188" s="67">
        <f t="shared" si="112"/>
        <v>72153.91</v>
      </c>
      <c r="Y188" s="66">
        <v>72153.91</v>
      </c>
      <c r="Z188" s="66">
        <v>0</v>
      </c>
      <c r="AA188" s="66">
        <f t="shared" si="114"/>
        <v>0</v>
      </c>
      <c r="AB188" s="66">
        <v>0</v>
      </c>
      <c r="AC188" s="66">
        <v>0</v>
      </c>
      <c r="AD188" s="44">
        <f t="shared" si="80"/>
        <v>3607695.35</v>
      </c>
      <c r="AE188" s="66">
        <v>0</v>
      </c>
      <c r="AF188" s="66">
        <f t="shared" si="113"/>
        <v>3607695.35</v>
      </c>
      <c r="AG188" s="59" t="s">
        <v>515</v>
      </c>
      <c r="AH188" s="11"/>
      <c r="AI188" s="1">
        <f>71325-8183.89+206458.91</f>
        <v>269600.02</v>
      </c>
      <c r="AJ188" s="1">
        <f>8183.89</f>
        <v>8183.89</v>
      </c>
    </row>
    <row r="189" spans="1:36" ht="155.25" customHeight="1" x14ac:dyDescent="0.25">
      <c r="A189" s="5">
        <f t="shared" si="81"/>
        <v>186</v>
      </c>
      <c r="B189" s="5">
        <v>128275</v>
      </c>
      <c r="C189" s="5">
        <v>636</v>
      </c>
      <c r="D189" s="40" t="s">
        <v>1985</v>
      </c>
      <c r="E189" s="104" t="s">
        <v>1246</v>
      </c>
      <c r="F189" s="17" t="s">
        <v>1285</v>
      </c>
      <c r="G189" s="3" t="s">
        <v>1879</v>
      </c>
      <c r="H189" s="6" t="s">
        <v>151</v>
      </c>
      <c r="I189" s="8" t="s">
        <v>1289</v>
      </c>
      <c r="J189" s="2">
        <v>43629</v>
      </c>
      <c r="K189" s="2">
        <v>44360</v>
      </c>
      <c r="L189" s="16">
        <f>R189/AD189*100</f>
        <v>85.000000189128897</v>
      </c>
      <c r="M189" s="5">
        <v>1</v>
      </c>
      <c r="N189" s="5" t="s">
        <v>732</v>
      </c>
      <c r="O189" s="5" t="s">
        <v>1287</v>
      </c>
      <c r="P189" s="5" t="s">
        <v>174</v>
      </c>
      <c r="Q189" s="5" t="s">
        <v>34</v>
      </c>
      <c r="R189" s="9">
        <f>S189+T189</f>
        <v>2247144.58</v>
      </c>
      <c r="S189" s="1">
        <v>2247144.58</v>
      </c>
      <c r="T189" s="1">
        <v>0</v>
      </c>
      <c r="U189" s="4">
        <f t="shared" ref="U189:U198" si="115">V189+W189</f>
        <v>343680.93</v>
      </c>
      <c r="V189" s="71">
        <v>343680.93</v>
      </c>
      <c r="W189" s="71">
        <v>0</v>
      </c>
      <c r="X189" s="4">
        <f t="shared" ref="X189:X198" si="116">Y189+Z189</f>
        <v>52873.99</v>
      </c>
      <c r="Y189" s="1">
        <v>52873.99</v>
      </c>
      <c r="Z189" s="151">
        <v>0</v>
      </c>
      <c r="AA189" s="10">
        <f>AB189+AC189</f>
        <v>0</v>
      </c>
      <c r="AB189" s="1">
        <v>0</v>
      </c>
      <c r="AC189" s="151">
        <v>0</v>
      </c>
      <c r="AD189" s="44">
        <f t="shared" si="80"/>
        <v>2643699.5000000005</v>
      </c>
      <c r="AE189" s="24">
        <v>0</v>
      </c>
      <c r="AF189" s="9">
        <f>AD189+AE189</f>
        <v>2643699.5000000005</v>
      </c>
      <c r="AG189" s="59" t="s">
        <v>966</v>
      </c>
      <c r="AH189" s="11"/>
      <c r="AI189" s="1">
        <f>116746.84+110612.24+605723.6</f>
        <v>833082.67999999993</v>
      </c>
      <c r="AJ189" s="1">
        <f>11751.31+6104.09+16917.17+92640.08</f>
        <v>127412.65</v>
      </c>
    </row>
    <row r="190" spans="1:36" ht="155.25" customHeight="1" x14ac:dyDescent="0.25">
      <c r="A190" s="5">
        <f t="shared" si="81"/>
        <v>187</v>
      </c>
      <c r="B190" s="5">
        <v>136247</v>
      </c>
      <c r="C190" s="5">
        <v>837</v>
      </c>
      <c r="D190" s="40" t="s">
        <v>1985</v>
      </c>
      <c r="E190" s="81" t="s">
        <v>1701</v>
      </c>
      <c r="F190" s="17" t="s">
        <v>1798</v>
      </c>
      <c r="G190" s="3" t="s">
        <v>1799</v>
      </c>
      <c r="H190" s="6" t="s">
        <v>151</v>
      </c>
      <c r="I190" s="8" t="s">
        <v>1800</v>
      </c>
      <c r="J190" s="2">
        <v>43973</v>
      </c>
      <c r="K190" s="2">
        <v>44887</v>
      </c>
      <c r="L190" s="16">
        <f>R190/AD190*100</f>
        <v>85</v>
      </c>
      <c r="M190" s="5">
        <v>1</v>
      </c>
      <c r="N190" s="5" t="s">
        <v>732</v>
      </c>
      <c r="O190" s="5" t="s">
        <v>732</v>
      </c>
      <c r="P190" s="65" t="s">
        <v>174</v>
      </c>
      <c r="Q190" s="62" t="s">
        <v>34</v>
      </c>
      <c r="R190" s="9">
        <f>S190+T190</f>
        <v>3008302.15</v>
      </c>
      <c r="S190" s="1">
        <v>3008302.15</v>
      </c>
      <c r="T190" s="1">
        <v>0</v>
      </c>
      <c r="U190" s="4">
        <f t="shared" si="115"/>
        <v>460093.27</v>
      </c>
      <c r="V190" s="71">
        <v>460093.27</v>
      </c>
      <c r="W190" s="71">
        <v>0</v>
      </c>
      <c r="X190" s="4">
        <f t="shared" si="116"/>
        <v>70783.58</v>
      </c>
      <c r="Y190" s="1">
        <v>70783.58</v>
      </c>
      <c r="Z190" s="151">
        <v>0</v>
      </c>
      <c r="AA190" s="10">
        <f>AB190+AC190</f>
        <v>0</v>
      </c>
      <c r="AB190" s="1">
        <v>0</v>
      </c>
      <c r="AC190" s="151">
        <v>0</v>
      </c>
      <c r="AD190" s="44">
        <f t="shared" si="80"/>
        <v>3539179</v>
      </c>
      <c r="AE190" s="24">
        <v>0</v>
      </c>
      <c r="AF190" s="9">
        <f>AD190+AE190</f>
        <v>3539179</v>
      </c>
      <c r="AG190" s="59" t="s">
        <v>515</v>
      </c>
      <c r="AH190" s="11"/>
      <c r="AI190" s="1">
        <f>19875.98+34896.75</f>
        <v>54772.729999999996</v>
      </c>
      <c r="AJ190" s="1">
        <f>3039.85+5337.15</f>
        <v>8377</v>
      </c>
    </row>
    <row r="191" spans="1:36" ht="155.25" customHeight="1" x14ac:dyDescent="0.25">
      <c r="A191" s="5">
        <f t="shared" si="81"/>
        <v>188</v>
      </c>
      <c r="B191" s="5">
        <v>136308</v>
      </c>
      <c r="C191" s="5">
        <v>841</v>
      </c>
      <c r="D191" s="40" t="s">
        <v>1985</v>
      </c>
      <c r="E191" s="81" t="s">
        <v>1701</v>
      </c>
      <c r="F191" s="17" t="s">
        <v>1880</v>
      </c>
      <c r="G191" s="3" t="s">
        <v>1879</v>
      </c>
      <c r="H191" s="6" t="s">
        <v>151</v>
      </c>
      <c r="I191" s="8" t="s">
        <v>1881</v>
      </c>
      <c r="J191" s="2">
        <v>44014</v>
      </c>
      <c r="K191" s="2">
        <v>44928</v>
      </c>
      <c r="L191" s="16">
        <f>R191/AD191*100</f>
        <v>85.000000279577478</v>
      </c>
      <c r="M191" s="5">
        <v>1</v>
      </c>
      <c r="N191" s="5" t="s">
        <v>732</v>
      </c>
      <c r="O191" s="5" t="s">
        <v>1287</v>
      </c>
      <c r="P191" s="65" t="s">
        <v>174</v>
      </c>
      <c r="Q191" s="62" t="s">
        <v>34</v>
      </c>
      <c r="R191" s="9">
        <f>S191+T191</f>
        <v>3040302.11</v>
      </c>
      <c r="S191" s="1">
        <v>3040302.11</v>
      </c>
      <c r="T191" s="1">
        <v>0</v>
      </c>
      <c r="U191" s="4">
        <f t="shared" si="115"/>
        <v>464987.37</v>
      </c>
      <c r="V191" s="71">
        <v>464987.37</v>
      </c>
      <c r="W191" s="71">
        <v>0</v>
      </c>
      <c r="X191" s="4">
        <f t="shared" si="116"/>
        <v>71536.52</v>
      </c>
      <c r="Y191" s="1">
        <v>71536.52</v>
      </c>
      <c r="Z191" s="151">
        <v>0</v>
      </c>
      <c r="AA191" s="10">
        <f>AB191+AC191</f>
        <v>0</v>
      </c>
      <c r="AB191" s="1">
        <v>0</v>
      </c>
      <c r="AC191" s="151">
        <v>0</v>
      </c>
      <c r="AD191" s="44">
        <f t="shared" si="80"/>
        <v>3576826</v>
      </c>
      <c r="AE191" s="24">
        <v>0</v>
      </c>
      <c r="AF191" s="9">
        <f>AD191+AE191</f>
        <v>3576826</v>
      </c>
      <c r="AG191" s="59" t="s">
        <v>515</v>
      </c>
      <c r="AH191" s="11"/>
      <c r="AI191" s="1">
        <v>40833.14</v>
      </c>
      <c r="AJ191" s="1">
        <v>6245.07</v>
      </c>
    </row>
    <row r="192" spans="1:36" ht="270" customHeight="1" x14ac:dyDescent="0.25">
      <c r="A192" s="5">
        <f t="shared" si="81"/>
        <v>189</v>
      </c>
      <c r="B192" s="5">
        <v>119895</v>
      </c>
      <c r="C192" s="5">
        <v>458</v>
      </c>
      <c r="D192" s="40" t="s">
        <v>1985</v>
      </c>
      <c r="E192" s="104" t="s">
        <v>754</v>
      </c>
      <c r="F192" s="17" t="s">
        <v>762</v>
      </c>
      <c r="G192" s="3" t="s">
        <v>763</v>
      </c>
      <c r="H192" s="6" t="s">
        <v>151</v>
      </c>
      <c r="I192" s="8" t="s">
        <v>764</v>
      </c>
      <c r="J192" s="2">
        <v>43312</v>
      </c>
      <c r="K192" s="2">
        <v>43861</v>
      </c>
      <c r="L192" s="16">
        <f>R192/AD192*100</f>
        <v>79.999998251321642</v>
      </c>
      <c r="M192" s="5">
        <v>8</v>
      </c>
      <c r="N192" s="5" t="s">
        <v>765</v>
      </c>
      <c r="O192" s="5" t="s">
        <v>765</v>
      </c>
      <c r="P192" s="5" t="s">
        <v>174</v>
      </c>
      <c r="Q192" s="5" t="s">
        <v>34</v>
      </c>
      <c r="R192" s="9">
        <f>S192+T192</f>
        <v>457488.35</v>
      </c>
      <c r="S192" s="152">
        <v>0</v>
      </c>
      <c r="T192" s="87">
        <v>457488.35</v>
      </c>
      <c r="U192" s="4">
        <f t="shared" si="115"/>
        <v>102934.89</v>
      </c>
      <c r="V192" s="127">
        <v>0</v>
      </c>
      <c r="W192" s="82">
        <v>102934.89</v>
      </c>
      <c r="X192" s="4">
        <f t="shared" si="116"/>
        <v>11437.21</v>
      </c>
      <c r="Y192" s="87">
        <v>0</v>
      </c>
      <c r="Z192" s="153">
        <v>11437.21</v>
      </c>
      <c r="AA192" s="9">
        <f>AB192+AC192</f>
        <v>0</v>
      </c>
      <c r="AB192" s="87">
        <v>0</v>
      </c>
      <c r="AC192" s="153">
        <v>0</v>
      </c>
      <c r="AD192" s="44">
        <f t="shared" si="80"/>
        <v>571860.44999999995</v>
      </c>
      <c r="AE192" s="9">
        <v>0</v>
      </c>
      <c r="AF192" s="9">
        <f>AD192+AE192</f>
        <v>571860.44999999995</v>
      </c>
      <c r="AG192" s="59" t="s">
        <v>966</v>
      </c>
      <c r="AH192" s="11" t="s">
        <v>1644</v>
      </c>
      <c r="AI192" s="1">
        <v>446392.8</v>
      </c>
      <c r="AJ192" s="1">
        <v>100438.38</v>
      </c>
    </row>
    <row r="193" spans="1:36" ht="142.5" customHeight="1" x14ac:dyDescent="0.25">
      <c r="A193" s="5">
        <f t="shared" si="81"/>
        <v>190</v>
      </c>
      <c r="B193" s="15">
        <v>126391</v>
      </c>
      <c r="C193" s="5">
        <v>508</v>
      </c>
      <c r="D193" s="40" t="s">
        <v>1985</v>
      </c>
      <c r="E193" s="5" t="s">
        <v>1025</v>
      </c>
      <c r="F193" s="8" t="s">
        <v>1078</v>
      </c>
      <c r="G193" s="3" t="s">
        <v>763</v>
      </c>
      <c r="H193" s="6" t="s">
        <v>151</v>
      </c>
      <c r="I193" s="8" t="s">
        <v>1079</v>
      </c>
      <c r="J193" s="2">
        <v>43452</v>
      </c>
      <c r="K193" s="2">
        <v>44669</v>
      </c>
      <c r="L193" s="16">
        <f>R193/AD193*100</f>
        <v>80.000000098352359</v>
      </c>
      <c r="M193" s="5">
        <v>8</v>
      </c>
      <c r="N193" s="5" t="s">
        <v>765</v>
      </c>
      <c r="O193" s="5" t="s">
        <v>765</v>
      </c>
      <c r="P193" s="5" t="s">
        <v>174</v>
      </c>
      <c r="Q193" s="5" t="s">
        <v>34</v>
      </c>
      <c r="R193" s="9">
        <f>S193+T193</f>
        <v>1626803.97</v>
      </c>
      <c r="S193" s="154">
        <v>0</v>
      </c>
      <c r="T193" s="155">
        <v>1626803.97</v>
      </c>
      <c r="U193" s="4">
        <f t="shared" si="115"/>
        <v>366030.89</v>
      </c>
      <c r="V193" s="71">
        <v>0</v>
      </c>
      <c r="W193" s="71">
        <v>366030.89</v>
      </c>
      <c r="X193" s="4">
        <f t="shared" si="116"/>
        <v>40670.1</v>
      </c>
      <c r="Y193" s="1">
        <v>0</v>
      </c>
      <c r="Z193" s="1">
        <v>40670.1</v>
      </c>
      <c r="AA193" s="9">
        <f>AB193+AC193</f>
        <v>0</v>
      </c>
      <c r="AB193" s="1">
        <v>0</v>
      </c>
      <c r="AC193" s="1">
        <v>0</v>
      </c>
      <c r="AD193" s="44">
        <f t="shared" si="80"/>
        <v>2033504.96</v>
      </c>
      <c r="AE193" s="10">
        <v>485522.74</v>
      </c>
      <c r="AF193" s="9">
        <f>AD193+AE193</f>
        <v>2519027.7000000002</v>
      </c>
      <c r="AG193" s="59" t="s">
        <v>515</v>
      </c>
      <c r="AH193" s="11" t="s">
        <v>2176</v>
      </c>
      <c r="AI193" s="1">
        <v>5712</v>
      </c>
      <c r="AJ193" s="1">
        <f>1285.2</f>
        <v>1285.2</v>
      </c>
    </row>
    <row r="194" spans="1:36" ht="142.5" customHeight="1" x14ac:dyDescent="0.25">
      <c r="A194" s="5">
        <f t="shared" si="81"/>
        <v>191</v>
      </c>
      <c r="B194" s="15">
        <v>128946</v>
      </c>
      <c r="C194" s="5">
        <v>654</v>
      </c>
      <c r="D194" s="40" t="s">
        <v>1985</v>
      </c>
      <c r="E194" s="5" t="s">
        <v>1303</v>
      </c>
      <c r="F194" s="8" t="s">
        <v>1356</v>
      </c>
      <c r="G194" s="3" t="s">
        <v>763</v>
      </c>
      <c r="H194" s="6" t="s">
        <v>151</v>
      </c>
      <c r="I194" s="8" t="s">
        <v>1357</v>
      </c>
      <c r="J194" s="2">
        <v>43657</v>
      </c>
      <c r="K194" s="2">
        <v>44388</v>
      </c>
      <c r="L194" s="16">
        <f>R194/AD194*100</f>
        <v>80</v>
      </c>
      <c r="M194" s="5">
        <v>8</v>
      </c>
      <c r="N194" s="5" t="s">
        <v>765</v>
      </c>
      <c r="O194" s="5" t="s">
        <v>765</v>
      </c>
      <c r="P194" s="5" t="s">
        <v>174</v>
      </c>
      <c r="Q194" s="5" t="s">
        <v>34</v>
      </c>
      <c r="R194" s="9">
        <f>S194+T194</f>
        <v>271938.8</v>
      </c>
      <c r="S194" s="1">
        <v>0</v>
      </c>
      <c r="T194" s="1">
        <v>271938.8</v>
      </c>
      <c r="U194" s="4">
        <f t="shared" si="115"/>
        <v>61186.239999999998</v>
      </c>
      <c r="V194" s="71">
        <v>0</v>
      </c>
      <c r="W194" s="71">
        <v>61186.239999999998</v>
      </c>
      <c r="X194" s="4">
        <f t="shared" si="116"/>
        <v>6798.46</v>
      </c>
      <c r="Y194" s="1">
        <v>0</v>
      </c>
      <c r="Z194" s="1">
        <v>6798.46</v>
      </c>
      <c r="AA194" s="9">
        <f>AB194+AC194</f>
        <v>0</v>
      </c>
      <c r="AB194" s="1">
        <v>0</v>
      </c>
      <c r="AC194" s="1">
        <v>0</v>
      </c>
      <c r="AD194" s="44">
        <f t="shared" si="80"/>
        <v>339923.5</v>
      </c>
      <c r="AE194" s="10">
        <v>0</v>
      </c>
      <c r="AF194" s="9">
        <f>AD194+AE194</f>
        <v>339923.5</v>
      </c>
      <c r="AG194" s="59" t="s">
        <v>515</v>
      </c>
      <c r="AH194" s="11" t="s">
        <v>2040</v>
      </c>
      <c r="AI194" s="1">
        <f>15124.98+24552.84+71590.4</f>
        <v>111268.22</v>
      </c>
      <c r="AJ194" s="1">
        <f>3403.11+5524.39+16107.84</f>
        <v>25035.34</v>
      </c>
    </row>
    <row r="195" spans="1:36" ht="150" customHeight="1" x14ac:dyDescent="0.25">
      <c r="A195" s="5">
        <f t="shared" si="81"/>
        <v>192</v>
      </c>
      <c r="B195" s="15">
        <v>122738</v>
      </c>
      <c r="C195" s="6">
        <v>73</v>
      </c>
      <c r="D195" s="40" t="s">
        <v>1985</v>
      </c>
      <c r="E195" s="17" t="s">
        <v>278</v>
      </c>
      <c r="F195" s="105" t="s">
        <v>625</v>
      </c>
      <c r="G195" s="5" t="s">
        <v>626</v>
      </c>
      <c r="H195" s="6" t="s">
        <v>151</v>
      </c>
      <c r="I195" s="8" t="s">
        <v>1220</v>
      </c>
      <c r="J195" s="2">
        <v>43284</v>
      </c>
      <c r="K195" s="2">
        <v>43772</v>
      </c>
      <c r="L195" s="16">
        <f>R195/AD195*100</f>
        <v>85.000002334434541</v>
      </c>
      <c r="M195" s="5">
        <v>6</v>
      </c>
      <c r="N195" s="5" t="s">
        <v>627</v>
      </c>
      <c r="O195" s="5" t="s">
        <v>628</v>
      </c>
      <c r="P195" s="3" t="s">
        <v>174</v>
      </c>
      <c r="Q195" s="5" t="s">
        <v>34</v>
      </c>
      <c r="R195" s="4">
        <f>S195+T195</f>
        <v>527965.13</v>
      </c>
      <c r="S195" s="87">
        <v>527965.13</v>
      </c>
      <c r="T195" s="9">
        <v>0</v>
      </c>
      <c r="U195" s="4">
        <f t="shared" si="115"/>
        <v>80747.570000000007</v>
      </c>
      <c r="V195" s="127">
        <v>80747.570000000007</v>
      </c>
      <c r="W195" s="53">
        <v>0</v>
      </c>
      <c r="X195" s="4">
        <f t="shared" si="116"/>
        <v>12422.73</v>
      </c>
      <c r="Y195" s="156">
        <v>12422.73</v>
      </c>
      <c r="Z195" s="9">
        <v>0</v>
      </c>
      <c r="AA195" s="9">
        <f>AB195+AC195</f>
        <v>0</v>
      </c>
      <c r="AB195" s="9">
        <v>0</v>
      </c>
      <c r="AC195" s="9">
        <v>0</v>
      </c>
      <c r="AD195" s="44">
        <f t="shared" si="80"/>
        <v>621135.42999999993</v>
      </c>
      <c r="AE195" s="9">
        <v>0</v>
      </c>
      <c r="AF195" s="9">
        <f>AD195+AE195</f>
        <v>621135.42999999993</v>
      </c>
      <c r="AG195" s="49" t="s">
        <v>966</v>
      </c>
      <c r="AH195" s="13"/>
      <c r="AI195" s="1">
        <v>494682.26</v>
      </c>
      <c r="AJ195" s="1">
        <v>75657.279999999999</v>
      </c>
    </row>
    <row r="196" spans="1:36" ht="173.25" x14ac:dyDescent="0.25">
      <c r="A196" s="5">
        <f t="shared" si="81"/>
        <v>193</v>
      </c>
      <c r="B196" s="15">
        <v>126337</v>
      </c>
      <c r="C196" s="6">
        <v>556</v>
      </c>
      <c r="D196" s="40" t="s">
        <v>1985</v>
      </c>
      <c r="E196" s="17" t="s">
        <v>1018</v>
      </c>
      <c r="F196" s="8" t="s">
        <v>1219</v>
      </c>
      <c r="G196" s="5" t="s">
        <v>626</v>
      </c>
      <c r="H196" s="6" t="s">
        <v>151</v>
      </c>
      <c r="I196" s="8" t="s">
        <v>1221</v>
      </c>
      <c r="J196" s="2">
        <v>43577</v>
      </c>
      <c r="K196" s="2">
        <v>44491</v>
      </c>
      <c r="L196" s="16">
        <f>R196/AD196*100</f>
        <v>85.000000695857267</v>
      </c>
      <c r="M196" s="5">
        <v>6</v>
      </c>
      <c r="N196" s="5" t="s">
        <v>627</v>
      </c>
      <c r="O196" s="5" t="s">
        <v>628</v>
      </c>
      <c r="P196" s="3" t="s">
        <v>174</v>
      </c>
      <c r="Q196" s="5" t="s">
        <v>34</v>
      </c>
      <c r="R196" s="9">
        <f>S196+T196</f>
        <v>3359165.9</v>
      </c>
      <c r="S196" s="87">
        <v>3359165.9</v>
      </c>
      <c r="T196" s="9">
        <v>0</v>
      </c>
      <c r="U196" s="4">
        <f t="shared" si="115"/>
        <v>513754.75</v>
      </c>
      <c r="V196" s="127">
        <v>513754.75</v>
      </c>
      <c r="W196" s="53">
        <v>0</v>
      </c>
      <c r="X196" s="4">
        <f t="shared" si="116"/>
        <v>79039.199999999997</v>
      </c>
      <c r="Y196" s="156">
        <v>79039.199999999997</v>
      </c>
      <c r="Z196" s="9">
        <v>0</v>
      </c>
      <c r="AA196" s="9">
        <f>AB196+AC196</f>
        <v>0</v>
      </c>
      <c r="AB196" s="9">
        <v>0</v>
      </c>
      <c r="AC196" s="9">
        <v>0</v>
      </c>
      <c r="AD196" s="44">
        <f t="shared" si="80"/>
        <v>3951959.85</v>
      </c>
      <c r="AE196" s="9">
        <v>15981.7</v>
      </c>
      <c r="AF196" s="9">
        <f>AD196+AE196</f>
        <v>3967941.5500000003</v>
      </c>
      <c r="AG196" s="59" t="s">
        <v>515</v>
      </c>
      <c r="AH196" s="59" t="s">
        <v>2023</v>
      </c>
      <c r="AI196" s="1">
        <f>124564.71+42628.15+210319.83+1627651.3+14510.35</f>
        <v>2019674.34</v>
      </c>
      <c r="AJ196" s="1">
        <f>19051.05+6519.6+32166.56+248934.88+2219.23</f>
        <v>308891.32</v>
      </c>
    </row>
    <row r="197" spans="1:36" ht="173.25" x14ac:dyDescent="0.25">
      <c r="A197" s="5">
        <f t="shared" si="81"/>
        <v>194</v>
      </c>
      <c r="B197" s="15">
        <v>129243</v>
      </c>
      <c r="C197" s="6">
        <v>683</v>
      </c>
      <c r="D197" s="40" t="s">
        <v>1985</v>
      </c>
      <c r="E197" s="17" t="s">
        <v>1246</v>
      </c>
      <c r="F197" s="8" t="s">
        <v>1543</v>
      </c>
      <c r="G197" s="5" t="s">
        <v>1544</v>
      </c>
      <c r="H197" s="5" t="s">
        <v>1545</v>
      </c>
      <c r="I197" s="8" t="s">
        <v>1546</v>
      </c>
      <c r="J197" s="2">
        <v>43745</v>
      </c>
      <c r="K197" s="2">
        <v>44658</v>
      </c>
      <c r="L197" s="16">
        <f>R197/AD197*100</f>
        <v>84.762119683347478</v>
      </c>
      <c r="M197" s="5">
        <v>7</v>
      </c>
      <c r="N197" s="5" t="s">
        <v>627</v>
      </c>
      <c r="O197" s="5" t="s">
        <v>628</v>
      </c>
      <c r="P197" s="3" t="s">
        <v>174</v>
      </c>
      <c r="Q197" s="5" t="s">
        <v>34</v>
      </c>
      <c r="R197" s="9">
        <f>S197+T197</f>
        <v>2892355.61</v>
      </c>
      <c r="S197" s="9">
        <v>2892355.61</v>
      </c>
      <c r="T197" s="9">
        <v>0</v>
      </c>
      <c r="U197" s="4">
        <f t="shared" si="115"/>
        <v>451718.97</v>
      </c>
      <c r="V197" s="53">
        <v>451718.97</v>
      </c>
      <c r="W197" s="53">
        <v>0</v>
      </c>
      <c r="X197" s="4">
        <f t="shared" si="116"/>
        <v>58696.72</v>
      </c>
      <c r="Y197" s="9">
        <v>58696.72</v>
      </c>
      <c r="Z197" s="9">
        <v>0</v>
      </c>
      <c r="AA197" s="9">
        <f>AB197+AC197</f>
        <v>9549.7000000000007</v>
      </c>
      <c r="AB197" s="9">
        <v>9549.7000000000007</v>
      </c>
      <c r="AC197" s="9">
        <v>0</v>
      </c>
      <c r="AD197" s="44">
        <f t="shared" ref="AD197:AD260" si="117">R197+U197+X197+AA197</f>
        <v>3412321.0000000005</v>
      </c>
      <c r="AE197" s="9">
        <v>0</v>
      </c>
      <c r="AF197" s="9">
        <f>AD197+AE197</f>
        <v>3412321.0000000005</v>
      </c>
      <c r="AG197" s="59" t="s">
        <v>515</v>
      </c>
      <c r="AH197" s="11"/>
      <c r="AI197" s="1">
        <f>404117.15+47748.5-9345.4+24374.07+31812.91+39199.68+303094.82</f>
        <v>841001.73</v>
      </c>
      <c r="AJ197" s="1">
        <f>39188.8+9345.4+12408.84+16703.81+4274.95</f>
        <v>81921.8</v>
      </c>
    </row>
    <row r="198" spans="1:36" ht="141.75" x14ac:dyDescent="0.25">
      <c r="A198" s="5">
        <f t="shared" ref="A198:A261" si="118">A197+1</f>
        <v>195</v>
      </c>
      <c r="B198" s="15">
        <v>136164</v>
      </c>
      <c r="C198" s="6">
        <v>838</v>
      </c>
      <c r="D198" s="40" t="s">
        <v>1985</v>
      </c>
      <c r="E198" s="17" t="s">
        <v>1701</v>
      </c>
      <c r="F198" s="8" t="s">
        <v>1832</v>
      </c>
      <c r="G198" s="5" t="s">
        <v>1544</v>
      </c>
      <c r="H198" s="5" t="s">
        <v>1544</v>
      </c>
      <c r="I198" s="8" t="s">
        <v>1833</v>
      </c>
      <c r="J198" s="2">
        <v>43998</v>
      </c>
      <c r="K198" s="2">
        <v>44455</v>
      </c>
      <c r="L198" s="16">
        <f>R198/AD198*100</f>
        <v>85</v>
      </c>
      <c r="M198" s="5">
        <v>7</v>
      </c>
      <c r="N198" s="5" t="s">
        <v>627</v>
      </c>
      <c r="O198" s="5" t="s">
        <v>628</v>
      </c>
      <c r="P198" s="3" t="s">
        <v>174</v>
      </c>
      <c r="Q198" s="5" t="s">
        <v>34</v>
      </c>
      <c r="R198" s="9">
        <f>S198+T198</f>
        <v>2037216.25</v>
      </c>
      <c r="S198" s="9">
        <v>2037216.25</v>
      </c>
      <c r="T198" s="9">
        <v>0</v>
      </c>
      <c r="U198" s="4">
        <f t="shared" si="115"/>
        <v>311574.25</v>
      </c>
      <c r="V198" s="53">
        <v>311574.25</v>
      </c>
      <c r="W198" s="53">
        <v>0</v>
      </c>
      <c r="X198" s="4">
        <f t="shared" si="116"/>
        <v>47934.5</v>
      </c>
      <c r="Y198" s="9">
        <v>47934.5</v>
      </c>
      <c r="Z198" s="9">
        <v>0</v>
      </c>
      <c r="AA198" s="9">
        <f>AB198+AC198</f>
        <v>0</v>
      </c>
      <c r="AB198" s="9">
        <v>0</v>
      </c>
      <c r="AC198" s="9">
        <v>0</v>
      </c>
      <c r="AD198" s="44">
        <f t="shared" si="117"/>
        <v>2396725</v>
      </c>
      <c r="AE198" s="9">
        <v>0</v>
      </c>
      <c r="AF198" s="9">
        <f>AD198+AE198</f>
        <v>2396725</v>
      </c>
      <c r="AG198" s="59" t="s">
        <v>515</v>
      </c>
      <c r="AH198" s="11"/>
      <c r="AI198" s="1">
        <f>239000-2570.36-3498.3-2564.11</f>
        <v>230367.23000000004</v>
      </c>
      <c r="AJ198" s="1">
        <f>2570.36+3498.3+2564.11</f>
        <v>8632.77</v>
      </c>
    </row>
    <row r="199" spans="1:36" ht="173.25" x14ac:dyDescent="0.25">
      <c r="A199" s="5">
        <f t="shared" si="118"/>
        <v>196</v>
      </c>
      <c r="B199" s="15">
        <v>110238</v>
      </c>
      <c r="C199" s="6">
        <v>120</v>
      </c>
      <c r="D199" s="40" t="s">
        <v>1985</v>
      </c>
      <c r="E199" s="17" t="s">
        <v>278</v>
      </c>
      <c r="F199" s="105" t="s">
        <v>246</v>
      </c>
      <c r="G199" s="5" t="s">
        <v>757</v>
      </c>
      <c r="H199" s="5" t="s">
        <v>151</v>
      </c>
      <c r="I199" s="41" t="s">
        <v>260</v>
      </c>
      <c r="J199" s="2">
        <v>43166</v>
      </c>
      <c r="K199" s="2">
        <v>43837</v>
      </c>
      <c r="L199" s="16">
        <f t="shared" ref="L199:L203" si="119">R199/AD199*100</f>
        <v>85.000000235397167</v>
      </c>
      <c r="M199" s="5">
        <v>4</v>
      </c>
      <c r="N199" s="5" t="s">
        <v>249</v>
      </c>
      <c r="O199" s="5" t="s">
        <v>248</v>
      </c>
      <c r="P199" s="3" t="s">
        <v>174</v>
      </c>
      <c r="Q199" s="5" t="s">
        <v>34</v>
      </c>
      <c r="R199" s="4">
        <f>S199+T199</f>
        <v>361091.85</v>
      </c>
      <c r="S199" s="69">
        <v>361091.85</v>
      </c>
      <c r="T199" s="9">
        <v>0</v>
      </c>
      <c r="U199" s="4">
        <f>V199+W199</f>
        <v>55225.82</v>
      </c>
      <c r="V199" s="82">
        <v>55225.82</v>
      </c>
      <c r="W199" s="53">
        <v>0</v>
      </c>
      <c r="X199" s="4">
        <f>Y199+Z199</f>
        <v>8496.27</v>
      </c>
      <c r="Y199" s="157">
        <v>8496.27</v>
      </c>
      <c r="Z199" s="9">
        <v>0</v>
      </c>
      <c r="AA199" s="9">
        <f>AB199+AC199</f>
        <v>0</v>
      </c>
      <c r="AB199" s="9">
        <v>0</v>
      </c>
      <c r="AC199" s="9">
        <v>0</v>
      </c>
      <c r="AD199" s="44">
        <f t="shared" si="117"/>
        <v>424813.94</v>
      </c>
      <c r="AE199" s="9">
        <v>0</v>
      </c>
      <c r="AF199" s="9">
        <f>AD199+AE199</f>
        <v>424813.94</v>
      </c>
      <c r="AG199" s="59" t="s">
        <v>966</v>
      </c>
      <c r="AH199" s="13" t="s">
        <v>1235</v>
      </c>
      <c r="AI199" s="1">
        <v>348222.91000000003</v>
      </c>
      <c r="AJ199" s="1">
        <v>53257.61</v>
      </c>
    </row>
    <row r="200" spans="1:36" ht="173.25" x14ac:dyDescent="0.25">
      <c r="A200" s="5">
        <f t="shared" si="118"/>
        <v>197</v>
      </c>
      <c r="B200" s="15">
        <v>117741</v>
      </c>
      <c r="C200" s="5">
        <v>415</v>
      </c>
      <c r="D200" s="8" t="s">
        <v>1986</v>
      </c>
      <c r="E200" s="8" t="s">
        <v>540</v>
      </c>
      <c r="F200" s="8" t="s">
        <v>756</v>
      </c>
      <c r="G200" s="5" t="s">
        <v>757</v>
      </c>
      <c r="H200" s="5" t="s">
        <v>664</v>
      </c>
      <c r="I200" s="8" t="s">
        <v>758</v>
      </c>
      <c r="J200" s="2">
        <v>43311</v>
      </c>
      <c r="K200" s="2">
        <v>43707</v>
      </c>
      <c r="L200" s="16">
        <f t="shared" si="119"/>
        <v>84.15024511492409</v>
      </c>
      <c r="M200" s="5">
        <v>4</v>
      </c>
      <c r="N200" s="5" t="s">
        <v>249</v>
      </c>
      <c r="O200" s="5" t="s">
        <v>248</v>
      </c>
      <c r="P200" s="5" t="s">
        <v>174</v>
      </c>
      <c r="Q200" s="5" t="s">
        <v>34</v>
      </c>
      <c r="R200" s="4">
        <f>S200+T200</f>
        <v>242958.31</v>
      </c>
      <c r="S200" s="1">
        <v>242958.31</v>
      </c>
      <c r="T200" s="9">
        <v>0</v>
      </c>
      <c r="U200" s="4">
        <f>V200+W200</f>
        <v>39986.97</v>
      </c>
      <c r="V200" s="71">
        <v>39986.97</v>
      </c>
      <c r="W200" s="53">
        <v>0</v>
      </c>
      <c r="X200" s="4">
        <f>Y200+Z200</f>
        <v>2888.03</v>
      </c>
      <c r="Y200" s="1">
        <v>2888.03</v>
      </c>
      <c r="Z200" s="1">
        <v>0</v>
      </c>
      <c r="AA200" s="9">
        <f>AB200+AC200</f>
        <v>2886.36</v>
      </c>
      <c r="AB200" s="1">
        <v>2886.36</v>
      </c>
      <c r="AC200" s="70">
        <v>0</v>
      </c>
      <c r="AD200" s="44">
        <f t="shared" si="117"/>
        <v>288719.67000000004</v>
      </c>
      <c r="AE200" s="59"/>
      <c r="AF200" s="9">
        <f>AD200+AE200</f>
        <v>288719.67000000004</v>
      </c>
      <c r="AG200" s="49" t="s">
        <v>966</v>
      </c>
      <c r="AH200" s="59" t="s">
        <v>1394</v>
      </c>
      <c r="AI200" s="1">
        <v>154052.83000000002</v>
      </c>
      <c r="AJ200" s="1">
        <v>25737.5</v>
      </c>
    </row>
    <row r="201" spans="1:36" ht="172.5" customHeight="1" x14ac:dyDescent="0.25">
      <c r="A201" s="5">
        <f t="shared" si="118"/>
        <v>198</v>
      </c>
      <c r="B201" s="78">
        <v>126246</v>
      </c>
      <c r="C201" s="6">
        <v>537</v>
      </c>
      <c r="D201" s="40" t="s">
        <v>1985</v>
      </c>
      <c r="E201" s="17" t="s">
        <v>1018</v>
      </c>
      <c r="F201" s="8" t="s">
        <v>1161</v>
      </c>
      <c r="G201" s="5" t="s">
        <v>757</v>
      </c>
      <c r="H201" s="5" t="s">
        <v>527</v>
      </c>
      <c r="I201" s="41" t="s">
        <v>1162</v>
      </c>
      <c r="J201" s="2">
        <v>43532</v>
      </c>
      <c r="K201" s="2">
        <v>44447</v>
      </c>
      <c r="L201" s="16">
        <f t="shared" si="119"/>
        <v>84.376572868603944</v>
      </c>
      <c r="M201" s="5">
        <v>4</v>
      </c>
      <c r="N201" s="5" t="s">
        <v>249</v>
      </c>
      <c r="O201" s="5" t="s">
        <v>248</v>
      </c>
      <c r="P201" s="5" t="s">
        <v>174</v>
      </c>
      <c r="Q201" s="5" t="s">
        <v>34</v>
      </c>
      <c r="R201" s="4">
        <f>S201+T201</f>
        <v>3134478.71</v>
      </c>
      <c r="S201" s="80">
        <v>3134478.71</v>
      </c>
      <c r="T201" s="9">
        <v>0</v>
      </c>
      <c r="U201" s="4">
        <f>V201+W201</f>
        <v>506092.39</v>
      </c>
      <c r="V201" s="85">
        <v>506092.39</v>
      </c>
      <c r="W201" s="53">
        <v>0</v>
      </c>
      <c r="X201" s="4">
        <f>Y201+Z201</f>
        <v>47050.879999999997</v>
      </c>
      <c r="Y201" s="80">
        <v>47050.879999999997</v>
      </c>
      <c r="Z201" s="80">
        <v>0</v>
      </c>
      <c r="AA201" s="9">
        <f>AB201+AC201</f>
        <v>27246.5</v>
      </c>
      <c r="AB201" s="80">
        <v>27246.5</v>
      </c>
      <c r="AC201" s="56">
        <v>0</v>
      </c>
      <c r="AD201" s="44">
        <f t="shared" si="117"/>
        <v>3714868.48</v>
      </c>
      <c r="AE201" s="11">
        <v>0</v>
      </c>
      <c r="AF201" s="9">
        <f>AD201+AE201</f>
        <v>3714868.48</v>
      </c>
      <c r="AG201" s="59" t="s">
        <v>515</v>
      </c>
      <c r="AH201" s="11"/>
      <c r="AI201" s="1">
        <f>561658.42-14692.77+100771.01+103124.13-13629.24+122496.25+66492.5-5752.3+44782.25+116689.97-16767.99+92786.64</f>
        <v>1157958.8699999999</v>
      </c>
      <c r="AJ201" s="1">
        <f>78790.01+14692.77+17180.78+13629.24+23582.31+5752.3+6849.05+3956.65+16767.99</f>
        <v>181201.09999999998</v>
      </c>
    </row>
    <row r="202" spans="1:36" ht="274.5" customHeight="1" x14ac:dyDescent="0.25">
      <c r="A202" s="5">
        <f t="shared" si="118"/>
        <v>199</v>
      </c>
      <c r="B202" s="78">
        <v>135982</v>
      </c>
      <c r="C202" s="6">
        <v>815</v>
      </c>
      <c r="D202" s="40" t="s">
        <v>1985</v>
      </c>
      <c r="E202" s="17" t="s">
        <v>1701</v>
      </c>
      <c r="F202" s="55" t="s">
        <v>1724</v>
      </c>
      <c r="G202" s="5" t="s">
        <v>757</v>
      </c>
      <c r="H202" s="5" t="s">
        <v>151</v>
      </c>
      <c r="I202" s="41" t="s">
        <v>1725</v>
      </c>
      <c r="J202" s="2">
        <v>43959</v>
      </c>
      <c r="K202" s="2">
        <v>44689</v>
      </c>
      <c r="L202" s="16">
        <f t="shared" si="119"/>
        <v>85.000000040154887</v>
      </c>
      <c r="M202" s="5">
        <v>4</v>
      </c>
      <c r="N202" s="5" t="s">
        <v>249</v>
      </c>
      <c r="O202" s="5" t="s">
        <v>248</v>
      </c>
      <c r="P202" s="5" t="s">
        <v>174</v>
      </c>
      <c r="Q202" s="62" t="s">
        <v>34</v>
      </c>
      <c r="R202" s="4">
        <f>S202+T202</f>
        <v>3175204.76</v>
      </c>
      <c r="S202" s="80">
        <v>3175204.76</v>
      </c>
      <c r="T202" s="9">
        <v>0</v>
      </c>
      <c r="U202" s="4">
        <f>V202+W202</f>
        <v>485619.55</v>
      </c>
      <c r="V202" s="85">
        <v>485619.55</v>
      </c>
      <c r="W202" s="53">
        <v>0</v>
      </c>
      <c r="X202" s="4">
        <f>Y202+Z202</f>
        <v>74710.7</v>
      </c>
      <c r="Y202" s="80">
        <v>74710.7</v>
      </c>
      <c r="Z202" s="80">
        <v>0</v>
      </c>
      <c r="AA202" s="9">
        <f>AB202+AC202</f>
        <v>0</v>
      </c>
      <c r="AB202" s="80">
        <v>0</v>
      </c>
      <c r="AC202" s="56">
        <v>0</v>
      </c>
      <c r="AD202" s="44">
        <f t="shared" si="117"/>
        <v>3735535.01</v>
      </c>
      <c r="AE202" s="11">
        <v>0</v>
      </c>
      <c r="AF202" s="9">
        <f>AD202+AE202</f>
        <v>3735535.01</v>
      </c>
      <c r="AG202" s="59" t="s">
        <v>515</v>
      </c>
      <c r="AH202" s="13" t="s">
        <v>151</v>
      </c>
      <c r="AI202" s="1">
        <f>40778.75+103935.07</f>
        <v>144713.82</v>
      </c>
      <c r="AJ202" s="1">
        <f>6236.75+15895.95</f>
        <v>22132.7</v>
      </c>
    </row>
    <row r="203" spans="1:36" ht="409.5" x14ac:dyDescent="0.25">
      <c r="A203" s="5">
        <f t="shared" si="118"/>
        <v>200</v>
      </c>
      <c r="B203" s="78">
        <v>135980</v>
      </c>
      <c r="C203" s="6">
        <v>785</v>
      </c>
      <c r="D203" s="40" t="s">
        <v>1985</v>
      </c>
      <c r="E203" s="17" t="s">
        <v>1701</v>
      </c>
      <c r="F203" s="55" t="s">
        <v>1766</v>
      </c>
      <c r="G203" s="5" t="s">
        <v>1767</v>
      </c>
      <c r="H203" s="5" t="s">
        <v>151</v>
      </c>
      <c r="I203" s="41" t="s">
        <v>1768</v>
      </c>
      <c r="J203" s="2">
        <v>43969</v>
      </c>
      <c r="K203" s="2">
        <v>44760</v>
      </c>
      <c r="L203" s="16">
        <f t="shared" si="119"/>
        <v>85.000000000000014</v>
      </c>
      <c r="M203" s="5">
        <v>4</v>
      </c>
      <c r="N203" s="5" t="s">
        <v>249</v>
      </c>
      <c r="O203" s="5" t="s">
        <v>1769</v>
      </c>
      <c r="P203" s="5" t="s">
        <v>174</v>
      </c>
      <c r="Q203" s="62" t="s">
        <v>34</v>
      </c>
      <c r="R203" s="4">
        <f>S203+T203</f>
        <v>2466463.7000000002</v>
      </c>
      <c r="S203" s="80">
        <v>2466463.7000000002</v>
      </c>
      <c r="T203" s="9">
        <v>0</v>
      </c>
      <c r="U203" s="4">
        <f>V203+W203</f>
        <v>377223.86</v>
      </c>
      <c r="V203" s="85">
        <v>377223.86</v>
      </c>
      <c r="W203" s="53">
        <v>0</v>
      </c>
      <c r="X203" s="4">
        <f>Y203+Z203</f>
        <v>58034.44</v>
      </c>
      <c r="Y203" s="80">
        <v>58034.44</v>
      </c>
      <c r="Z203" s="80">
        <v>0</v>
      </c>
      <c r="AA203" s="9">
        <f>AB203+AC203</f>
        <v>0</v>
      </c>
      <c r="AB203" s="80">
        <v>0</v>
      </c>
      <c r="AC203" s="56">
        <v>0</v>
      </c>
      <c r="AD203" s="44">
        <f t="shared" si="117"/>
        <v>2901722</v>
      </c>
      <c r="AE203" s="11">
        <v>0</v>
      </c>
      <c r="AF203" s="9">
        <f>AD203+AE203</f>
        <v>2901722</v>
      </c>
      <c r="AG203" s="59" t="s">
        <v>515</v>
      </c>
      <c r="AH203" s="13" t="s">
        <v>151</v>
      </c>
      <c r="AI203" s="1">
        <f>57510.16+41820+20836.05+34875.5+35599.7</f>
        <v>190641.41000000003</v>
      </c>
      <c r="AJ203" s="1">
        <f>8795.67+6396+3186.69+5333.9+5444.66</f>
        <v>29156.920000000002</v>
      </c>
    </row>
    <row r="204" spans="1:36" s="100" customFormat="1" ht="157.5" x14ac:dyDescent="0.25">
      <c r="A204" s="5">
        <f t="shared" si="118"/>
        <v>201</v>
      </c>
      <c r="B204" s="15">
        <v>120531</v>
      </c>
      <c r="C204" s="6">
        <v>76</v>
      </c>
      <c r="D204" s="40" t="s">
        <v>1985</v>
      </c>
      <c r="E204" s="17" t="s">
        <v>278</v>
      </c>
      <c r="F204" s="18" t="s">
        <v>190</v>
      </c>
      <c r="G204" s="3" t="s">
        <v>191</v>
      </c>
      <c r="H204" s="5" t="s">
        <v>151</v>
      </c>
      <c r="I204" s="8" t="s">
        <v>192</v>
      </c>
      <c r="J204" s="2">
        <v>43129</v>
      </c>
      <c r="K204" s="2">
        <v>43798</v>
      </c>
      <c r="L204" s="16">
        <f t="shared" ref="L204:L213" si="120">R204/AD204*100</f>
        <v>85.000000405063261</v>
      </c>
      <c r="M204" s="5">
        <v>3</v>
      </c>
      <c r="N204" s="5" t="s">
        <v>194</v>
      </c>
      <c r="O204" s="5" t="s">
        <v>193</v>
      </c>
      <c r="P204" s="3" t="s">
        <v>174</v>
      </c>
      <c r="Q204" s="5" t="s">
        <v>34</v>
      </c>
      <c r="R204" s="9">
        <f t="shared" ref="R204:R213" si="121">S204+T204</f>
        <v>524609.42000000004</v>
      </c>
      <c r="S204" s="87">
        <v>524609.42000000004</v>
      </c>
      <c r="T204" s="9">
        <v>0</v>
      </c>
      <c r="U204" s="4">
        <f t="shared" ref="U204:U213" si="122">V204+W204</f>
        <v>80234.38</v>
      </c>
      <c r="V204" s="127">
        <v>80234.38</v>
      </c>
      <c r="W204" s="53">
        <v>0</v>
      </c>
      <c r="X204" s="4">
        <f t="shared" ref="X204:X213" si="123">Y204+Z204</f>
        <v>12343.75</v>
      </c>
      <c r="Y204" s="87">
        <v>12343.75</v>
      </c>
      <c r="Z204" s="9">
        <v>0</v>
      </c>
      <c r="AA204" s="9">
        <f t="shared" ref="AA204:AA213" si="124">AB204+AC204</f>
        <v>0</v>
      </c>
      <c r="AB204" s="9">
        <v>0</v>
      </c>
      <c r="AC204" s="9">
        <v>0</v>
      </c>
      <c r="AD204" s="44">
        <f t="shared" si="117"/>
        <v>617187.55000000005</v>
      </c>
      <c r="AE204" s="9">
        <v>0</v>
      </c>
      <c r="AF204" s="9">
        <f t="shared" ref="AF204:AF213" si="125">AD204+AE204</f>
        <v>617187.55000000005</v>
      </c>
      <c r="AG204" s="49" t="s">
        <v>966</v>
      </c>
      <c r="AH204" s="13" t="s">
        <v>151</v>
      </c>
      <c r="AI204" s="1">
        <v>398279.01</v>
      </c>
      <c r="AJ204" s="1">
        <v>60913.25</v>
      </c>
    </row>
    <row r="205" spans="1:36" s="158" customFormat="1" ht="157.5" x14ac:dyDescent="0.25">
      <c r="A205" s="5">
        <f t="shared" si="118"/>
        <v>202</v>
      </c>
      <c r="B205" s="15">
        <v>119702</v>
      </c>
      <c r="C205" s="6">
        <v>462</v>
      </c>
      <c r="D205" s="40" t="s">
        <v>1985</v>
      </c>
      <c r="E205" s="102" t="s">
        <v>474</v>
      </c>
      <c r="F205" s="8" t="s">
        <v>533</v>
      </c>
      <c r="G205" s="5" t="s">
        <v>191</v>
      </c>
      <c r="H205" s="5" t="s">
        <v>151</v>
      </c>
      <c r="I205" s="8" t="s">
        <v>535</v>
      </c>
      <c r="J205" s="2">
        <v>43269</v>
      </c>
      <c r="K205" s="2">
        <v>43756</v>
      </c>
      <c r="L205" s="16">
        <f t="shared" si="120"/>
        <v>85.000000000000014</v>
      </c>
      <c r="M205" s="5">
        <v>3</v>
      </c>
      <c r="N205" s="5" t="s">
        <v>194</v>
      </c>
      <c r="O205" s="5" t="s">
        <v>193</v>
      </c>
      <c r="P205" s="5" t="s">
        <v>174</v>
      </c>
      <c r="Q205" s="5" t="s">
        <v>478</v>
      </c>
      <c r="R205" s="9">
        <f t="shared" si="121"/>
        <v>289363.96999999997</v>
      </c>
      <c r="S205" s="1">
        <v>289363.96999999997</v>
      </c>
      <c r="T205" s="9">
        <v>0</v>
      </c>
      <c r="U205" s="4">
        <f t="shared" si="122"/>
        <v>44255.67</v>
      </c>
      <c r="V205" s="71">
        <v>44255.67</v>
      </c>
      <c r="W205" s="53">
        <v>0</v>
      </c>
      <c r="X205" s="4">
        <f t="shared" si="123"/>
        <v>6808.5599999999995</v>
      </c>
      <c r="Y205" s="1">
        <v>6808.5599999999995</v>
      </c>
      <c r="Z205" s="9">
        <v>0</v>
      </c>
      <c r="AA205" s="9">
        <f t="shared" si="124"/>
        <v>0</v>
      </c>
      <c r="AB205" s="9">
        <v>0</v>
      </c>
      <c r="AC205" s="9">
        <v>0</v>
      </c>
      <c r="AD205" s="44">
        <f t="shared" si="117"/>
        <v>340428.19999999995</v>
      </c>
      <c r="AE205" s="9">
        <v>0</v>
      </c>
      <c r="AF205" s="9">
        <f t="shared" si="125"/>
        <v>340428.19999999995</v>
      </c>
      <c r="AG205" s="49" t="s">
        <v>966</v>
      </c>
      <c r="AH205" s="108" t="s">
        <v>1216</v>
      </c>
      <c r="AI205" s="1">
        <v>261948.47000000003</v>
      </c>
      <c r="AJ205" s="1">
        <v>40062.699999999997</v>
      </c>
    </row>
    <row r="206" spans="1:36" ht="204.75" x14ac:dyDescent="0.25">
      <c r="A206" s="5">
        <f t="shared" si="118"/>
        <v>203</v>
      </c>
      <c r="B206" s="15">
        <v>117960</v>
      </c>
      <c r="C206" s="5">
        <v>418</v>
      </c>
      <c r="D206" s="8" t="s">
        <v>1986</v>
      </c>
      <c r="E206" s="8" t="s">
        <v>540</v>
      </c>
      <c r="F206" s="8" t="s">
        <v>802</v>
      </c>
      <c r="G206" s="5" t="s">
        <v>191</v>
      </c>
      <c r="H206" s="5" t="s">
        <v>151</v>
      </c>
      <c r="I206" s="8" t="s">
        <v>803</v>
      </c>
      <c r="J206" s="2">
        <v>43318</v>
      </c>
      <c r="K206" s="2">
        <v>43805</v>
      </c>
      <c r="L206" s="16">
        <f t="shared" si="120"/>
        <v>85</v>
      </c>
      <c r="M206" s="5">
        <v>3</v>
      </c>
      <c r="N206" s="5" t="s">
        <v>194</v>
      </c>
      <c r="O206" s="5" t="s">
        <v>193</v>
      </c>
      <c r="P206" s="5" t="s">
        <v>174</v>
      </c>
      <c r="Q206" s="5" t="s">
        <v>478</v>
      </c>
      <c r="R206" s="9">
        <f t="shared" si="121"/>
        <v>339865.02</v>
      </c>
      <c r="S206" s="1">
        <v>339865.02</v>
      </c>
      <c r="T206" s="54">
        <v>0</v>
      </c>
      <c r="U206" s="4">
        <f t="shared" si="122"/>
        <v>51979.35</v>
      </c>
      <c r="V206" s="71">
        <v>51979.35</v>
      </c>
      <c r="W206" s="71">
        <v>0</v>
      </c>
      <c r="X206" s="4">
        <f t="shared" si="123"/>
        <v>7996.83</v>
      </c>
      <c r="Y206" s="1">
        <v>7996.83</v>
      </c>
      <c r="Z206" s="1">
        <v>0</v>
      </c>
      <c r="AA206" s="9">
        <f t="shared" si="124"/>
        <v>0</v>
      </c>
      <c r="AB206" s="54">
        <v>0</v>
      </c>
      <c r="AC206" s="54">
        <v>0</v>
      </c>
      <c r="AD206" s="44">
        <f t="shared" si="117"/>
        <v>399841.2</v>
      </c>
      <c r="AE206" s="1">
        <v>0</v>
      </c>
      <c r="AF206" s="9">
        <f t="shared" si="125"/>
        <v>399841.2</v>
      </c>
      <c r="AG206" s="49" t="s">
        <v>966</v>
      </c>
      <c r="AH206" s="59"/>
      <c r="AI206" s="1">
        <v>229276.43000000002</v>
      </c>
      <c r="AJ206" s="1">
        <v>35065.81</v>
      </c>
    </row>
    <row r="207" spans="1:36" ht="141.75" x14ac:dyDescent="0.25">
      <c r="A207" s="5">
        <f t="shared" si="118"/>
        <v>204</v>
      </c>
      <c r="B207" s="15">
        <v>126286</v>
      </c>
      <c r="C207" s="5">
        <v>513</v>
      </c>
      <c r="D207" s="40" t="s">
        <v>1985</v>
      </c>
      <c r="E207" s="8" t="s">
        <v>1018</v>
      </c>
      <c r="F207" s="8" t="s">
        <v>1080</v>
      </c>
      <c r="G207" s="5" t="s">
        <v>1082</v>
      </c>
      <c r="H207" s="5" t="s">
        <v>151</v>
      </c>
      <c r="I207" s="8" t="s">
        <v>1081</v>
      </c>
      <c r="J207" s="2">
        <v>43451</v>
      </c>
      <c r="K207" s="2">
        <v>44182</v>
      </c>
      <c r="L207" s="16">
        <f t="shared" si="120"/>
        <v>85.000000627550136</v>
      </c>
      <c r="M207" s="5">
        <v>3</v>
      </c>
      <c r="N207" s="5" t="s">
        <v>1343</v>
      </c>
      <c r="O207" s="5" t="s">
        <v>1082</v>
      </c>
      <c r="P207" s="5" t="s">
        <v>174</v>
      </c>
      <c r="Q207" s="5" t="s">
        <v>478</v>
      </c>
      <c r="R207" s="9">
        <f t="shared" si="121"/>
        <v>2370328.59</v>
      </c>
      <c r="S207" s="1">
        <v>2370328.59</v>
      </c>
      <c r="T207" s="54">
        <v>0</v>
      </c>
      <c r="U207" s="4">
        <f t="shared" si="122"/>
        <v>362520.82</v>
      </c>
      <c r="V207" s="71">
        <v>362520.82</v>
      </c>
      <c r="W207" s="71">
        <v>0</v>
      </c>
      <c r="X207" s="4">
        <f t="shared" si="123"/>
        <v>55772.44</v>
      </c>
      <c r="Y207" s="1">
        <v>55772.44</v>
      </c>
      <c r="Z207" s="1">
        <v>0</v>
      </c>
      <c r="AA207" s="9">
        <f t="shared" si="124"/>
        <v>0</v>
      </c>
      <c r="AB207" s="54">
        <v>0</v>
      </c>
      <c r="AC207" s="54">
        <v>0</v>
      </c>
      <c r="AD207" s="44">
        <f t="shared" si="117"/>
        <v>2788621.8499999996</v>
      </c>
      <c r="AE207" s="1">
        <v>0</v>
      </c>
      <c r="AF207" s="9">
        <f t="shared" si="125"/>
        <v>2788621.8499999996</v>
      </c>
      <c r="AG207" s="59" t="s">
        <v>966</v>
      </c>
      <c r="AH207" s="59" t="s">
        <v>151</v>
      </c>
      <c r="AI207" s="1">
        <f>627672.32-17778.09+287234.86+139082.99+89907.24+794027.5-2746.9+72930.32-12652.29 -1844.57-726.44</f>
        <v>1975106.9400000002</v>
      </c>
      <c r="AJ207" s="1">
        <f>63184.36+17778.09+43930.03+21271.52+17999.69+121439.5+2746.9+11154.05+1844.57+726.44</f>
        <v>302075.15000000002</v>
      </c>
    </row>
    <row r="208" spans="1:36" ht="141.75" x14ac:dyDescent="0.25">
      <c r="A208" s="5">
        <f t="shared" si="118"/>
        <v>205</v>
      </c>
      <c r="B208" s="15">
        <v>129573</v>
      </c>
      <c r="C208" s="5">
        <v>665</v>
      </c>
      <c r="D208" s="40" t="s">
        <v>1985</v>
      </c>
      <c r="E208" s="8" t="s">
        <v>1246</v>
      </c>
      <c r="F208" s="8" t="s">
        <v>1342</v>
      </c>
      <c r="G208" s="5" t="s">
        <v>191</v>
      </c>
      <c r="H208" s="5" t="s">
        <v>151</v>
      </c>
      <c r="I208" s="8" t="s">
        <v>1344</v>
      </c>
      <c r="J208" s="2">
        <v>43654</v>
      </c>
      <c r="K208" s="2">
        <v>44569</v>
      </c>
      <c r="L208" s="16">
        <f t="shared" si="120"/>
        <v>85.000000000000014</v>
      </c>
      <c r="M208" s="5">
        <v>3</v>
      </c>
      <c r="N208" s="5" t="s">
        <v>1343</v>
      </c>
      <c r="O208" s="5" t="s">
        <v>193</v>
      </c>
      <c r="P208" s="5" t="s">
        <v>174</v>
      </c>
      <c r="Q208" s="5" t="s">
        <v>478</v>
      </c>
      <c r="R208" s="9">
        <f t="shared" si="121"/>
        <v>2547988.73</v>
      </c>
      <c r="S208" s="1">
        <v>2547988.73</v>
      </c>
      <c r="T208" s="54">
        <v>0</v>
      </c>
      <c r="U208" s="4">
        <f t="shared" si="122"/>
        <v>389692.4</v>
      </c>
      <c r="V208" s="71">
        <v>389692.4</v>
      </c>
      <c r="W208" s="71">
        <v>0</v>
      </c>
      <c r="X208" s="4">
        <f t="shared" si="123"/>
        <v>59952.67</v>
      </c>
      <c r="Y208" s="1">
        <v>59952.67</v>
      </c>
      <c r="Z208" s="1">
        <v>0</v>
      </c>
      <c r="AA208" s="9">
        <f t="shared" si="124"/>
        <v>0</v>
      </c>
      <c r="AB208" s="54">
        <v>0</v>
      </c>
      <c r="AC208" s="54">
        <v>0</v>
      </c>
      <c r="AD208" s="44">
        <f t="shared" si="117"/>
        <v>2997633.8</v>
      </c>
      <c r="AE208" s="1">
        <v>21896</v>
      </c>
      <c r="AF208" s="9">
        <f t="shared" si="125"/>
        <v>3019529.8</v>
      </c>
      <c r="AG208" s="59" t="s">
        <v>515</v>
      </c>
      <c r="AH208" s="59" t="s">
        <v>151</v>
      </c>
      <c r="AI208" s="1">
        <f>72625.7+892213.31+580328.59</f>
        <v>1545167.6</v>
      </c>
      <c r="AJ208" s="1">
        <f>11107.46+136456.15+88756.14</f>
        <v>236319.75</v>
      </c>
    </row>
    <row r="209" spans="1:36" ht="250.5" customHeight="1" x14ac:dyDescent="0.25">
      <c r="A209" s="5">
        <f t="shared" si="118"/>
        <v>206</v>
      </c>
      <c r="B209" s="15">
        <v>129682</v>
      </c>
      <c r="C209" s="5">
        <v>666</v>
      </c>
      <c r="D209" s="40" t="s">
        <v>1985</v>
      </c>
      <c r="E209" s="8" t="s">
        <v>1246</v>
      </c>
      <c r="F209" s="8" t="s">
        <v>1390</v>
      </c>
      <c r="G209" s="5" t="s">
        <v>2009</v>
      </c>
      <c r="H209" s="5" t="s">
        <v>151</v>
      </c>
      <c r="I209" s="8" t="s">
        <v>1393</v>
      </c>
      <c r="J209" s="2">
        <v>43677</v>
      </c>
      <c r="K209" s="2">
        <v>44592</v>
      </c>
      <c r="L209" s="16">
        <f t="shared" si="120"/>
        <v>84.999999798883323</v>
      </c>
      <c r="M209" s="5">
        <v>3</v>
      </c>
      <c r="N209" s="5" t="s">
        <v>1391</v>
      </c>
      <c r="O209" s="5" t="s">
        <v>1392</v>
      </c>
      <c r="P209" s="5" t="s">
        <v>174</v>
      </c>
      <c r="Q209" s="5" t="s">
        <v>478</v>
      </c>
      <c r="R209" s="9">
        <f t="shared" si="121"/>
        <v>3381122.07</v>
      </c>
      <c r="S209" s="1">
        <v>3381122.07</v>
      </c>
      <c r="T209" s="54">
        <v>0</v>
      </c>
      <c r="U209" s="4">
        <f t="shared" si="122"/>
        <v>517112.16</v>
      </c>
      <c r="V209" s="71">
        <v>517112.16</v>
      </c>
      <c r="W209" s="71">
        <v>0</v>
      </c>
      <c r="X209" s="4">
        <f t="shared" si="123"/>
        <v>79556.45</v>
      </c>
      <c r="Y209" s="1">
        <v>79556.45</v>
      </c>
      <c r="Z209" s="54">
        <v>0</v>
      </c>
      <c r="AA209" s="9">
        <f t="shared" si="124"/>
        <v>0</v>
      </c>
      <c r="AB209" s="9">
        <v>0</v>
      </c>
      <c r="AC209" s="9">
        <v>0</v>
      </c>
      <c r="AD209" s="44">
        <f t="shared" si="117"/>
        <v>3977790.68</v>
      </c>
      <c r="AE209" s="1">
        <v>0</v>
      </c>
      <c r="AF209" s="9">
        <f t="shared" si="125"/>
        <v>3977790.68</v>
      </c>
      <c r="AG209" s="59" t="s">
        <v>515</v>
      </c>
      <c r="AH209" s="59" t="s">
        <v>151</v>
      </c>
      <c r="AI209" s="1">
        <f>232011.58+75548+208007.75+777843.5+140612.95</f>
        <v>1434023.78</v>
      </c>
      <c r="AJ209" s="1">
        <f>35483.98+11554.29+31812.88+118964.3+21505.4</f>
        <v>219320.85</v>
      </c>
    </row>
    <row r="210" spans="1:36" ht="210.75" customHeight="1" x14ac:dyDescent="0.25">
      <c r="A210" s="5">
        <f t="shared" si="118"/>
        <v>207</v>
      </c>
      <c r="B210" s="15">
        <v>135925</v>
      </c>
      <c r="C210" s="5">
        <v>767</v>
      </c>
      <c r="D210" s="40" t="s">
        <v>1985</v>
      </c>
      <c r="E210" s="17" t="s">
        <v>1701</v>
      </c>
      <c r="F210" s="8" t="s">
        <v>1726</v>
      </c>
      <c r="G210" s="5" t="s">
        <v>1727</v>
      </c>
      <c r="H210" s="5" t="s">
        <v>151</v>
      </c>
      <c r="I210" s="8" t="s">
        <v>1728</v>
      </c>
      <c r="J210" s="2">
        <v>43959</v>
      </c>
      <c r="K210" s="2">
        <v>44508</v>
      </c>
      <c r="L210" s="16">
        <f t="shared" si="120"/>
        <v>84.999999999999986</v>
      </c>
      <c r="M210" s="5">
        <v>3</v>
      </c>
      <c r="N210" s="5" t="s">
        <v>1391</v>
      </c>
      <c r="O210" s="5" t="s">
        <v>1727</v>
      </c>
      <c r="P210" s="5" t="s">
        <v>174</v>
      </c>
      <c r="Q210" s="5" t="s">
        <v>1714</v>
      </c>
      <c r="R210" s="9">
        <f t="shared" si="121"/>
        <v>1880240.97</v>
      </c>
      <c r="S210" s="1">
        <v>1880240.97</v>
      </c>
      <c r="T210" s="54">
        <v>0</v>
      </c>
      <c r="U210" s="4">
        <f t="shared" si="122"/>
        <v>287566.27</v>
      </c>
      <c r="V210" s="71">
        <v>287566.27</v>
      </c>
      <c r="W210" s="71">
        <v>0</v>
      </c>
      <c r="X210" s="4">
        <f t="shared" si="123"/>
        <v>44240.959999999999</v>
      </c>
      <c r="Y210" s="1">
        <v>44240.959999999999</v>
      </c>
      <c r="Z210" s="54">
        <v>0</v>
      </c>
      <c r="AA210" s="9">
        <f t="shared" si="124"/>
        <v>0</v>
      </c>
      <c r="AB210" s="9">
        <v>0</v>
      </c>
      <c r="AC210" s="9">
        <v>0</v>
      </c>
      <c r="AD210" s="44">
        <f t="shared" si="117"/>
        <v>2212048.2000000002</v>
      </c>
      <c r="AE210" s="1">
        <v>2975</v>
      </c>
      <c r="AF210" s="9">
        <f t="shared" si="125"/>
        <v>2215023.2000000002</v>
      </c>
      <c r="AG210" s="59" t="s">
        <v>515</v>
      </c>
      <c r="AH210" s="59" t="s">
        <v>151</v>
      </c>
      <c r="AI210" s="1">
        <f>216000-24481.73</f>
        <v>191518.27</v>
      </c>
      <c r="AJ210" s="1">
        <f>24481.73</f>
        <v>24481.73</v>
      </c>
    </row>
    <row r="211" spans="1:36" ht="283.5" x14ac:dyDescent="0.25">
      <c r="A211" s="5">
        <f t="shared" si="118"/>
        <v>208</v>
      </c>
      <c r="B211" s="15">
        <v>136159</v>
      </c>
      <c r="C211" s="5">
        <v>846</v>
      </c>
      <c r="D211" s="40" t="s">
        <v>1985</v>
      </c>
      <c r="E211" s="17" t="s">
        <v>1701</v>
      </c>
      <c r="F211" s="8" t="s">
        <v>1734</v>
      </c>
      <c r="G211" s="5" t="s">
        <v>1082</v>
      </c>
      <c r="H211" s="5" t="s">
        <v>151</v>
      </c>
      <c r="I211" s="8" t="s">
        <v>1735</v>
      </c>
      <c r="J211" s="2">
        <v>43959</v>
      </c>
      <c r="K211" s="2">
        <v>44508</v>
      </c>
      <c r="L211" s="16">
        <f t="shared" si="120"/>
        <v>85.00000013300064</v>
      </c>
      <c r="M211" s="5">
        <v>3</v>
      </c>
      <c r="N211" s="5" t="s">
        <v>1391</v>
      </c>
      <c r="O211" s="5" t="s">
        <v>1082</v>
      </c>
      <c r="P211" s="5" t="s">
        <v>174</v>
      </c>
      <c r="Q211" s="5" t="s">
        <v>1714</v>
      </c>
      <c r="R211" s="9">
        <f t="shared" si="121"/>
        <v>3195473.6</v>
      </c>
      <c r="S211" s="1">
        <v>3195473.6</v>
      </c>
      <c r="T211" s="54">
        <v>0</v>
      </c>
      <c r="U211" s="4">
        <f t="shared" si="122"/>
        <v>488719.49</v>
      </c>
      <c r="V211" s="71">
        <v>488719.49</v>
      </c>
      <c r="W211" s="71">
        <v>0</v>
      </c>
      <c r="X211" s="4">
        <f t="shared" si="123"/>
        <v>75187.61</v>
      </c>
      <c r="Y211" s="1">
        <v>75187.61</v>
      </c>
      <c r="Z211" s="54">
        <v>0</v>
      </c>
      <c r="AA211" s="9">
        <f t="shared" si="124"/>
        <v>0</v>
      </c>
      <c r="AB211" s="9">
        <v>0</v>
      </c>
      <c r="AC211" s="9">
        <v>0</v>
      </c>
      <c r="AD211" s="44">
        <f t="shared" si="117"/>
        <v>3759380.6999999997</v>
      </c>
      <c r="AE211" s="1">
        <v>0</v>
      </c>
      <c r="AF211" s="9">
        <f t="shared" si="125"/>
        <v>3759380.6999999997</v>
      </c>
      <c r="AG211" s="59" t="s">
        <v>515</v>
      </c>
      <c r="AH211" s="59" t="s">
        <v>2161</v>
      </c>
      <c r="AI211" s="1">
        <f>207152.02-5478.06-136607.56-980+52494.71+16815.94</f>
        <v>133397.04999999999</v>
      </c>
      <c r="AJ211" s="1">
        <f>5478.06+4473.27-130+10580.57</f>
        <v>20401.900000000001</v>
      </c>
    </row>
    <row r="212" spans="1:36" ht="283.5" x14ac:dyDescent="0.25">
      <c r="A212" s="5">
        <f t="shared" si="118"/>
        <v>209</v>
      </c>
      <c r="B212" s="15">
        <v>136243</v>
      </c>
      <c r="C212" s="5">
        <v>824</v>
      </c>
      <c r="D212" s="40" t="s">
        <v>1985</v>
      </c>
      <c r="E212" s="17" t="s">
        <v>1701</v>
      </c>
      <c r="F212" s="8" t="s">
        <v>1772</v>
      </c>
      <c r="G212" s="5" t="s">
        <v>1773</v>
      </c>
      <c r="H212" s="5" t="s">
        <v>151</v>
      </c>
      <c r="I212" s="8" t="s">
        <v>1774</v>
      </c>
      <c r="J212" s="2">
        <v>43969</v>
      </c>
      <c r="K212" s="2">
        <v>44852</v>
      </c>
      <c r="L212" s="16">
        <f t="shared" si="120"/>
        <v>85.000000012520232</v>
      </c>
      <c r="M212" s="5">
        <v>3</v>
      </c>
      <c r="N212" s="5" t="s">
        <v>1391</v>
      </c>
      <c r="O212" s="5" t="s">
        <v>1773</v>
      </c>
      <c r="P212" s="5" t="s">
        <v>174</v>
      </c>
      <c r="Q212" s="5" t="s">
        <v>1714</v>
      </c>
      <c r="R212" s="9">
        <f t="shared" si="121"/>
        <v>3394504.81</v>
      </c>
      <c r="S212" s="1">
        <v>3394504.81</v>
      </c>
      <c r="T212" s="54">
        <v>0</v>
      </c>
      <c r="U212" s="4">
        <f t="shared" si="122"/>
        <v>519159.56</v>
      </c>
      <c r="V212" s="71">
        <v>519159.56</v>
      </c>
      <c r="W212" s="71">
        <v>0</v>
      </c>
      <c r="X212" s="4">
        <f t="shared" si="123"/>
        <v>79870.7</v>
      </c>
      <c r="Y212" s="1">
        <v>79870.7</v>
      </c>
      <c r="Z212" s="54">
        <v>0</v>
      </c>
      <c r="AA212" s="9">
        <f t="shared" si="124"/>
        <v>0</v>
      </c>
      <c r="AB212" s="9">
        <v>0</v>
      </c>
      <c r="AC212" s="9">
        <v>0</v>
      </c>
      <c r="AD212" s="44">
        <f t="shared" si="117"/>
        <v>3993535.0700000003</v>
      </c>
      <c r="AE212" s="1">
        <v>0</v>
      </c>
      <c r="AF212" s="9">
        <f t="shared" si="125"/>
        <v>3993535.0700000003</v>
      </c>
      <c r="AG212" s="59" t="s">
        <v>515</v>
      </c>
      <c r="AH212" s="59" t="s">
        <v>151</v>
      </c>
      <c r="AI212" s="1">
        <v>14571.55</v>
      </c>
      <c r="AJ212" s="1">
        <v>2228.59</v>
      </c>
    </row>
    <row r="213" spans="1:36" ht="283.5" x14ac:dyDescent="0.25">
      <c r="A213" s="5">
        <f t="shared" si="118"/>
        <v>210</v>
      </c>
      <c r="B213" s="15">
        <v>136133</v>
      </c>
      <c r="C213" s="5">
        <v>792</v>
      </c>
      <c r="D213" s="40" t="s">
        <v>1985</v>
      </c>
      <c r="E213" s="17" t="s">
        <v>1701</v>
      </c>
      <c r="F213" s="8" t="s">
        <v>1871</v>
      </c>
      <c r="G213" s="5" t="s">
        <v>2009</v>
      </c>
      <c r="H213" s="5" t="s">
        <v>151</v>
      </c>
      <c r="I213" s="8" t="s">
        <v>1872</v>
      </c>
      <c r="J213" s="2">
        <v>44014</v>
      </c>
      <c r="K213" s="2">
        <v>44563</v>
      </c>
      <c r="L213" s="16">
        <f t="shared" si="120"/>
        <v>85.000000233024664</v>
      </c>
      <c r="M213" s="5">
        <v>3</v>
      </c>
      <c r="N213" s="5" t="s">
        <v>1391</v>
      </c>
      <c r="O213" s="5" t="s">
        <v>1392</v>
      </c>
      <c r="P213" s="5" t="s">
        <v>174</v>
      </c>
      <c r="Q213" s="5" t="s">
        <v>1714</v>
      </c>
      <c r="R213" s="9">
        <f t="shared" si="121"/>
        <v>2370993.67</v>
      </c>
      <c r="S213" s="1">
        <v>2370993.67</v>
      </c>
      <c r="T213" s="54">
        <v>0</v>
      </c>
      <c r="U213" s="4">
        <f t="shared" si="122"/>
        <v>362622.56</v>
      </c>
      <c r="V213" s="71">
        <v>362622.56</v>
      </c>
      <c r="W213" s="71">
        <v>0</v>
      </c>
      <c r="X213" s="4">
        <f t="shared" si="123"/>
        <v>55788.08</v>
      </c>
      <c r="Y213" s="1">
        <v>55788.08</v>
      </c>
      <c r="Z213" s="54">
        <v>0</v>
      </c>
      <c r="AA213" s="9">
        <f t="shared" si="124"/>
        <v>0</v>
      </c>
      <c r="AB213" s="9">
        <v>0</v>
      </c>
      <c r="AC213" s="9">
        <v>0</v>
      </c>
      <c r="AD213" s="44">
        <f t="shared" si="117"/>
        <v>2789404.31</v>
      </c>
      <c r="AE213" s="1">
        <v>0</v>
      </c>
      <c r="AF213" s="9">
        <f t="shared" si="125"/>
        <v>2789404.31</v>
      </c>
      <c r="AG213" s="59" t="s">
        <v>515</v>
      </c>
      <c r="AH213" s="59" t="s">
        <v>151</v>
      </c>
      <c r="AI213" s="1">
        <f>60995.15+165203.29</f>
        <v>226198.44</v>
      </c>
      <c r="AJ213" s="1">
        <f>9328.67+25266.39</f>
        <v>34595.06</v>
      </c>
    </row>
    <row r="214" spans="1:36" ht="126" customHeight="1" x14ac:dyDescent="0.25">
      <c r="A214" s="5">
        <f t="shared" si="118"/>
        <v>211</v>
      </c>
      <c r="B214" s="15">
        <v>119208</v>
      </c>
      <c r="C214" s="5">
        <v>489</v>
      </c>
      <c r="D214" s="40" t="s">
        <v>1985</v>
      </c>
      <c r="E214" s="17" t="s">
        <v>474</v>
      </c>
      <c r="F214" s="5" t="s">
        <v>994</v>
      </c>
      <c r="G214" s="5" t="s">
        <v>995</v>
      </c>
      <c r="H214" s="5" t="s">
        <v>362</v>
      </c>
      <c r="I214" s="41" t="s">
        <v>1681</v>
      </c>
      <c r="J214" s="2">
        <v>43396</v>
      </c>
      <c r="K214" s="2">
        <v>43884</v>
      </c>
      <c r="L214" s="16">
        <f>R214/AD214*100</f>
        <v>85</v>
      </c>
      <c r="M214" s="5">
        <v>1</v>
      </c>
      <c r="N214" s="5" t="s">
        <v>993</v>
      </c>
      <c r="O214" s="5" t="s">
        <v>996</v>
      </c>
      <c r="P214" s="3" t="s">
        <v>174</v>
      </c>
      <c r="Q214" s="5" t="s">
        <v>34</v>
      </c>
      <c r="R214" s="9">
        <f>S214+T214</f>
        <v>529360.44999999995</v>
      </c>
      <c r="S214" s="9">
        <v>529360.44999999995</v>
      </c>
      <c r="T214" s="9">
        <v>0</v>
      </c>
      <c r="U214" s="4">
        <f>V214+W214</f>
        <v>80961.009999999995</v>
      </c>
      <c r="V214" s="53">
        <v>80961.009999999995</v>
      </c>
      <c r="W214" s="53">
        <v>0</v>
      </c>
      <c r="X214" s="4">
        <f>Y214+Z214</f>
        <v>12455.54</v>
      </c>
      <c r="Y214" s="9">
        <v>12455.54</v>
      </c>
      <c r="Z214" s="9">
        <v>0</v>
      </c>
      <c r="AA214" s="9">
        <f>AB214+AC214</f>
        <v>0</v>
      </c>
      <c r="AB214" s="9">
        <v>0</v>
      </c>
      <c r="AC214" s="9">
        <v>0</v>
      </c>
      <c r="AD214" s="44">
        <f t="shared" si="117"/>
        <v>622777</v>
      </c>
      <c r="AE214" s="9"/>
      <c r="AF214" s="9">
        <f>AD214+AE214</f>
        <v>622777</v>
      </c>
      <c r="AG214" s="59" t="s">
        <v>1686</v>
      </c>
      <c r="AH214" s="13"/>
      <c r="AI214" s="1">
        <v>483717.67</v>
      </c>
      <c r="AJ214" s="1">
        <v>73980.329999999987</v>
      </c>
    </row>
    <row r="215" spans="1:36" ht="141.75" x14ac:dyDescent="0.25">
      <c r="A215" s="5">
        <f t="shared" si="118"/>
        <v>212</v>
      </c>
      <c r="B215" s="15">
        <v>122867</v>
      </c>
      <c r="C215" s="78">
        <v>105</v>
      </c>
      <c r="D215" s="40" t="s">
        <v>1985</v>
      </c>
      <c r="E215" s="17" t="s">
        <v>278</v>
      </c>
      <c r="F215" s="8" t="s">
        <v>888</v>
      </c>
      <c r="G215" s="5" t="s">
        <v>1029</v>
      </c>
      <c r="H215" s="5" t="s">
        <v>889</v>
      </c>
      <c r="I215" s="41" t="s">
        <v>890</v>
      </c>
      <c r="J215" s="2">
        <v>43342</v>
      </c>
      <c r="K215" s="2">
        <v>43707</v>
      </c>
      <c r="L215" s="16">
        <f>R215/AD215*100</f>
        <v>84.194914940710191</v>
      </c>
      <c r="M215" s="5">
        <v>1</v>
      </c>
      <c r="N215" s="5" t="s">
        <v>891</v>
      </c>
      <c r="O215" s="5" t="s">
        <v>892</v>
      </c>
      <c r="P215" s="3" t="s">
        <v>174</v>
      </c>
      <c r="Q215" s="5" t="s">
        <v>34</v>
      </c>
      <c r="R215" s="9">
        <f>S215+T215</f>
        <v>351606.78</v>
      </c>
      <c r="S215" s="9">
        <v>351606.78</v>
      </c>
      <c r="T215" s="9">
        <v>0</v>
      </c>
      <c r="U215" s="4">
        <f>V215+W215</f>
        <v>57651.47</v>
      </c>
      <c r="V215" s="53">
        <v>57651.47</v>
      </c>
      <c r="W215" s="53">
        <v>0</v>
      </c>
      <c r="X215" s="4">
        <f>Y215+Z215</f>
        <v>8352.2199999999993</v>
      </c>
      <c r="Y215" s="9">
        <v>8352.2199999999993</v>
      </c>
      <c r="Z215" s="9">
        <v>0</v>
      </c>
      <c r="AA215" s="9">
        <f>AB215+AC215</f>
        <v>0</v>
      </c>
      <c r="AB215" s="9">
        <v>0</v>
      </c>
      <c r="AC215" s="9">
        <v>0</v>
      </c>
      <c r="AD215" s="44">
        <f t="shared" si="117"/>
        <v>417610.47</v>
      </c>
      <c r="AE215" s="9"/>
      <c r="AF215" s="9">
        <f>AD215+AE215</f>
        <v>417610.47</v>
      </c>
      <c r="AG215" s="49" t="s">
        <v>966</v>
      </c>
      <c r="AH215" s="13" t="s">
        <v>296</v>
      </c>
      <c r="AI215" s="1">
        <v>320784.53000000003</v>
      </c>
      <c r="AJ215" s="1">
        <v>52280.650000000009</v>
      </c>
    </row>
    <row r="216" spans="1:36" ht="189" x14ac:dyDescent="0.25">
      <c r="A216" s="5">
        <f t="shared" si="118"/>
        <v>213</v>
      </c>
      <c r="B216" s="15">
        <v>126260</v>
      </c>
      <c r="C216" s="5">
        <v>526</v>
      </c>
      <c r="D216" s="40" t="s">
        <v>1985</v>
      </c>
      <c r="E216" s="17" t="s">
        <v>1018</v>
      </c>
      <c r="F216" s="8" t="s">
        <v>1030</v>
      </c>
      <c r="G216" s="5" t="s">
        <v>1029</v>
      </c>
      <c r="H216" s="5" t="s">
        <v>151</v>
      </c>
      <c r="I216" s="41" t="s">
        <v>1583</v>
      </c>
      <c r="J216" s="2">
        <v>43433</v>
      </c>
      <c r="K216" s="2">
        <v>44284</v>
      </c>
      <c r="L216" s="16">
        <f>R216/AD216*100</f>
        <v>84.999999887651384</v>
      </c>
      <c r="M216" s="5">
        <v>1</v>
      </c>
      <c r="N216" s="5" t="s">
        <v>891</v>
      </c>
      <c r="O216" s="5" t="s">
        <v>892</v>
      </c>
      <c r="P216" s="3" t="s">
        <v>174</v>
      </c>
      <c r="Q216" s="5" t="s">
        <v>34</v>
      </c>
      <c r="R216" s="9">
        <f>S216+T216</f>
        <v>2269720.81</v>
      </c>
      <c r="S216" s="9">
        <v>2269720.81</v>
      </c>
      <c r="T216" s="9">
        <v>0</v>
      </c>
      <c r="U216" s="4">
        <f>V216+W216</f>
        <v>347133.77</v>
      </c>
      <c r="V216" s="53">
        <v>347133.77</v>
      </c>
      <c r="W216" s="53">
        <v>0</v>
      </c>
      <c r="X216" s="4">
        <f>Y216+Z216</f>
        <v>53405.2</v>
      </c>
      <c r="Y216" s="9">
        <v>53405.2</v>
      </c>
      <c r="Z216" s="9">
        <v>0</v>
      </c>
      <c r="AA216" s="9">
        <f>AB216+AC216</f>
        <v>0</v>
      </c>
      <c r="AB216" s="9">
        <v>0</v>
      </c>
      <c r="AC216" s="9">
        <v>0</v>
      </c>
      <c r="AD216" s="44">
        <f t="shared" si="117"/>
        <v>2670259.7800000003</v>
      </c>
      <c r="AE216" s="9">
        <v>57120</v>
      </c>
      <c r="AF216" s="9">
        <f>AD216+AE216</f>
        <v>2727379.7800000003</v>
      </c>
      <c r="AG216" s="59" t="s">
        <v>966</v>
      </c>
      <c r="AH216" s="13" t="s">
        <v>2031</v>
      </c>
      <c r="AI216" s="1">
        <f>176317.2+454574.91+552196.35+622670.87+112586.33</f>
        <v>1918345.6600000001</v>
      </c>
      <c r="AJ216" s="1">
        <f>26966.16+69523.21+84453.54+95232.02+17219.08</f>
        <v>293394.01</v>
      </c>
    </row>
    <row r="217" spans="1:36" ht="283.5" x14ac:dyDescent="0.25">
      <c r="A217" s="5">
        <f t="shared" si="118"/>
        <v>214</v>
      </c>
      <c r="B217" s="15">
        <v>136304</v>
      </c>
      <c r="C217" s="5">
        <v>807</v>
      </c>
      <c r="D217" s="40" t="s">
        <v>1985</v>
      </c>
      <c r="E217" s="17" t="s">
        <v>1701</v>
      </c>
      <c r="F217" s="8" t="s">
        <v>1729</v>
      </c>
      <c r="G217" s="5" t="s">
        <v>996</v>
      </c>
      <c r="H217" s="5" t="s">
        <v>151</v>
      </c>
      <c r="I217" s="41" t="s">
        <v>1730</v>
      </c>
      <c r="J217" s="2">
        <v>43959</v>
      </c>
      <c r="K217" s="2">
        <v>44750</v>
      </c>
      <c r="L217" s="16">
        <f>R217/AD217*100</f>
        <v>85.000000207537823</v>
      </c>
      <c r="M217" s="5">
        <v>1</v>
      </c>
      <c r="N217" s="5" t="s">
        <v>891</v>
      </c>
      <c r="O217" s="5" t="s">
        <v>996</v>
      </c>
      <c r="P217" s="3" t="s">
        <v>174</v>
      </c>
      <c r="Q217" s="5" t="s">
        <v>1714</v>
      </c>
      <c r="R217" s="9">
        <f>S217+T217</f>
        <v>3276511.26</v>
      </c>
      <c r="S217" s="9">
        <v>3276511.26</v>
      </c>
      <c r="T217" s="9">
        <v>0</v>
      </c>
      <c r="U217" s="4">
        <f>V217+W217</f>
        <v>501113.47</v>
      </c>
      <c r="V217" s="53">
        <v>501113.47</v>
      </c>
      <c r="W217" s="53">
        <v>0</v>
      </c>
      <c r="X217" s="4">
        <f>Y217+Z217</f>
        <v>77094.39</v>
      </c>
      <c r="Y217" s="9">
        <v>77094.39</v>
      </c>
      <c r="Z217" s="9">
        <v>0</v>
      </c>
      <c r="AA217" s="9">
        <f>AB217+AC217</f>
        <v>0</v>
      </c>
      <c r="AB217" s="9">
        <v>0</v>
      </c>
      <c r="AC217" s="9">
        <v>0</v>
      </c>
      <c r="AD217" s="44">
        <f t="shared" si="117"/>
        <v>3854719.1199999996</v>
      </c>
      <c r="AE217" s="9">
        <v>0</v>
      </c>
      <c r="AF217" s="9">
        <f>AD217+AE217</f>
        <v>3854719.1199999996</v>
      </c>
      <c r="AG217" s="59" t="s">
        <v>515</v>
      </c>
      <c r="AH217" s="59" t="s">
        <v>2133</v>
      </c>
      <c r="AI217" s="1">
        <f>19470.95+79241.25+59313</f>
        <v>158025.20000000001</v>
      </c>
      <c r="AJ217" s="1">
        <f>2977.91+12119.25+9071.4</f>
        <v>24168.559999999998</v>
      </c>
    </row>
    <row r="218" spans="1:36" ht="283.5" x14ac:dyDescent="0.25">
      <c r="A218" s="5">
        <f t="shared" si="118"/>
        <v>215</v>
      </c>
      <c r="B218" s="15">
        <v>135378</v>
      </c>
      <c r="C218" s="5">
        <v>795</v>
      </c>
      <c r="D218" s="40" t="s">
        <v>1985</v>
      </c>
      <c r="E218" s="17" t="s">
        <v>1701</v>
      </c>
      <c r="F218" s="8" t="s">
        <v>1845</v>
      </c>
      <c r="G218" s="5" t="s">
        <v>1029</v>
      </c>
      <c r="H218" s="5" t="s">
        <v>151</v>
      </c>
      <c r="I218" s="41" t="s">
        <v>1846</v>
      </c>
      <c r="J218" s="2">
        <v>44001</v>
      </c>
      <c r="K218" s="2">
        <v>44700</v>
      </c>
      <c r="L218" s="16">
        <f>R218/AD218*100</f>
        <v>85.000000232719501</v>
      </c>
      <c r="M218" s="5">
        <v>1</v>
      </c>
      <c r="N218" s="5" t="s">
        <v>891</v>
      </c>
      <c r="O218" s="5" t="s">
        <v>1029</v>
      </c>
      <c r="P218" s="3" t="s">
        <v>174</v>
      </c>
      <c r="Q218" s="5" t="s">
        <v>1714</v>
      </c>
      <c r="R218" s="9">
        <f>S218+T218</f>
        <v>2739349.45</v>
      </c>
      <c r="S218" s="9">
        <v>2739349.45</v>
      </c>
      <c r="T218" s="9">
        <v>0</v>
      </c>
      <c r="U218" s="4">
        <f>V218+W218</f>
        <v>418959.32</v>
      </c>
      <c r="V218" s="53">
        <v>418959.32</v>
      </c>
      <c r="W218" s="53">
        <v>0</v>
      </c>
      <c r="X218" s="4">
        <f>Y218+Z218</f>
        <v>64455.28</v>
      </c>
      <c r="Y218" s="9">
        <v>64455.28</v>
      </c>
      <c r="Z218" s="9">
        <v>0</v>
      </c>
      <c r="AA218" s="9">
        <f>AB218+AC218</f>
        <v>0</v>
      </c>
      <c r="AB218" s="9">
        <v>0</v>
      </c>
      <c r="AC218" s="9">
        <v>0</v>
      </c>
      <c r="AD218" s="44">
        <f t="shared" si="117"/>
        <v>3222764.05</v>
      </c>
      <c r="AE218" s="9">
        <v>0</v>
      </c>
      <c r="AF218" s="9">
        <f>AD218+AE218</f>
        <v>3222764.05</v>
      </c>
      <c r="AG218" s="59" t="s">
        <v>515</v>
      </c>
      <c r="AH218" s="59" t="s">
        <v>2188</v>
      </c>
      <c r="AI218" s="1">
        <f>122320.43+70052.75</f>
        <v>192373.18</v>
      </c>
      <c r="AJ218" s="1">
        <f>18707.84+10713.95</f>
        <v>29421.79</v>
      </c>
    </row>
    <row r="219" spans="1:36" ht="283.5" x14ac:dyDescent="0.25">
      <c r="A219" s="5">
        <f t="shared" si="118"/>
        <v>216</v>
      </c>
      <c r="B219" s="15">
        <v>120572</v>
      </c>
      <c r="C219" s="6">
        <v>82</v>
      </c>
      <c r="D219" s="40" t="s">
        <v>1985</v>
      </c>
      <c r="E219" s="17" t="s">
        <v>278</v>
      </c>
      <c r="F219" s="8" t="s">
        <v>267</v>
      </c>
      <c r="G219" s="5" t="s">
        <v>268</v>
      </c>
      <c r="H219" s="5" t="s">
        <v>151</v>
      </c>
      <c r="I219" s="41" t="s">
        <v>666</v>
      </c>
      <c r="J219" s="2">
        <v>43171</v>
      </c>
      <c r="K219" s="2">
        <v>43658</v>
      </c>
      <c r="L219" s="16">
        <f>R219/AD219*100</f>
        <v>85.000000359311386</v>
      </c>
      <c r="M219" s="5">
        <v>4</v>
      </c>
      <c r="N219" s="5" t="s">
        <v>269</v>
      </c>
      <c r="O219" s="5" t="s">
        <v>270</v>
      </c>
      <c r="P219" s="3" t="s">
        <v>174</v>
      </c>
      <c r="Q219" s="5" t="s">
        <v>34</v>
      </c>
      <c r="R219" s="4">
        <f>S219+T219</f>
        <v>354845.43</v>
      </c>
      <c r="S219" s="9">
        <v>354845.43</v>
      </c>
      <c r="T219" s="9">
        <v>0</v>
      </c>
      <c r="U219" s="4">
        <f>V219+W219</f>
        <v>54270.48</v>
      </c>
      <c r="V219" s="53">
        <v>54270.48</v>
      </c>
      <c r="W219" s="53">
        <v>0</v>
      </c>
      <c r="X219" s="4">
        <f>Y219+Z219</f>
        <v>8349.2999999999993</v>
      </c>
      <c r="Y219" s="9">
        <v>8349.2999999999993</v>
      </c>
      <c r="Z219" s="9">
        <v>0</v>
      </c>
      <c r="AA219" s="9">
        <f>AB219+AC219</f>
        <v>0</v>
      </c>
      <c r="AB219" s="9">
        <v>0</v>
      </c>
      <c r="AC219" s="9">
        <v>0</v>
      </c>
      <c r="AD219" s="44">
        <f t="shared" si="117"/>
        <v>417465.20999999996</v>
      </c>
      <c r="AE219" s="9">
        <v>0</v>
      </c>
      <c r="AF219" s="9">
        <f>AD219+AE219</f>
        <v>417465.20999999996</v>
      </c>
      <c r="AG219" s="49" t="s">
        <v>966</v>
      </c>
      <c r="AH219" s="13" t="s">
        <v>151</v>
      </c>
      <c r="AI219" s="1">
        <v>326317.06</v>
      </c>
      <c r="AJ219" s="1">
        <v>49907.31</v>
      </c>
    </row>
    <row r="220" spans="1:36" ht="141.75" x14ac:dyDescent="0.25">
      <c r="A220" s="5">
        <f t="shared" si="118"/>
        <v>217</v>
      </c>
      <c r="B220" s="15">
        <v>118183</v>
      </c>
      <c r="C220" s="5">
        <v>422</v>
      </c>
      <c r="D220" s="8" t="s">
        <v>1986</v>
      </c>
      <c r="E220" s="17" t="s">
        <v>540</v>
      </c>
      <c r="F220" s="8" t="s">
        <v>665</v>
      </c>
      <c r="G220" s="5" t="s">
        <v>268</v>
      </c>
      <c r="H220" s="5" t="s">
        <v>151</v>
      </c>
      <c r="I220" s="8" t="s">
        <v>667</v>
      </c>
      <c r="J220" s="2">
        <v>43290</v>
      </c>
      <c r="K220" s="2">
        <v>43778</v>
      </c>
      <c r="L220" s="16">
        <f>R220/AD220*100</f>
        <v>85.000012009815109</v>
      </c>
      <c r="M220" s="5">
        <v>4</v>
      </c>
      <c r="N220" s="5" t="s">
        <v>269</v>
      </c>
      <c r="O220" s="5" t="s">
        <v>270</v>
      </c>
      <c r="P220" s="3" t="s">
        <v>174</v>
      </c>
      <c r="Q220" s="5" t="s">
        <v>668</v>
      </c>
      <c r="R220" s="4">
        <f>S220+T220</f>
        <v>247714.09</v>
      </c>
      <c r="S220" s="9">
        <v>247714.09</v>
      </c>
      <c r="T220" s="9">
        <v>0</v>
      </c>
      <c r="U220" s="4">
        <f>V220+W220</f>
        <v>37885.64</v>
      </c>
      <c r="V220" s="71">
        <v>37885.64</v>
      </c>
      <c r="W220" s="53">
        <v>0</v>
      </c>
      <c r="X220" s="4">
        <f>Y220+Z220</f>
        <v>5828.57</v>
      </c>
      <c r="Y220" s="1">
        <v>5828.57</v>
      </c>
      <c r="Z220" s="9">
        <v>0</v>
      </c>
      <c r="AA220" s="9">
        <f>AB220+AC220</f>
        <v>0</v>
      </c>
      <c r="AB220" s="9">
        <v>0</v>
      </c>
      <c r="AC220" s="9">
        <v>0</v>
      </c>
      <c r="AD220" s="44">
        <f t="shared" si="117"/>
        <v>291428.3</v>
      </c>
      <c r="AE220" s="9">
        <v>0</v>
      </c>
      <c r="AF220" s="9">
        <f>AD220+AE220</f>
        <v>291428.3</v>
      </c>
      <c r="AG220" s="49" t="s">
        <v>966</v>
      </c>
      <c r="AH220" s="13" t="s">
        <v>1174</v>
      </c>
      <c r="AI220" s="1">
        <v>240263.28999999998</v>
      </c>
      <c r="AJ220" s="1">
        <v>36977.890000000021</v>
      </c>
    </row>
    <row r="221" spans="1:36" ht="141.75" x14ac:dyDescent="0.25">
      <c r="A221" s="5">
        <f t="shared" si="118"/>
        <v>218</v>
      </c>
      <c r="B221" s="15">
        <v>126174</v>
      </c>
      <c r="C221" s="5">
        <v>534</v>
      </c>
      <c r="D221" s="40" t="s">
        <v>1985</v>
      </c>
      <c r="E221" s="5" t="s">
        <v>1018</v>
      </c>
      <c r="F221" s="8" t="s">
        <v>1071</v>
      </c>
      <c r="G221" s="5" t="s">
        <v>1072</v>
      </c>
      <c r="H221" s="5" t="s">
        <v>151</v>
      </c>
      <c r="I221" s="41" t="s">
        <v>1073</v>
      </c>
      <c r="J221" s="2">
        <v>43447</v>
      </c>
      <c r="K221" s="2">
        <v>44543</v>
      </c>
      <c r="L221" s="16">
        <f>R221/AD221*100</f>
        <v>85.000000333995757</v>
      </c>
      <c r="M221" s="5">
        <v>4</v>
      </c>
      <c r="N221" s="5" t="s">
        <v>269</v>
      </c>
      <c r="O221" s="5" t="s">
        <v>270</v>
      </c>
      <c r="P221" s="3" t="s">
        <v>174</v>
      </c>
      <c r="Q221" s="5" t="s">
        <v>34</v>
      </c>
      <c r="R221" s="4">
        <f>S221+T221</f>
        <v>2544942.5099999998</v>
      </c>
      <c r="S221" s="9">
        <v>2544942.5099999998</v>
      </c>
      <c r="T221" s="9">
        <v>0</v>
      </c>
      <c r="U221" s="4">
        <f>V221+W221</f>
        <v>389226.49</v>
      </c>
      <c r="V221" s="71">
        <v>389226.49</v>
      </c>
      <c r="W221" s="53">
        <v>0</v>
      </c>
      <c r="X221" s="4">
        <f>Y221+Z221</f>
        <v>59881</v>
      </c>
      <c r="Y221" s="1">
        <v>59881</v>
      </c>
      <c r="Z221" s="9">
        <v>0</v>
      </c>
      <c r="AA221" s="9">
        <f>AB221+AC221</f>
        <v>0</v>
      </c>
      <c r="AB221" s="9">
        <v>0</v>
      </c>
      <c r="AC221" s="9">
        <v>0</v>
      </c>
      <c r="AD221" s="44">
        <f t="shared" si="117"/>
        <v>2994050</v>
      </c>
      <c r="AE221" s="9">
        <v>0</v>
      </c>
      <c r="AF221" s="9">
        <f>AD221+AE221</f>
        <v>2994050</v>
      </c>
      <c r="AG221" s="59" t="s">
        <v>515</v>
      </c>
      <c r="AH221" s="59" t="s">
        <v>2119</v>
      </c>
      <c r="AI221" s="1">
        <v>34289.85</v>
      </c>
      <c r="AJ221" s="1">
        <v>5244.33</v>
      </c>
    </row>
    <row r="222" spans="1:36" ht="204.75" x14ac:dyDescent="0.25">
      <c r="A222" s="5">
        <f t="shared" si="118"/>
        <v>219</v>
      </c>
      <c r="B222" s="15">
        <v>129739</v>
      </c>
      <c r="C222" s="5">
        <v>688</v>
      </c>
      <c r="D222" s="40" t="s">
        <v>1985</v>
      </c>
      <c r="E222" s="8" t="s">
        <v>1246</v>
      </c>
      <c r="F222" s="8" t="s">
        <v>1478</v>
      </c>
      <c r="G222" s="5" t="s">
        <v>268</v>
      </c>
      <c r="H222" s="5" t="s">
        <v>151</v>
      </c>
      <c r="I222" s="41" t="s">
        <v>1479</v>
      </c>
      <c r="J222" s="2">
        <v>43712</v>
      </c>
      <c r="K222" s="2">
        <v>44624</v>
      </c>
      <c r="L222" s="16">
        <f>R222/AD222*100</f>
        <v>85.000000000000014</v>
      </c>
      <c r="M222" s="5">
        <v>4</v>
      </c>
      <c r="N222" s="5" t="s">
        <v>269</v>
      </c>
      <c r="O222" s="5" t="s">
        <v>270</v>
      </c>
      <c r="P222" s="3" t="s">
        <v>174</v>
      </c>
      <c r="Q222" s="5" t="s">
        <v>34</v>
      </c>
      <c r="R222" s="4">
        <f>S222+T222</f>
        <v>3309254.34</v>
      </c>
      <c r="S222" s="9">
        <v>3309254.34</v>
      </c>
      <c r="T222" s="9">
        <v>0</v>
      </c>
      <c r="U222" s="4">
        <f>V222+W222</f>
        <v>506121.26</v>
      </c>
      <c r="V222" s="71">
        <v>506121.26</v>
      </c>
      <c r="W222" s="53">
        <v>0</v>
      </c>
      <c r="X222" s="4">
        <f>Y222+Z222</f>
        <v>77864.800000000003</v>
      </c>
      <c r="Y222" s="1">
        <v>77864.800000000003</v>
      </c>
      <c r="Z222" s="9">
        <v>0</v>
      </c>
      <c r="AA222" s="9">
        <f>AB222+AC222</f>
        <v>0</v>
      </c>
      <c r="AB222" s="9">
        <v>0</v>
      </c>
      <c r="AC222" s="9">
        <v>0</v>
      </c>
      <c r="AD222" s="44">
        <f t="shared" si="117"/>
        <v>3893240.3999999994</v>
      </c>
      <c r="AE222" s="9">
        <v>0</v>
      </c>
      <c r="AF222" s="9">
        <f>AD222+AE222</f>
        <v>3893240.3999999994</v>
      </c>
      <c r="AG222" s="59" t="s">
        <v>515</v>
      </c>
      <c r="AH222" s="13" t="s">
        <v>2195</v>
      </c>
      <c r="AI222" s="1">
        <f>74556.48+32940.05+44383.6+47957</f>
        <v>199837.13</v>
      </c>
      <c r="AJ222" s="1">
        <f>8357.89+3044.86+5037.89+6788.08+7334.6</f>
        <v>30563.32</v>
      </c>
    </row>
    <row r="223" spans="1:36" ht="141.75" x14ac:dyDescent="0.25">
      <c r="A223" s="5">
        <f t="shared" si="118"/>
        <v>220</v>
      </c>
      <c r="B223" s="15">
        <v>129726</v>
      </c>
      <c r="C223" s="5">
        <v>682</v>
      </c>
      <c r="D223" s="40" t="s">
        <v>1985</v>
      </c>
      <c r="E223" s="8" t="s">
        <v>1246</v>
      </c>
      <c r="F223" s="8" t="s">
        <v>1576</v>
      </c>
      <c r="G223" s="5" t="s">
        <v>1575</v>
      </c>
      <c r="H223" s="5" t="s">
        <v>1151</v>
      </c>
      <c r="I223" s="41" t="s">
        <v>1577</v>
      </c>
      <c r="J223" s="2">
        <v>43767</v>
      </c>
      <c r="K223" s="2">
        <v>44680</v>
      </c>
      <c r="L223" s="16">
        <f>R223/AD223*100</f>
        <v>84.185745988543189</v>
      </c>
      <c r="M223" s="5">
        <v>4</v>
      </c>
      <c r="N223" s="5" t="s">
        <v>269</v>
      </c>
      <c r="O223" s="5" t="s">
        <v>270</v>
      </c>
      <c r="P223" s="3" t="s">
        <v>174</v>
      </c>
      <c r="Q223" s="5" t="s">
        <v>34</v>
      </c>
      <c r="R223" s="4">
        <f>S223+T223</f>
        <v>2817971.65</v>
      </c>
      <c r="S223" s="9">
        <v>2817971.65</v>
      </c>
      <c r="T223" s="9">
        <v>0</v>
      </c>
      <c r="U223" s="4">
        <f>V223+W223</f>
        <v>462408.16</v>
      </c>
      <c r="V223" s="71">
        <v>462408.16</v>
      </c>
      <c r="W223" s="53">
        <v>0</v>
      </c>
      <c r="X223" s="4">
        <f>Y223+Z223</f>
        <v>34880.949999999997</v>
      </c>
      <c r="Y223" s="1">
        <v>34880.949999999997</v>
      </c>
      <c r="Z223" s="9">
        <v>0</v>
      </c>
      <c r="AA223" s="9">
        <f>AB223+AC223</f>
        <v>32065.58</v>
      </c>
      <c r="AB223" s="9">
        <v>32065.58</v>
      </c>
      <c r="AC223" s="9">
        <v>0</v>
      </c>
      <c r="AD223" s="44">
        <f t="shared" si="117"/>
        <v>3347326.3400000003</v>
      </c>
      <c r="AE223" s="9">
        <v>0</v>
      </c>
      <c r="AF223" s="9">
        <f>AD223+AE223</f>
        <v>3347326.3400000003</v>
      </c>
      <c r="AG223" s="59" t="s">
        <v>515</v>
      </c>
      <c r="AH223" s="13"/>
      <c r="AI223" s="1">
        <f>199177.47-24965.12+119966.25-12010.44-4586.99+140649.56-21568.21+332867.63+143788.11+105707.7</f>
        <v>979025.95999999985</v>
      </c>
      <c r="AJ223" s="1">
        <f>2899.87+24965.12+12010.44+4586.99+21568.21+58741.35+18654.3</f>
        <v>143426.28</v>
      </c>
    </row>
    <row r="224" spans="1:36" ht="189" x14ac:dyDescent="0.25">
      <c r="A224" s="5">
        <f t="shared" si="118"/>
        <v>221</v>
      </c>
      <c r="B224" s="15">
        <v>120801</v>
      </c>
      <c r="C224" s="6">
        <v>87</v>
      </c>
      <c r="D224" s="40" t="s">
        <v>1985</v>
      </c>
      <c r="E224" s="17" t="s">
        <v>278</v>
      </c>
      <c r="F224" s="8" t="s">
        <v>252</v>
      </c>
      <c r="G224" s="5" t="s">
        <v>1512</v>
      </c>
      <c r="H224" s="5" t="s">
        <v>253</v>
      </c>
      <c r="I224" s="41" t="s">
        <v>254</v>
      </c>
      <c r="J224" s="2">
        <v>43166</v>
      </c>
      <c r="K224" s="2">
        <v>43653</v>
      </c>
      <c r="L224" s="16">
        <f t="shared" ref="L224:L231" si="126">R224/AD224*100</f>
        <v>84.168038598864953</v>
      </c>
      <c r="M224" s="5">
        <v>3</v>
      </c>
      <c r="N224" s="5" t="s">
        <v>255</v>
      </c>
      <c r="O224" s="5" t="s">
        <v>256</v>
      </c>
      <c r="P224" s="3" t="s">
        <v>174</v>
      </c>
      <c r="Q224" s="5" t="s">
        <v>34</v>
      </c>
      <c r="R224" s="4">
        <f t="shared" ref="R224:R231" si="127">S224+T224</f>
        <v>357481.33</v>
      </c>
      <c r="S224" s="9">
        <v>357481.33</v>
      </c>
      <c r="T224" s="9">
        <v>0</v>
      </c>
      <c r="U224" s="4">
        <f t="shared" ref="U224:U231" si="128">V224+W224</f>
        <v>58747.57</v>
      </c>
      <c r="V224" s="53">
        <v>58747.57</v>
      </c>
      <c r="W224" s="53">
        <v>0</v>
      </c>
      <c r="X224" s="4">
        <f t="shared" ref="X224:X231" si="129">Y224+Z224</f>
        <v>8494.4699999999993</v>
      </c>
      <c r="Y224" s="9">
        <v>8494.4699999999993</v>
      </c>
      <c r="Z224" s="9">
        <v>0</v>
      </c>
      <c r="AA224" s="9">
        <f t="shared" ref="AA224:AA231" si="130">AB224+AC224</f>
        <v>0</v>
      </c>
      <c r="AB224" s="9">
        <v>0</v>
      </c>
      <c r="AC224" s="9">
        <v>0</v>
      </c>
      <c r="AD224" s="44">
        <f t="shared" si="117"/>
        <v>424723.37</v>
      </c>
      <c r="AE224" s="9">
        <v>0</v>
      </c>
      <c r="AF224" s="9">
        <f t="shared" ref="AF224:AF231" si="131">AD224+AE224</f>
        <v>424723.37</v>
      </c>
      <c r="AG224" s="49" t="s">
        <v>966</v>
      </c>
      <c r="AH224" s="13" t="s">
        <v>151</v>
      </c>
      <c r="AI224" s="1">
        <v>301291.38999999996</v>
      </c>
      <c r="AJ224" s="1">
        <v>49583.64</v>
      </c>
    </row>
    <row r="225" spans="1:36" ht="189" x14ac:dyDescent="0.25">
      <c r="A225" s="5">
        <f t="shared" si="118"/>
        <v>222</v>
      </c>
      <c r="B225" s="15">
        <v>119511</v>
      </c>
      <c r="C225" s="5">
        <v>464</v>
      </c>
      <c r="D225" s="40" t="s">
        <v>1985</v>
      </c>
      <c r="E225" s="5" t="s">
        <v>474</v>
      </c>
      <c r="F225" s="8" t="s">
        <v>475</v>
      </c>
      <c r="G225" s="5" t="s">
        <v>476</v>
      </c>
      <c r="H225" s="5" t="s">
        <v>296</v>
      </c>
      <c r="I225" s="8" t="s">
        <v>477</v>
      </c>
      <c r="J225" s="2">
        <v>43257</v>
      </c>
      <c r="K225" s="2">
        <v>43744</v>
      </c>
      <c r="L225" s="16">
        <f t="shared" si="126"/>
        <v>85.000000259943448</v>
      </c>
      <c r="M225" s="6">
        <v>3</v>
      </c>
      <c r="N225" s="5" t="s">
        <v>369</v>
      </c>
      <c r="O225" s="5" t="s">
        <v>256</v>
      </c>
      <c r="P225" s="5" t="s">
        <v>174</v>
      </c>
      <c r="Q225" s="5" t="s">
        <v>478</v>
      </c>
      <c r="R225" s="4">
        <f t="shared" si="127"/>
        <v>490491.32</v>
      </c>
      <c r="S225" s="9">
        <v>490491.32</v>
      </c>
      <c r="T225" s="9">
        <v>0</v>
      </c>
      <c r="U225" s="4">
        <f t="shared" si="128"/>
        <v>75016.320000000007</v>
      </c>
      <c r="V225" s="53">
        <v>75016.320000000007</v>
      </c>
      <c r="W225" s="53">
        <v>0</v>
      </c>
      <c r="X225" s="4">
        <f t="shared" si="129"/>
        <v>11540.97</v>
      </c>
      <c r="Y225" s="1">
        <v>11540.97</v>
      </c>
      <c r="Z225" s="1">
        <v>0</v>
      </c>
      <c r="AA225" s="9">
        <f t="shared" si="130"/>
        <v>0</v>
      </c>
      <c r="AB225" s="9">
        <v>0</v>
      </c>
      <c r="AC225" s="9">
        <v>0</v>
      </c>
      <c r="AD225" s="44">
        <f t="shared" si="117"/>
        <v>577048.61</v>
      </c>
      <c r="AE225" s="59">
        <v>0</v>
      </c>
      <c r="AF225" s="9">
        <f t="shared" si="131"/>
        <v>577048.61</v>
      </c>
      <c r="AG225" s="49" t="s">
        <v>966</v>
      </c>
      <c r="AH225" s="59" t="s">
        <v>1144</v>
      </c>
      <c r="AI225" s="1">
        <v>469162.02000000008</v>
      </c>
      <c r="AJ225" s="1">
        <v>71754.200000000012</v>
      </c>
    </row>
    <row r="226" spans="1:36" ht="189" x14ac:dyDescent="0.25">
      <c r="A226" s="5">
        <f t="shared" si="118"/>
        <v>223</v>
      </c>
      <c r="B226" s="15">
        <v>118799</v>
      </c>
      <c r="C226" s="5">
        <v>447</v>
      </c>
      <c r="D226" s="8" t="s">
        <v>1986</v>
      </c>
      <c r="E226" s="8" t="s">
        <v>540</v>
      </c>
      <c r="F226" s="8" t="s">
        <v>1015</v>
      </c>
      <c r="G226" s="5" t="s">
        <v>1512</v>
      </c>
      <c r="H226" s="5" t="s">
        <v>1016</v>
      </c>
      <c r="I226" s="8" t="s">
        <v>1017</v>
      </c>
      <c r="J226" s="2">
        <v>43425</v>
      </c>
      <c r="K226" s="2">
        <v>43911</v>
      </c>
      <c r="L226" s="16">
        <f t="shared" si="126"/>
        <v>84.156466663338946</v>
      </c>
      <c r="M226" s="5">
        <v>3</v>
      </c>
      <c r="N226" s="5" t="s">
        <v>255</v>
      </c>
      <c r="O226" s="5" t="s">
        <v>256</v>
      </c>
      <c r="P226" s="3" t="s">
        <v>174</v>
      </c>
      <c r="Q226" s="5" t="s">
        <v>34</v>
      </c>
      <c r="R226" s="4">
        <f t="shared" si="127"/>
        <v>242273.6</v>
      </c>
      <c r="S226" s="9">
        <v>242273.6</v>
      </c>
      <c r="T226" s="9">
        <v>0</v>
      </c>
      <c r="U226" s="4">
        <f t="shared" si="128"/>
        <v>39853.410000000003</v>
      </c>
      <c r="V226" s="53">
        <v>39853.410000000003</v>
      </c>
      <c r="W226" s="53">
        <v>0</v>
      </c>
      <c r="X226" s="4">
        <f t="shared" si="129"/>
        <v>2900.76</v>
      </c>
      <c r="Y226" s="1">
        <v>2900.76</v>
      </c>
      <c r="Z226" s="1">
        <v>0</v>
      </c>
      <c r="AA226" s="9">
        <f t="shared" si="130"/>
        <v>2856.94</v>
      </c>
      <c r="AB226" s="9">
        <v>2856.94</v>
      </c>
      <c r="AC226" s="9">
        <v>0</v>
      </c>
      <c r="AD226" s="44">
        <f t="shared" si="117"/>
        <v>287884.71000000002</v>
      </c>
      <c r="AE226" s="59">
        <v>0</v>
      </c>
      <c r="AF226" s="9">
        <f t="shared" si="131"/>
        <v>287884.71000000002</v>
      </c>
      <c r="AG226" s="59" t="s">
        <v>966</v>
      </c>
      <c r="AH226" s="59" t="s">
        <v>1423</v>
      </c>
      <c r="AI226" s="1">
        <v>230490.21</v>
      </c>
      <c r="AJ226" s="1">
        <v>38021.11</v>
      </c>
    </row>
    <row r="227" spans="1:36" ht="255" customHeight="1" x14ac:dyDescent="0.25">
      <c r="A227" s="5">
        <f t="shared" si="118"/>
        <v>224</v>
      </c>
      <c r="B227" s="15">
        <v>126115</v>
      </c>
      <c r="C227" s="5">
        <v>542</v>
      </c>
      <c r="D227" s="40" t="s">
        <v>1985</v>
      </c>
      <c r="E227" s="8" t="s">
        <v>1018</v>
      </c>
      <c r="F227" s="8" t="s">
        <v>1205</v>
      </c>
      <c r="G227" s="5" t="s">
        <v>476</v>
      </c>
      <c r="H227" s="5" t="s">
        <v>362</v>
      </c>
      <c r="I227" s="60" t="s">
        <v>1206</v>
      </c>
      <c r="J227" s="2">
        <v>43564</v>
      </c>
      <c r="K227" s="2">
        <v>44295</v>
      </c>
      <c r="L227" s="16">
        <f t="shared" si="126"/>
        <v>85.000000984188233</v>
      </c>
      <c r="M227" s="5">
        <v>3</v>
      </c>
      <c r="N227" s="5" t="s">
        <v>255</v>
      </c>
      <c r="O227" s="5" t="s">
        <v>476</v>
      </c>
      <c r="P227" s="3" t="s">
        <v>174</v>
      </c>
      <c r="Q227" s="5" t="s">
        <v>34</v>
      </c>
      <c r="R227" s="4">
        <f t="shared" si="127"/>
        <v>431827.97</v>
      </c>
      <c r="S227" s="9">
        <v>431827.97</v>
      </c>
      <c r="T227" s="9">
        <v>0</v>
      </c>
      <c r="U227" s="4">
        <f t="shared" si="128"/>
        <v>66044.27</v>
      </c>
      <c r="V227" s="53">
        <v>66044.27</v>
      </c>
      <c r="W227" s="53">
        <v>0</v>
      </c>
      <c r="X227" s="4">
        <f t="shared" si="129"/>
        <v>10160.66</v>
      </c>
      <c r="Y227" s="1">
        <v>10160.66</v>
      </c>
      <c r="Z227" s="1">
        <v>0</v>
      </c>
      <c r="AA227" s="9">
        <f t="shared" si="130"/>
        <v>0</v>
      </c>
      <c r="AB227" s="159">
        <v>0</v>
      </c>
      <c r="AC227" s="159">
        <v>0</v>
      </c>
      <c r="AD227" s="44">
        <f t="shared" si="117"/>
        <v>508032.89999999997</v>
      </c>
      <c r="AE227" s="1">
        <v>0</v>
      </c>
      <c r="AF227" s="9">
        <f t="shared" si="131"/>
        <v>508032.89999999997</v>
      </c>
      <c r="AG227" s="59" t="s">
        <v>966</v>
      </c>
      <c r="AH227" s="59" t="s">
        <v>2110</v>
      </c>
      <c r="AI227" s="1">
        <f>126250.71+35445.43+90788.91+110245+22529.93</f>
        <v>385259.98000000004</v>
      </c>
      <c r="AJ227" s="1">
        <f>19308.93+5421.06+13885.38+16861+3445.77</f>
        <v>58922.14</v>
      </c>
    </row>
    <row r="228" spans="1:36" ht="141.75" x14ac:dyDescent="0.25">
      <c r="A228" s="5">
        <f t="shared" si="118"/>
        <v>225</v>
      </c>
      <c r="B228" s="15">
        <v>129261</v>
      </c>
      <c r="C228" s="5">
        <v>648</v>
      </c>
      <c r="D228" s="40" t="s">
        <v>1985</v>
      </c>
      <c r="E228" s="8" t="s">
        <v>1246</v>
      </c>
      <c r="F228" s="55" t="s">
        <v>1313</v>
      </c>
      <c r="G228" s="5" t="s">
        <v>2010</v>
      </c>
      <c r="H228" s="5" t="s">
        <v>151</v>
      </c>
      <c r="I228" s="8" t="s">
        <v>1314</v>
      </c>
      <c r="J228" s="2">
        <v>43643</v>
      </c>
      <c r="K228" s="2">
        <v>44192</v>
      </c>
      <c r="L228" s="16">
        <f t="shared" si="126"/>
        <v>84.999999897463027</v>
      </c>
      <c r="M228" s="5">
        <v>3</v>
      </c>
      <c r="N228" s="5" t="s">
        <v>255</v>
      </c>
      <c r="O228" s="5" t="s">
        <v>476</v>
      </c>
      <c r="P228" s="3" t="s">
        <v>174</v>
      </c>
      <c r="Q228" s="5" t="s">
        <v>34</v>
      </c>
      <c r="R228" s="4">
        <f t="shared" si="127"/>
        <v>2486907.71</v>
      </c>
      <c r="S228" s="9">
        <v>2486907.71</v>
      </c>
      <c r="T228" s="9">
        <v>0</v>
      </c>
      <c r="U228" s="4">
        <f t="shared" si="128"/>
        <v>380350.59</v>
      </c>
      <c r="V228" s="53">
        <v>380350.59</v>
      </c>
      <c r="W228" s="53">
        <v>0</v>
      </c>
      <c r="X228" s="4">
        <f t="shared" si="129"/>
        <v>58515.48</v>
      </c>
      <c r="Y228" s="1">
        <v>58515.48</v>
      </c>
      <c r="Z228" s="1">
        <v>0</v>
      </c>
      <c r="AA228" s="9">
        <f t="shared" si="130"/>
        <v>0</v>
      </c>
      <c r="AB228" s="159">
        <v>0</v>
      </c>
      <c r="AC228" s="159">
        <v>0</v>
      </c>
      <c r="AD228" s="44">
        <f t="shared" si="117"/>
        <v>2925773.78</v>
      </c>
      <c r="AE228" s="1">
        <v>0</v>
      </c>
      <c r="AF228" s="9">
        <f t="shared" si="131"/>
        <v>2925773.78</v>
      </c>
      <c r="AG228" s="59" t="s">
        <v>966</v>
      </c>
      <c r="AH228" s="11"/>
      <c r="AI228" s="1">
        <f>189771.86+645544.81+801375.41+295276.91+481390.7</f>
        <v>2413359.69</v>
      </c>
      <c r="AJ228" s="1">
        <f>29023.93+98730.39+122563.3+45160+73624.45</f>
        <v>369102.07</v>
      </c>
    </row>
    <row r="229" spans="1:36" ht="204.75" x14ac:dyDescent="0.25">
      <c r="A229" s="5">
        <f t="shared" si="118"/>
        <v>226</v>
      </c>
      <c r="B229" s="15">
        <v>129205</v>
      </c>
      <c r="C229" s="5">
        <v>684</v>
      </c>
      <c r="D229" s="40" t="s">
        <v>1985</v>
      </c>
      <c r="E229" s="8" t="s">
        <v>1246</v>
      </c>
      <c r="F229" s="55" t="s">
        <v>1336</v>
      </c>
      <c r="G229" s="5" t="s">
        <v>476</v>
      </c>
      <c r="H229" s="5" t="s">
        <v>151</v>
      </c>
      <c r="I229" s="8" t="s">
        <v>1337</v>
      </c>
      <c r="J229" s="2">
        <v>43654</v>
      </c>
      <c r="K229" s="2">
        <v>44569</v>
      </c>
      <c r="L229" s="16">
        <f t="shared" si="126"/>
        <v>84.99999990778575</v>
      </c>
      <c r="M229" s="5">
        <v>3</v>
      </c>
      <c r="N229" s="5" t="s">
        <v>255</v>
      </c>
      <c r="O229" s="5" t="s">
        <v>476</v>
      </c>
      <c r="P229" s="3" t="s">
        <v>174</v>
      </c>
      <c r="Q229" s="5" t="s">
        <v>34</v>
      </c>
      <c r="R229" s="4">
        <f t="shared" si="127"/>
        <v>2304415.83</v>
      </c>
      <c r="S229" s="9">
        <v>2304415.83</v>
      </c>
      <c r="T229" s="9">
        <v>0</v>
      </c>
      <c r="U229" s="4">
        <f t="shared" si="128"/>
        <v>352440.07</v>
      </c>
      <c r="V229" s="53">
        <v>352440.07</v>
      </c>
      <c r="W229" s="53">
        <v>0</v>
      </c>
      <c r="X229" s="4">
        <f t="shared" si="129"/>
        <v>54221.55</v>
      </c>
      <c r="Y229" s="1">
        <v>54221.55</v>
      </c>
      <c r="Z229" s="1">
        <v>0</v>
      </c>
      <c r="AA229" s="9">
        <f t="shared" si="130"/>
        <v>0</v>
      </c>
      <c r="AB229" s="159">
        <v>0</v>
      </c>
      <c r="AC229" s="159">
        <v>0</v>
      </c>
      <c r="AD229" s="44">
        <f t="shared" si="117"/>
        <v>2711077.4499999997</v>
      </c>
      <c r="AE229" s="1"/>
      <c r="AF229" s="9">
        <f t="shared" si="131"/>
        <v>2711077.4499999997</v>
      </c>
      <c r="AG229" s="59" t="s">
        <v>515</v>
      </c>
      <c r="AH229" s="59" t="s">
        <v>1720</v>
      </c>
      <c r="AI229" s="1">
        <f>111097.45+8767.75+11449.87+143539.57+184093+3646.86</f>
        <v>462594.5</v>
      </c>
      <c r="AJ229" s="1">
        <f>16991.35+1340.95+1751.15+21953.11+28155.4+557.75</f>
        <v>70749.709999999992</v>
      </c>
    </row>
    <row r="230" spans="1:36" ht="270.75" customHeight="1" x14ac:dyDescent="0.25">
      <c r="A230" s="5">
        <f t="shared" si="118"/>
        <v>227</v>
      </c>
      <c r="B230" s="15">
        <v>129737</v>
      </c>
      <c r="C230" s="5">
        <v>689</v>
      </c>
      <c r="D230" s="40" t="s">
        <v>1985</v>
      </c>
      <c r="E230" s="8" t="s">
        <v>1246</v>
      </c>
      <c r="F230" s="55" t="s">
        <v>1511</v>
      </c>
      <c r="G230" s="5" t="s">
        <v>1512</v>
      </c>
      <c r="H230" s="5" t="s">
        <v>151</v>
      </c>
      <c r="I230" s="8" t="s">
        <v>1513</v>
      </c>
      <c r="J230" s="2">
        <v>43725</v>
      </c>
      <c r="K230" s="2">
        <v>44517</v>
      </c>
      <c r="L230" s="16">
        <f t="shared" si="126"/>
        <v>85.000000163665106</v>
      </c>
      <c r="M230" s="5">
        <v>3</v>
      </c>
      <c r="N230" s="5" t="s">
        <v>255</v>
      </c>
      <c r="O230" s="5" t="s">
        <v>476</v>
      </c>
      <c r="P230" s="3" t="s">
        <v>174</v>
      </c>
      <c r="Q230" s="5" t="s">
        <v>34</v>
      </c>
      <c r="R230" s="4">
        <f t="shared" si="127"/>
        <v>3116119.5900000003</v>
      </c>
      <c r="S230" s="9">
        <v>3116119.5900000003</v>
      </c>
      <c r="T230" s="9">
        <v>0</v>
      </c>
      <c r="U230" s="4">
        <f t="shared" si="128"/>
        <v>476582.99</v>
      </c>
      <c r="V230" s="53">
        <v>476582.99</v>
      </c>
      <c r="W230" s="53">
        <v>0</v>
      </c>
      <c r="X230" s="4">
        <f t="shared" si="129"/>
        <v>73320.460000000006</v>
      </c>
      <c r="Y230" s="1">
        <v>73320.460000000006</v>
      </c>
      <c r="Z230" s="1">
        <v>0</v>
      </c>
      <c r="AA230" s="9">
        <f t="shared" si="130"/>
        <v>0</v>
      </c>
      <c r="AB230" s="159">
        <v>0</v>
      </c>
      <c r="AC230" s="159">
        <v>0</v>
      </c>
      <c r="AD230" s="44">
        <f t="shared" si="117"/>
        <v>3666023.04</v>
      </c>
      <c r="AE230" s="1">
        <v>0</v>
      </c>
      <c r="AF230" s="9">
        <f t="shared" si="131"/>
        <v>3666023.04</v>
      </c>
      <c r="AG230" s="59" t="s">
        <v>515</v>
      </c>
      <c r="AH230" s="59" t="s">
        <v>296</v>
      </c>
      <c r="AI230" s="160">
        <f>25211.85+27774.1</f>
        <v>52985.95</v>
      </c>
      <c r="AJ230" s="160">
        <f>1956.11+1899.82+4247.8</f>
        <v>8103.73</v>
      </c>
    </row>
    <row r="231" spans="1:36" ht="198" customHeight="1" x14ac:dyDescent="0.25">
      <c r="A231" s="5">
        <f t="shared" si="118"/>
        <v>228</v>
      </c>
      <c r="B231" s="15">
        <v>136182</v>
      </c>
      <c r="C231" s="5">
        <v>814</v>
      </c>
      <c r="D231" s="40" t="s">
        <v>1985</v>
      </c>
      <c r="E231" s="81" t="s">
        <v>1701</v>
      </c>
      <c r="F231" s="55" t="s">
        <v>1762</v>
      </c>
      <c r="G231" s="5" t="s">
        <v>1512</v>
      </c>
      <c r="H231" s="5" t="s">
        <v>151</v>
      </c>
      <c r="I231" s="8" t="s">
        <v>1763</v>
      </c>
      <c r="J231" s="2">
        <v>43969</v>
      </c>
      <c r="K231" s="2">
        <v>44699</v>
      </c>
      <c r="L231" s="16">
        <f t="shared" si="126"/>
        <v>85</v>
      </c>
      <c r="M231" s="5">
        <v>3</v>
      </c>
      <c r="N231" s="5" t="s">
        <v>255</v>
      </c>
      <c r="O231" s="5" t="s">
        <v>256</v>
      </c>
      <c r="P231" s="3" t="s">
        <v>174</v>
      </c>
      <c r="Q231" s="62" t="s">
        <v>34</v>
      </c>
      <c r="R231" s="4">
        <f t="shared" si="127"/>
        <v>2620035.75</v>
      </c>
      <c r="S231" s="9">
        <v>2620035.75</v>
      </c>
      <c r="T231" s="9">
        <v>0</v>
      </c>
      <c r="U231" s="4">
        <f t="shared" si="128"/>
        <v>400711.35</v>
      </c>
      <c r="V231" s="53">
        <v>400711.35</v>
      </c>
      <c r="W231" s="53">
        <v>0</v>
      </c>
      <c r="X231" s="4">
        <f t="shared" si="129"/>
        <v>61647.9</v>
      </c>
      <c r="Y231" s="1">
        <v>61647.9</v>
      </c>
      <c r="Z231" s="1">
        <v>0</v>
      </c>
      <c r="AA231" s="9">
        <f t="shared" si="130"/>
        <v>0</v>
      </c>
      <c r="AB231" s="159">
        <v>0</v>
      </c>
      <c r="AC231" s="159">
        <v>0</v>
      </c>
      <c r="AD231" s="44">
        <f t="shared" si="117"/>
        <v>3082395</v>
      </c>
      <c r="AE231" s="1">
        <v>0</v>
      </c>
      <c r="AF231" s="9">
        <f t="shared" si="131"/>
        <v>3082395</v>
      </c>
      <c r="AG231" s="59" t="s">
        <v>515</v>
      </c>
      <c r="AH231" s="59"/>
      <c r="AI231" s="160">
        <f>30823.95+292691.61-1849.35</f>
        <v>321666.21000000002</v>
      </c>
      <c r="AJ231" s="160">
        <f>2336.33+1849.35</f>
        <v>4185.68</v>
      </c>
    </row>
    <row r="232" spans="1:36" ht="141.75" x14ac:dyDescent="0.25">
      <c r="A232" s="5">
        <f t="shared" si="118"/>
        <v>229</v>
      </c>
      <c r="B232" s="15">
        <v>118062</v>
      </c>
      <c r="C232" s="6">
        <v>421</v>
      </c>
      <c r="D232" s="8" t="s">
        <v>1986</v>
      </c>
      <c r="E232" s="17" t="s">
        <v>540</v>
      </c>
      <c r="F232" s="3" t="s">
        <v>1008</v>
      </c>
      <c r="G232" s="21" t="s">
        <v>1009</v>
      </c>
      <c r="H232" s="6" t="s">
        <v>849</v>
      </c>
      <c r="I232" s="8" t="s">
        <v>1011</v>
      </c>
      <c r="J232" s="2">
        <v>43412</v>
      </c>
      <c r="K232" s="2">
        <v>43898</v>
      </c>
      <c r="L232" s="16">
        <f t="shared" ref="L232:L239" si="132">R232/AD232*100</f>
        <v>85.000007860659679</v>
      </c>
      <c r="M232" s="6">
        <v>6</v>
      </c>
      <c r="N232" s="6" t="s">
        <v>370</v>
      </c>
      <c r="O232" s="6" t="s">
        <v>297</v>
      </c>
      <c r="P232" s="121" t="s">
        <v>174</v>
      </c>
      <c r="Q232" s="3" t="s">
        <v>34</v>
      </c>
      <c r="R232" s="4">
        <f t="shared" ref="R232:R239" si="133">S232+T232</f>
        <v>308180.27</v>
      </c>
      <c r="S232" s="56">
        <v>308180.27</v>
      </c>
      <c r="T232" s="56">
        <v>0</v>
      </c>
      <c r="U232" s="4">
        <f t="shared" ref="U232:U239" si="134">V232+W232</f>
        <v>47133.4</v>
      </c>
      <c r="V232" s="85">
        <v>47133.4</v>
      </c>
      <c r="W232" s="85">
        <v>0</v>
      </c>
      <c r="X232" s="80">
        <f t="shared" ref="X232:X239" si="135">Y232+Z232</f>
        <v>7251.32</v>
      </c>
      <c r="Y232" s="80">
        <v>7251.32</v>
      </c>
      <c r="Z232" s="80">
        <v>0</v>
      </c>
      <c r="AA232" s="9">
        <f t="shared" ref="AA232:AA239" si="136">AB232+AC232</f>
        <v>0</v>
      </c>
      <c r="AB232" s="159">
        <v>0</v>
      </c>
      <c r="AC232" s="159">
        <v>0</v>
      </c>
      <c r="AD232" s="44">
        <f t="shared" si="117"/>
        <v>362564.99000000005</v>
      </c>
      <c r="AE232" s="159">
        <v>0</v>
      </c>
      <c r="AF232" s="9">
        <f t="shared" ref="AF232:AF239" si="137">AD232+AE232</f>
        <v>362564.99000000005</v>
      </c>
      <c r="AG232" s="59" t="s">
        <v>966</v>
      </c>
      <c r="AH232" s="59" t="s">
        <v>1625</v>
      </c>
      <c r="AI232" s="160">
        <v>249239.43</v>
      </c>
      <c r="AJ232" s="1">
        <v>38118.980000000003</v>
      </c>
    </row>
    <row r="233" spans="1:36" ht="151.5" customHeight="1" x14ac:dyDescent="0.25">
      <c r="A233" s="5">
        <f t="shared" si="118"/>
        <v>230</v>
      </c>
      <c r="B233" s="5">
        <v>126302</v>
      </c>
      <c r="C233" s="5">
        <v>521</v>
      </c>
      <c r="D233" s="40" t="s">
        <v>1985</v>
      </c>
      <c r="E233" s="8" t="s">
        <v>1018</v>
      </c>
      <c r="F233" s="17" t="s">
        <v>1063</v>
      </c>
      <c r="G233" s="3" t="s">
        <v>295</v>
      </c>
      <c r="H233" s="5" t="s">
        <v>151</v>
      </c>
      <c r="I233" s="41" t="s">
        <v>1064</v>
      </c>
      <c r="J233" s="2">
        <v>43447</v>
      </c>
      <c r="K233" s="2">
        <v>44452</v>
      </c>
      <c r="L233" s="16">
        <f t="shared" si="132"/>
        <v>85.000000283587156</v>
      </c>
      <c r="M233" s="5">
        <v>6</v>
      </c>
      <c r="N233" s="6" t="s">
        <v>370</v>
      </c>
      <c r="O233" s="5" t="s">
        <v>297</v>
      </c>
      <c r="P233" s="3" t="s">
        <v>174</v>
      </c>
      <c r="Q233" s="5" t="s">
        <v>34</v>
      </c>
      <c r="R233" s="4">
        <f t="shared" si="133"/>
        <v>2697583.52</v>
      </c>
      <c r="S233" s="9">
        <v>2697583.52</v>
      </c>
      <c r="T233" s="9">
        <v>0</v>
      </c>
      <c r="U233" s="4">
        <f t="shared" si="134"/>
        <v>412571.59</v>
      </c>
      <c r="V233" s="53">
        <v>412571.59</v>
      </c>
      <c r="W233" s="53">
        <v>0</v>
      </c>
      <c r="X233" s="4">
        <f t="shared" si="135"/>
        <v>63472.55</v>
      </c>
      <c r="Y233" s="9">
        <v>63472.55</v>
      </c>
      <c r="Z233" s="1">
        <v>0</v>
      </c>
      <c r="AA233" s="9">
        <f t="shared" si="136"/>
        <v>0</v>
      </c>
      <c r="AB233" s="9">
        <v>0</v>
      </c>
      <c r="AC233" s="9">
        <v>0</v>
      </c>
      <c r="AD233" s="44">
        <f t="shared" si="117"/>
        <v>3173627.6599999997</v>
      </c>
      <c r="AE233" s="9">
        <v>44744</v>
      </c>
      <c r="AF233" s="9">
        <f t="shared" si="137"/>
        <v>3218371.6599999997</v>
      </c>
      <c r="AG233" s="59" t="s">
        <v>515</v>
      </c>
      <c r="AH233" s="59" t="s">
        <v>2195</v>
      </c>
      <c r="AI233" s="160">
        <f>868935.85+202154.6-31899.66+240474.34+180513.89+317362.76-32301.2+480099.09+167721.85-8613.8</f>
        <v>2384447.7200000002</v>
      </c>
      <c r="AJ233" s="1">
        <f>84361.34+30914.65+31899.66+27608+11296.45+32301.2+73426.92+50675.08+8613.8</f>
        <v>351097.10000000003</v>
      </c>
    </row>
    <row r="234" spans="1:36" ht="362.25" x14ac:dyDescent="0.25">
      <c r="A234" s="5">
        <f t="shared" si="118"/>
        <v>231</v>
      </c>
      <c r="B234" s="78">
        <v>126243</v>
      </c>
      <c r="C234" s="6">
        <v>549</v>
      </c>
      <c r="D234" s="40" t="s">
        <v>1985</v>
      </c>
      <c r="E234" s="5" t="s">
        <v>1018</v>
      </c>
      <c r="F234" s="17" t="s">
        <v>1194</v>
      </c>
      <c r="G234" s="3" t="s">
        <v>1009</v>
      </c>
      <c r="H234" s="5" t="s">
        <v>362</v>
      </c>
      <c r="I234" s="17" t="s">
        <v>1195</v>
      </c>
      <c r="J234" s="2">
        <v>43556</v>
      </c>
      <c r="K234" s="2">
        <v>44409</v>
      </c>
      <c r="L234" s="16">
        <f t="shared" si="132"/>
        <v>84.9999995883324</v>
      </c>
      <c r="M234" s="6">
        <v>6</v>
      </c>
      <c r="N234" s="6" t="s">
        <v>370</v>
      </c>
      <c r="O234" s="6" t="s">
        <v>300</v>
      </c>
      <c r="P234" s="6" t="s">
        <v>174</v>
      </c>
      <c r="Q234" s="5" t="s">
        <v>34</v>
      </c>
      <c r="R234" s="4">
        <f t="shared" si="133"/>
        <v>2477727.14</v>
      </c>
      <c r="S234" s="9">
        <v>2477727.14</v>
      </c>
      <c r="T234" s="9">
        <v>0</v>
      </c>
      <c r="U234" s="4">
        <f t="shared" si="134"/>
        <v>378946.5</v>
      </c>
      <c r="V234" s="53">
        <v>378946.5</v>
      </c>
      <c r="W234" s="53">
        <v>0</v>
      </c>
      <c r="X234" s="4">
        <f t="shared" si="135"/>
        <v>58299.48</v>
      </c>
      <c r="Y234" s="9">
        <v>58299.48</v>
      </c>
      <c r="Z234" s="9">
        <v>0</v>
      </c>
      <c r="AA234" s="9">
        <f t="shared" si="136"/>
        <v>0</v>
      </c>
      <c r="AB234" s="9">
        <v>0</v>
      </c>
      <c r="AC234" s="9">
        <v>0</v>
      </c>
      <c r="AD234" s="44">
        <f t="shared" si="117"/>
        <v>2914973.12</v>
      </c>
      <c r="AE234" s="9">
        <v>16660</v>
      </c>
      <c r="AF234" s="9">
        <f t="shared" si="137"/>
        <v>2931633.12</v>
      </c>
      <c r="AG234" s="59" t="s">
        <v>515</v>
      </c>
      <c r="AH234" s="59" t="s">
        <v>2172</v>
      </c>
      <c r="AI234" s="1">
        <f>138790.64+56881.15+18677.05+445571.52+116963.42+876227.92+172996.19</f>
        <v>1826107.8900000001</v>
      </c>
      <c r="AJ234" s="1">
        <f>21226.8+8699.47+2856.49+68146.24+17888.52+134011.33+26458.23</f>
        <v>279287.07999999996</v>
      </c>
    </row>
    <row r="235" spans="1:36" ht="236.25" x14ac:dyDescent="0.25">
      <c r="A235" s="5">
        <f t="shared" si="118"/>
        <v>232</v>
      </c>
      <c r="B235" s="15">
        <v>119429</v>
      </c>
      <c r="C235" s="78">
        <v>472</v>
      </c>
      <c r="D235" s="40" t="s">
        <v>1985</v>
      </c>
      <c r="E235" s="17" t="s">
        <v>474</v>
      </c>
      <c r="F235" s="8" t="s">
        <v>739</v>
      </c>
      <c r="G235" s="3" t="s">
        <v>1009</v>
      </c>
      <c r="H235" s="5" t="s">
        <v>362</v>
      </c>
      <c r="I235" s="14" t="s">
        <v>740</v>
      </c>
      <c r="J235" s="2">
        <v>43304</v>
      </c>
      <c r="K235" s="2">
        <v>43669</v>
      </c>
      <c r="L235" s="16">
        <f t="shared" si="132"/>
        <v>85.000001381242228</v>
      </c>
      <c r="M235" s="5">
        <v>6</v>
      </c>
      <c r="N235" s="5" t="s">
        <v>738</v>
      </c>
      <c r="O235" s="5" t="s">
        <v>737</v>
      </c>
      <c r="P235" s="3" t="s">
        <v>174</v>
      </c>
      <c r="Q235" s="5" t="s">
        <v>478</v>
      </c>
      <c r="R235" s="9">
        <f t="shared" si="133"/>
        <v>215385.83</v>
      </c>
      <c r="S235" s="9">
        <v>215385.83</v>
      </c>
      <c r="T235" s="9">
        <v>0</v>
      </c>
      <c r="U235" s="9">
        <f t="shared" si="134"/>
        <v>32941.35</v>
      </c>
      <c r="V235" s="53">
        <v>32941.35</v>
      </c>
      <c r="W235" s="53">
        <v>0</v>
      </c>
      <c r="X235" s="9">
        <f t="shared" si="135"/>
        <v>5067.91</v>
      </c>
      <c r="Y235" s="9">
        <v>5067.91</v>
      </c>
      <c r="Z235" s="9">
        <v>0</v>
      </c>
      <c r="AA235" s="9">
        <f t="shared" si="136"/>
        <v>0</v>
      </c>
      <c r="AB235" s="9">
        <v>0</v>
      </c>
      <c r="AC235" s="9">
        <v>0</v>
      </c>
      <c r="AD235" s="44">
        <f t="shared" si="117"/>
        <v>253395.09</v>
      </c>
      <c r="AE235" s="9"/>
      <c r="AF235" s="9">
        <f t="shared" si="137"/>
        <v>253395.09</v>
      </c>
      <c r="AG235" s="49" t="s">
        <v>966</v>
      </c>
      <c r="AH235" s="13"/>
      <c r="AI235" s="1">
        <v>158423.03</v>
      </c>
      <c r="AJ235" s="1">
        <v>24229.39</v>
      </c>
    </row>
    <row r="236" spans="1:36" ht="173.25" x14ac:dyDescent="0.25">
      <c r="A236" s="5">
        <f t="shared" si="118"/>
        <v>233</v>
      </c>
      <c r="B236" s="15">
        <v>121622</v>
      </c>
      <c r="C236" s="6">
        <v>99</v>
      </c>
      <c r="D236" s="40" t="s">
        <v>1985</v>
      </c>
      <c r="E236" s="17" t="s">
        <v>278</v>
      </c>
      <c r="F236" s="8" t="s">
        <v>294</v>
      </c>
      <c r="G236" s="5" t="s">
        <v>298</v>
      </c>
      <c r="H236" s="5" t="s">
        <v>296</v>
      </c>
      <c r="I236" s="86" t="s">
        <v>293</v>
      </c>
      <c r="J236" s="2">
        <v>43188</v>
      </c>
      <c r="K236" s="2">
        <v>43737</v>
      </c>
      <c r="L236" s="16">
        <f t="shared" si="132"/>
        <v>84.999999426373932</v>
      </c>
      <c r="M236" s="5" t="s">
        <v>136</v>
      </c>
      <c r="N236" s="5" t="s">
        <v>300</v>
      </c>
      <c r="O236" s="5" t="s">
        <v>300</v>
      </c>
      <c r="P236" s="3" t="s">
        <v>174</v>
      </c>
      <c r="Q236" s="5" t="s">
        <v>34</v>
      </c>
      <c r="R236" s="9">
        <f t="shared" si="133"/>
        <v>444540.46</v>
      </c>
      <c r="S236" s="9">
        <v>444540.46</v>
      </c>
      <c r="T236" s="9">
        <v>0</v>
      </c>
      <c r="U236" s="9">
        <f t="shared" si="134"/>
        <v>67988.539999999994</v>
      </c>
      <c r="V236" s="53">
        <v>67988.539999999994</v>
      </c>
      <c r="W236" s="53">
        <v>0</v>
      </c>
      <c r="X236" s="9">
        <f t="shared" si="135"/>
        <v>10459.780000000001</v>
      </c>
      <c r="Y236" s="4">
        <v>10459.780000000001</v>
      </c>
      <c r="Z236" s="9">
        <v>0</v>
      </c>
      <c r="AA236" s="9">
        <f t="shared" si="136"/>
        <v>0</v>
      </c>
      <c r="AB236" s="9">
        <v>0</v>
      </c>
      <c r="AC236" s="9">
        <v>0</v>
      </c>
      <c r="AD236" s="44">
        <f t="shared" si="117"/>
        <v>522988.78</v>
      </c>
      <c r="AE236" s="9">
        <v>0</v>
      </c>
      <c r="AF236" s="9">
        <f t="shared" si="137"/>
        <v>522988.78</v>
      </c>
      <c r="AG236" s="49" t="s">
        <v>966</v>
      </c>
      <c r="AH236" s="13" t="s">
        <v>1118</v>
      </c>
      <c r="AI236" s="1">
        <v>306121.42</v>
      </c>
      <c r="AJ236" s="1">
        <v>46818.559999999998</v>
      </c>
    </row>
    <row r="237" spans="1:36" ht="189" x14ac:dyDescent="0.25">
      <c r="A237" s="5">
        <f t="shared" si="118"/>
        <v>234</v>
      </c>
      <c r="B237" s="15">
        <v>121536</v>
      </c>
      <c r="C237" s="6">
        <v>102</v>
      </c>
      <c r="D237" s="40" t="s">
        <v>1985</v>
      </c>
      <c r="E237" s="17" t="s">
        <v>278</v>
      </c>
      <c r="F237" s="8" t="s">
        <v>1607</v>
      </c>
      <c r="G237" s="5" t="s">
        <v>295</v>
      </c>
      <c r="H237" s="5" t="s">
        <v>296</v>
      </c>
      <c r="I237" s="86" t="s">
        <v>301</v>
      </c>
      <c r="J237" s="2">
        <v>43186</v>
      </c>
      <c r="K237" s="2">
        <v>43643</v>
      </c>
      <c r="L237" s="16">
        <f t="shared" si="132"/>
        <v>85.000000246407055</v>
      </c>
      <c r="M237" s="5" t="s">
        <v>136</v>
      </c>
      <c r="N237" s="5" t="s">
        <v>300</v>
      </c>
      <c r="O237" s="5" t="s">
        <v>297</v>
      </c>
      <c r="P237" s="3" t="s">
        <v>174</v>
      </c>
      <c r="Q237" s="5" t="s">
        <v>34</v>
      </c>
      <c r="R237" s="9">
        <f t="shared" si="133"/>
        <v>344957.66</v>
      </c>
      <c r="S237" s="9">
        <v>344957.66</v>
      </c>
      <c r="T237" s="9">
        <v>0</v>
      </c>
      <c r="U237" s="9">
        <f t="shared" si="134"/>
        <v>52758.23</v>
      </c>
      <c r="V237" s="53">
        <v>52758.23</v>
      </c>
      <c r="W237" s="53">
        <v>0</v>
      </c>
      <c r="X237" s="9">
        <f t="shared" si="135"/>
        <v>8116.65</v>
      </c>
      <c r="Y237" s="9">
        <v>8116.65</v>
      </c>
      <c r="Z237" s="9">
        <v>0</v>
      </c>
      <c r="AA237" s="9">
        <f t="shared" si="136"/>
        <v>0</v>
      </c>
      <c r="AB237" s="9">
        <v>0</v>
      </c>
      <c r="AC237" s="9">
        <v>0</v>
      </c>
      <c r="AD237" s="44">
        <f t="shared" si="117"/>
        <v>405832.54</v>
      </c>
      <c r="AE237" s="9">
        <v>0</v>
      </c>
      <c r="AF237" s="9">
        <f t="shared" si="137"/>
        <v>405832.54</v>
      </c>
      <c r="AG237" s="49" t="s">
        <v>966</v>
      </c>
      <c r="AH237" s="13" t="s">
        <v>151</v>
      </c>
      <c r="AI237" s="1">
        <v>219496.65000000002</v>
      </c>
      <c r="AJ237" s="1">
        <v>33570.07</v>
      </c>
    </row>
    <row r="238" spans="1:36" ht="283.5" x14ac:dyDescent="0.25">
      <c r="A238" s="5">
        <f t="shared" si="118"/>
        <v>235</v>
      </c>
      <c r="B238" s="15">
        <v>135976</v>
      </c>
      <c r="C238" s="6">
        <v>806</v>
      </c>
      <c r="D238" s="40" t="s">
        <v>1985</v>
      </c>
      <c r="E238" s="17" t="s">
        <v>1701</v>
      </c>
      <c r="F238" s="8" t="s">
        <v>1736</v>
      </c>
      <c r="G238" s="5" t="s">
        <v>1009</v>
      </c>
      <c r="H238" s="5" t="s">
        <v>296</v>
      </c>
      <c r="I238" s="86" t="s">
        <v>1737</v>
      </c>
      <c r="J238" s="2">
        <v>43959</v>
      </c>
      <c r="K238" s="2">
        <v>44628</v>
      </c>
      <c r="L238" s="16">
        <f t="shared" si="132"/>
        <v>85.000000866607152</v>
      </c>
      <c r="M238" s="6">
        <v>6</v>
      </c>
      <c r="N238" s="5" t="s">
        <v>300</v>
      </c>
      <c r="O238" s="5" t="s">
        <v>300</v>
      </c>
      <c r="P238" s="3" t="s">
        <v>174</v>
      </c>
      <c r="Q238" s="5" t="s">
        <v>1714</v>
      </c>
      <c r="R238" s="9">
        <f t="shared" si="133"/>
        <v>490418.3</v>
      </c>
      <c r="S238" s="9">
        <v>490418.3</v>
      </c>
      <c r="T238" s="9">
        <v>0</v>
      </c>
      <c r="U238" s="9">
        <f t="shared" si="134"/>
        <v>75005.149999999994</v>
      </c>
      <c r="V238" s="53">
        <v>75005.149999999994</v>
      </c>
      <c r="W238" s="53">
        <v>0</v>
      </c>
      <c r="X238" s="9">
        <f t="shared" si="135"/>
        <v>11539.25</v>
      </c>
      <c r="Y238" s="9">
        <v>11539.25</v>
      </c>
      <c r="Z238" s="9">
        <v>0</v>
      </c>
      <c r="AA238" s="9">
        <f t="shared" si="136"/>
        <v>0</v>
      </c>
      <c r="AB238" s="9">
        <v>0</v>
      </c>
      <c r="AC238" s="9">
        <v>0</v>
      </c>
      <c r="AD238" s="44">
        <f t="shared" si="117"/>
        <v>576962.69999999995</v>
      </c>
      <c r="AE238" s="9">
        <v>0</v>
      </c>
      <c r="AF238" s="9">
        <f t="shared" si="137"/>
        <v>576962.69999999995</v>
      </c>
      <c r="AG238" s="59" t="s">
        <v>515</v>
      </c>
      <c r="AH238" s="59" t="s">
        <v>2188</v>
      </c>
      <c r="AI238" s="1">
        <f>10931.85+12767+34626.66+4797.4+10676</f>
        <v>73798.91</v>
      </c>
      <c r="AJ238" s="1">
        <f>1671.93+1952.6+5295.84+733.72+1632.8</f>
        <v>11286.889999999998</v>
      </c>
    </row>
    <row r="239" spans="1:36" ht="283.5" x14ac:dyDescent="0.25">
      <c r="A239" s="5">
        <f t="shared" si="118"/>
        <v>236</v>
      </c>
      <c r="B239" s="15">
        <v>136251</v>
      </c>
      <c r="C239" s="6">
        <v>822</v>
      </c>
      <c r="D239" s="40" t="s">
        <v>1985</v>
      </c>
      <c r="E239" s="17" t="s">
        <v>1701</v>
      </c>
      <c r="F239" s="8" t="s">
        <v>1893</v>
      </c>
      <c r="G239" s="5" t="s">
        <v>295</v>
      </c>
      <c r="H239" s="5" t="s">
        <v>296</v>
      </c>
      <c r="I239" s="86" t="s">
        <v>1894</v>
      </c>
      <c r="J239" s="2">
        <v>44020</v>
      </c>
      <c r="K239" s="2">
        <v>44447</v>
      </c>
      <c r="L239" s="16">
        <f t="shared" si="132"/>
        <v>85.000000000000014</v>
      </c>
      <c r="M239" s="6">
        <v>6</v>
      </c>
      <c r="N239" s="5" t="s">
        <v>300</v>
      </c>
      <c r="O239" s="5" t="s">
        <v>297</v>
      </c>
      <c r="P239" s="3" t="s">
        <v>174</v>
      </c>
      <c r="Q239" s="5" t="s">
        <v>1714</v>
      </c>
      <c r="R239" s="9">
        <f t="shared" si="133"/>
        <v>759150.98</v>
      </c>
      <c r="S239" s="9">
        <v>759150.98</v>
      </c>
      <c r="T239" s="9">
        <v>0</v>
      </c>
      <c r="U239" s="9">
        <f t="shared" si="134"/>
        <v>116105.44</v>
      </c>
      <c r="V239" s="53">
        <v>116105.44</v>
      </c>
      <c r="W239" s="53">
        <v>0</v>
      </c>
      <c r="X239" s="9">
        <f t="shared" si="135"/>
        <v>17862.38</v>
      </c>
      <c r="Y239" s="9">
        <v>17862.38</v>
      </c>
      <c r="Z239" s="9">
        <v>0</v>
      </c>
      <c r="AA239" s="9">
        <f t="shared" si="136"/>
        <v>0</v>
      </c>
      <c r="AB239" s="9">
        <v>0</v>
      </c>
      <c r="AC239" s="9">
        <v>0</v>
      </c>
      <c r="AD239" s="44">
        <f t="shared" si="117"/>
        <v>893118.79999999993</v>
      </c>
      <c r="AE239" s="9">
        <v>0</v>
      </c>
      <c r="AF239" s="9">
        <f t="shared" si="137"/>
        <v>893118.79999999993</v>
      </c>
      <c r="AG239" s="59" t="s">
        <v>515</v>
      </c>
      <c r="AH239" s="11" t="s">
        <v>151</v>
      </c>
      <c r="AI239" s="1">
        <f>89311.88-3326.82-4204.74+56776.44</f>
        <v>138556.76</v>
      </c>
      <c r="AJ239" s="1">
        <f>3326.82+4204.74</f>
        <v>7531.5599999999995</v>
      </c>
    </row>
    <row r="240" spans="1:36" ht="141.75" x14ac:dyDescent="0.25">
      <c r="A240" s="5">
        <f t="shared" si="118"/>
        <v>237</v>
      </c>
      <c r="B240" s="15">
        <v>119377</v>
      </c>
      <c r="C240" s="6">
        <v>463</v>
      </c>
      <c r="D240" s="40" t="s">
        <v>1985</v>
      </c>
      <c r="E240" s="5" t="s">
        <v>474</v>
      </c>
      <c r="F240" s="3" t="s">
        <v>854</v>
      </c>
      <c r="G240" s="5" t="s">
        <v>851</v>
      </c>
      <c r="H240" s="6" t="s">
        <v>849</v>
      </c>
      <c r="I240" s="8" t="s">
        <v>852</v>
      </c>
      <c r="J240" s="2">
        <v>43332</v>
      </c>
      <c r="K240" s="2">
        <v>43819</v>
      </c>
      <c r="L240" s="16">
        <f>R240/AD240*100</f>
        <v>85.000001900439869</v>
      </c>
      <c r="M240" s="5">
        <v>6</v>
      </c>
      <c r="N240" s="5" t="s">
        <v>371</v>
      </c>
      <c r="O240" s="5" t="s">
        <v>853</v>
      </c>
      <c r="P240" s="5" t="s">
        <v>174</v>
      </c>
      <c r="Q240" s="3" t="s">
        <v>34</v>
      </c>
      <c r="R240" s="4">
        <f>S240+T240</f>
        <v>313085.42</v>
      </c>
      <c r="S240" s="9">
        <v>313085.42</v>
      </c>
      <c r="T240" s="9">
        <v>0</v>
      </c>
      <c r="U240" s="4">
        <f>V240+W240</f>
        <v>47883.64</v>
      </c>
      <c r="V240" s="53">
        <v>47883.64</v>
      </c>
      <c r="W240" s="53">
        <v>0</v>
      </c>
      <c r="X240" s="1">
        <f>Y240+Z240</f>
        <v>7366.72</v>
      </c>
      <c r="Y240" s="1">
        <v>7366.72</v>
      </c>
      <c r="Z240" s="1">
        <v>0</v>
      </c>
      <c r="AA240" s="9">
        <f>AB240+AC240</f>
        <v>0</v>
      </c>
      <c r="AB240" s="10">
        <v>0</v>
      </c>
      <c r="AC240" s="10">
        <v>0</v>
      </c>
      <c r="AD240" s="44">
        <f t="shared" si="117"/>
        <v>368335.77999999997</v>
      </c>
      <c r="AE240" s="80">
        <v>4938.5</v>
      </c>
      <c r="AF240" s="9">
        <f>AD240+AE240</f>
        <v>373274.27999999997</v>
      </c>
      <c r="AG240" s="59" t="s">
        <v>966</v>
      </c>
      <c r="AH240" s="11" t="s">
        <v>151</v>
      </c>
      <c r="AI240" s="1">
        <v>133874.00999999998</v>
      </c>
      <c r="AJ240" s="1">
        <v>20474.830000000002</v>
      </c>
    </row>
    <row r="241" spans="1:36" ht="157.5" x14ac:dyDescent="0.25">
      <c r="A241" s="5">
        <f t="shared" si="118"/>
        <v>238</v>
      </c>
      <c r="B241" s="15">
        <v>126124</v>
      </c>
      <c r="C241" s="6">
        <v>532</v>
      </c>
      <c r="D241" s="40" t="s">
        <v>1985</v>
      </c>
      <c r="E241" s="5" t="s">
        <v>1018</v>
      </c>
      <c r="F241" s="3" t="s">
        <v>1087</v>
      </c>
      <c r="G241" s="5" t="s">
        <v>851</v>
      </c>
      <c r="H241" s="6" t="s">
        <v>849</v>
      </c>
      <c r="I241" s="8" t="s">
        <v>1088</v>
      </c>
      <c r="J241" s="2">
        <v>43462</v>
      </c>
      <c r="K241" s="2">
        <v>44528</v>
      </c>
      <c r="L241" s="16">
        <f>R241/AD241*100</f>
        <v>84.999999694403598</v>
      </c>
      <c r="M241" s="5">
        <v>6</v>
      </c>
      <c r="N241" s="5" t="s">
        <v>371</v>
      </c>
      <c r="O241" s="5" t="s">
        <v>853</v>
      </c>
      <c r="P241" s="5" t="s">
        <v>174</v>
      </c>
      <c r="Q241" s="3" t="s">
        <v>34</v>
      </c>
      <c r="R241" s="4">
        <f>S241+T241</f>
        <v>2086084.74</v>
      </c>
      <c r="S241" s="9">
        <v>2086084.74</v>
      </c>
      <c r="T241" s="9">
        <v>0</v>
      </c>
      <c r="U241" s="4">
        <f>V241+W241</f>
        <v>319048.28000000003</v>
      </c>
      <c r="V241" s="53">
        <v>319048.28000000003</v>
      </c>
      <c r="W241" s="53">
        <v>0</v>
      </c>
      <c r="X241" s="1">
        <f>Y241+Z241</f>
        <v>49084.33</v>
      </c>
      <c r="Y241" s="1">
        <v>49084.33</v>
      </c>
      <c r="Z241" s="1">
        <v>0</v>
      </c>
      <c r="AA241" s="9">
        <f>AB241+AC241</f>
        <v>0</v>
      </c>
      <c r="AB241" s="10">
        <v>0</v>
      </c>
      <c r="AC241" s="10">
        <v>0</v>
      </c>
      <c r="AD241" s="44">
        <f t="shared" si="117"/>
        <v>2454217.35</v>
      </c>
      <c r="AE241" s="80">
        <v>0</v>
      </c>
      <c r="AF241" s="9">
        <f>AD241+AE241</f>
        <v>2454217.35</v>
      </c>
      <c r="AG241" s="59" t="s">
        <v>515</v>
      </c>
      <c r="AH241" s="59" t="s">
        <v>2142</v>
      </c>
      <c r="AI241" s="1">
        <f>108981.2+420032.45+152281.32+363688.87+137544.14+237753.81</f>
        <v>1420281.79</v>
      </c>
      <c r="AJ241" s="1">
        <f>16667.72+64240.27+23290.09+55623.01+21036.17+36362.34</f>
        <v>217219.6</v>
      </c>
    </row>
    <row r="242" spans="1:36" ht="171.75" customHeight="1" x14ac:dyDescent="0.25">
      <c r="A242" s="5">
        <f t="shared" si="118"/>
        <v>239</v>
      </c>
      <c r="B242" s="5">
        <v>129237</v>
      </c>
      <c r="C242" s="6">
        <v>670</v>
      </c>
      <c r="D242" s="40" t="s">
        <v>1985</v>
      </c>
      <c r="E242" s="17" t="s">
        <v>1246</v>
      </c>
      <c r="F242" s="8" t="s">
        <v>1453</v>
      </c>
      <c r="G242" s="5" t="s">
        <v>1454</v>
      </c>
      <c r="H242" s="6" t="s">
        <v>849</v>
      </c>
      <c r="I242" s="41" t="s">
        <v>1455</v>
      </c>
      <c r="J242" s="2">
        <v>43697</v>
      </c>
      <c r="K242" s="2">
        <v>44793</v>
      </c>
      <c r="L242" s="16">
        <f>R242/AD242*100</f>
        <v>85</v>
      </c>
      <c r="M242" s="5">
        <v>6</v>
      </c>
      <c r="N242" s="5" t="s">
        <v>853</v>
      </c>
      <c r="O242" s="5" t="s">
        <v>1456</v>
      </c>
      <c r="P242" s="3" t="s">
        <v>174</v>
      </c>
      <c r="Q242" s="5" t="s">
        <v>34</v>
      </c>
      <c r="R242" s="4">
        <f>S242+T242</f>
        <v>2465000</v>
      </c>
      <c r="S242" s="9">
        <v>2465000</v>
      </c>
      <c r="T242" s="9">
        <v>0</v>
      </c>
      <c r="U242" s="4">
        <f>V242+W242</f>
        <v>377000</v>
      </c>
      <c r="V242" s="53">
        <v>377000</v>
      </c>
      <c r="W242" s="53">
        <v>0</v>
      </c>
      <c r="X242" s="4">
        <f>Y242+Z242</f>
        <v>58000</v>
      </c>
      <c r="Y242" s="9">
        <v>58000</v>
      </c>
      <c r="Z242" s="9">
        <v>0</v>
      </c>
      <c r="AA242" s="9">
        <f>AB242+AC242</f>
        <v>0</v>
      </c>
      <c r="AB242" s="9">
        <v>0</v>
      </c>
      <c r="AC242" s="9">
        <v>0</v>
      </c>
      <c r="AD242" s="44">
        <f t="shared" si="117"/>
        <v>2900000</v>
      </c>
      <c r="AE242" s="9">
        <v>0</v>
      </c>
      <c r="AF242" s="9">
        <f>AD242+AE242</f>
        <v>2900000</v>
      </c>
      <c r="AG242" s="59" t="s">
        <v>515</v>
      </c>
      <c r="AH242" s="13" t="s">
        <v>151</v>
      </c>
      <c r="AI242" s="1">
        <f>378814.52-15254.59+264996.14+310640.81+340167.45+253198.17+463751.93</f>
        <v>1996314.43</v>
      </c>
      <c r="AJ242" s="1">
        <f>36524.57+15254.59+81552.25+52025.61+4681.95+70926.76</f>
        <v>260965.73000000004</v>
      </c>
    </row>
    <row r="243" spans="1:36" ht="171.75" customHeight="1" x14ac:dyDescent="0.25">
      <c r="A243" s="5">
        <f t="shared" si="118"/>
        <v>240</v>
      </c>
      <c r="B243" s="5">
        <v>135083</v>
      </c>
      <c r="C243" s="6">
        <v>787</v>
      </c>
      <c r="D243" s="40" t="s">
        <v>1985</v>
      </c>
      <c r="E243" s="81" t="s">
        <v>1701</v>
      </c>
      <c r="F243" s="8" t="s">
        <v>1789</v>
      </c>
      <c r="G243" s="5" t="s">
        <v>851</v>
      </c>
      <c r="H243" s="6" t="s">
        <v>849</v>
      </c>
      <c r="I243" s="41" t="s">
        <v>1790</v>
      </c>
      <c r="J243" s="2">
        <v>43973</v>
      </c>
      <c r="K243" s="2">
        <v>44703</v>
      </c>
      <c r="L243" s="16">
        <f>R243/AD243*100</f>
        <v>85.000000133164178</v>
      </c>
      <c r="M243" s="5">
        <v>6</v>
      </c>
      <c r="N243" s="5" t="s">
        <v>371</v>
      </c>
      <c r="O243" s="5" t="s">
        <v>853</v>
      </c>
      <c r="P243" s="5" t="s">
        <v>174</v>
      </c>
      <c r="Q243" s="62" t="s">
        <v>34</v>
      </c>
      <c r="R243" s="4">
        <f>S243+T243</f>
        <v>2234084.3199999998</v>
      </c>
      <c r="S243" s="9">
        <v>2234084.3199999998</v>
      </c>
      <c r="T243" s="9">
        <v>0</v>
      </c>
      <c r="U243" s="4">
        <f>V243+W243</f>
        <v>341683.48</v>
      </c>
      <c r="V243" s="53">
        <v>341683.48</v>
      </c>
      <c r="W243" s="53">
        <v>0</v>
      </c>
      <c r="X243" s="4">
        <f>Y243+Z243</f>
        <v>52566.69</v>
      </c>
      <c r="Y243" s="9">
        <v>52566.69</v>
      </c>
      <c r="Z243" s="9">
        <v>0</v>
      </c>
      <c r="AA243" s="9">
        <f>AB243+AC243</f>
        <v>0</v>
      </c>
      <c r="AB243" s="9">
        <v>0</v>
      </c>
      <c r="AC243" s="9">
        <v>0</v>
      </c>
      <c r="AD243" s="44">
        <f t="shared" si="117"/>
        <v>2628334.4899999998</v>
      </c>
      <c r="AE243" s="9">
        <v>0</v>
      </c>
      <c r="AF243" s="9">
        <f>AD243+AE243</f>
        <v>2628334.4899999998</v>
      </c>
      <c r="AG243" s="59" t="s">
        <v>515</v>
      </c>
      <c r="AH243" s="13" t="s">
        <v>151</v>
      </c>
      <c r="AI243" s="1">
        <f>425+46534.06+55068.9</f>
        <v>102027.95999999999</v>
      </c>
      <c r="AJ243" s="1">
        <f>65+7116.97+8422.3</f>
        <v>15604.27</v>
      </c>
    </row>
    <row r="244" spans="1:36" ht="171.75" customHeight="1" x14ac:dyDescent="0.25">
      <c r="A244" s="5">
        <f t="shared" si="118"/>
        <v>241</v>
      </c>
      <c r="B244" s="5">
        <v>135769</v>
      </c>
      <c r="C244" s="6">
        <v>845</v>
      </c>
      <c r="D244" s="40" t="s">
        <v>1985</v>
      </c>
      <c r="E244" s="81" t="s">
        <v>1701</v>
      </c>
      <c r="F244" s="8" t="s">
        <v>1858</v>
      </c>
      <c r="G244" s="5" t="s">
        <v>1454</v>
      </c>
      <c r="H244" s="6" t="s">
        <v>849</v>
      </c>
      <c r="I244" s="41" t="s">
        <v>1859</v>
      </c>
      <c r="J244" s="2">
        <v>44011</v>
      </c>
      <c r="K244" s="2">
        <v>44741</v>
      </c>
      <c r="L244" s="16">
        <f>R244/AD244*100</f>
        <v>85.000000109361991</v>
      </c>
      <c r="M244" s="5">
        <v>6</v>
      </c>
      <c r="N244" s="5" t="s">
        <v>371</v>
      </c>
      <c r="O244" s="5" t="s">
        <v>1456</v>
      </c>
      <c r="P244" s="5" t="s">
        <v>174</v>
      </c>
      <c r="Q244" s="62" t="s">
        <v>34</v>
      </c>
      <c r="R244" s="4">
        <f>S244+T244</f>
        <v>2331705.91</v>
      </c>
      <c r="S244" s="9">
        <v>2331705.91</v>
      </c>
      <c r="T244" s="9">
        <v>0</v>
      </c>
      <c r="U244" s="4">
        <f>V244+W244</f>
        <v>356613.86</v>
      </c>
      <c r="V244" s="53">
        <v>356613.86</v>
      </c>
      <c r="W244" s="53">
        <v>0</v>
      </c>
      <c r="X244" s="4">
        <f>Y244+Z244</f>
        <v>54863.65</v>
      </c>
      <c r="Y244" s="9">
        <v>54863.65</v>
      </c>
      <c r="Z244" s="9">
        <v>0</v>
      </c>
      <c r="AA244" s="9">
        <f>AB244+AC244</f>
        <v>0</v>
      </c>
      <c r="AB244" s="9"/>
      <c r="AC244" s="9">
        <v>0</v>
      </c>
      <c r="AD244" s="44">
        <f t="shared" si="117"/>
        <v>2743183.42</v>
      </c>
      <c r="AE244" s="9">
        <v>0</v>
      </c>
      <c r="AF244" s="9">
        <f>AD244+AE244</f>
        <v>2743183.42</v>
      </c>
      <c r="AG244" s="59" t="s">
        <v>515</v>
      </c>
      <c r="AH244" s="13" t="s">
        <v>151</v>
      </c>
      <c r="AI244" s="1">
        <f>274300-21766.39</f>
        <v>252533.61</v>
      </c>
      <c r="AJ244" s="1">
        <f>21766.39</f>
        <v>21766.39</v>
      </c>
    </row>
    <row r="245" spans="1:36" ht="150.75" customHeight="1" x14ac:dyDescent="0.25">
      <c r="A245" s="5">
        <f t="shared" si="118"/>
        <v>242</v>
      </c>
      <c r="B245" s="5">
        <v>118759</v>
      </c>
      <c r="C245" s="6">
        <v>439</v>
      </c>
      <c r="D245" s="8" t="s">
        <v>1986</v>
      </c>
      <c r="E245" s="8" t="s">
        <v>540</v>
      </c>
      <c r="F245" s="3" t="s">
        <v>721</v>
      </c>
      <c r="G245" s="5" t="s">
        <v>722</v>
      </c>
      <c r="H245" s="5" t="s">
        <v>723</v>
      </c>
      <c r="I245" s="8" t="s">
        <v>724</v>
      </c>
      <c r="J245" s="2">
        <v>43304</v>
      </c>
      <c r="K245" s="2">
        <v>44067</v>
      </c>
      <c r="L245" s="16">
        <f t="shared" ref="L245:L252" si="138">R245/AD245*100</f>
        <v>84.213980856539493</v>
      </c>
      <c r="M245" s="3">
        <v>7</v>
      </c>
      <c r="N245" s="3" t="s">
        <v>725</v>
      </c>
      <c r="O245" s="3" t="s">
        <v>725</v>
      </c>
      <c r="P245" s="3" t="s">
        <v>174</v>
      </c>
      <c r="Q245" s="3" t="s">
        <v>34</v>
      </c>
      <c r="R245" s="4">
        <f t="shared" ref="R245:R252" si="139">S245+T245</f>
        <v>288260.65000000002</v>
      </c>
      <c r="S245" s="161">
        <v>288260.65000000002</v>
      </c>
      <c r="T245" s="87">
        <v>0</v>
      </c>
      <c r="U245" s="4">
        <v>47188.93</v>
      </c>
      <c r="V245" s="127">
        <v>47188.93</v>
      </c>
      <c r="W245" s="127" t="s">
        <v>728</v>
      </c>
      <c r="X245" s="4">
        <v>6845.9</v>
      </c>
      <c r="Y245" s="87">
        <v>6845.9</v>
      </c>
      <c r="Z245" s="87" t="s">
        <v>728</v>
      </c>
      <c r="AA245" s="9">
        <f t="shared" ref="AA245:AA252" si="140">AB245+AC245</f>
        <v>0</v>
      </c>
      <c r="AB245" s="9">
        <v>0</v>
      </c>
      <c r="AC245" s="9">
        <v>0</v>
      </c>
      <c r="AD245" s="44">
        <f t="shared" si="117"/>
        <v>342295.48000000004</v>
      </c>
      <c r="AE245" s="11"/>
      <c r="AF245" s="9">
        <f t="shared" ref="AF245:AF252" si="141">AD245+AE245</f>
        <v>342295.48000000004</v>
      </c>
      <c r="AG245" s="59" t="s">
        <v>966</v>
      </c>
      <c r="AH245" s="149" t="s">
        <v>1854</v>
      </c>
      <c r="AI245" s="1">
        <f>183263.95+2590.63+1665.17+3686.23</f>
        <v>191205.98000000004</v>
      </c>
      <c r="AJ245" s="1">
        <f>26943.68+2506.84+827.67+457.17+293.85+814.14</f>
        <v>31843.349999999995</v>
      </c>
    </row>
    <row r="246" spans="1:36" ht="139.5" customHeight="1" x14ac:dyDescent="0.25">
      <c r="A246" s="5">
        <f t="shared" si="118"/>
        <v>243</v>
      </c>
      <c r="B246" s="15">
        <v>119841</v>
      </c>
      <c r="C246" s="5">
        <v>477</v>
      </c>
      <c r="D246" s="40" t="s">
        <v>1985</v>
      </c>
      <c r="E246" s="8" t="s">
        <v>474</v>
      </c>
      <c r="F246" s="8" t="s">
        <v>741</v>
      </c>
      <c r="G246" s="5" t="s">
        <v>722</v>
      </c>
      <c r="H246" s="5" t="s">
        <v>723</v>
      </c>
      <c r="I246" s="8" t="s">
        <v>742</v>
      </c>
      <c r="J246" s="2">
        <v>43304</v>
      </c>
      <c r="K246" s="2">
        <v>44035</v>
      </c>
      <c r="L246" s="16">
        <f t="shared" si="138"/>
        <v>84.228550955221309</v>
      </c>
      <c r="M246" s="3">
        <v>7</v>
      </c>
      <c r="N246" s="3" t="s">
        <v>725</v>
      </c>
      <c r="O246" s="3" t="s">
        <v>725</v>
      </c>
      <c r="P246" s="3" t="s">
        <v>174</v>
      </c>
      <c r="Q246" s="5" t="s">
        <v>34</v>
      </c>
      <c r="R246" s="4">
        <f t="shared" si="139"/>
        <v>481603.39</v>
      </c>
      <c r="S246" s="1">
        <v>481603.39</v>
      </c>
      <c r="T246" s="87">
        <v>0</v>
      </c>
      <c r="U246" s="4">
        <f t="shared" ref="U246:U252" si="142">V246+W246</f>
        <v>78742.570000000007</v>
      </c>
      <c r="V246" s="71">
        <v>78742.570000000007</v>
      </c>
      <c r="W246" s="127">
        <v>0</v>
      </c>
      <c r="X246" s="4">
        <f t="shared" ref="X246:X252" si="143">Y246+Z246</f>
        <v>6246.23</v>
      </c>
      <c r="Y246" s="1">
        <v>6246.23</v>
      </c>
      <c r="Z246" s="87">
        <v>0</v>
      </c>
      <c r="AA246" s="9">
        <f t="shared" si="140"/>
        <v>5189.45</v>
      </c>
      <c r="AB246" s="10">
        <v>5189.45</v>
      </c>
      <c r="AC246" s="10">
        <v>0</v>
      </c>
      <c r="AD246" s="44">
        <f t="shared" si="117"/>
        <v>571781.6399999999</v>
      </c>
      <c r="AE246" s="11"/>
      <c r="AF246" s="9">
        <f t="shared" si="141"/>
        <v>571781.6399999999</v>
      </c>
      <c r="AG246" s="59" t="s">
        <v>966</v>
      </c>
      <c r="AH246" s="13" t="s">
        <v>1841</v>
      </c>
      <c r="AI246" s="1">
        <f>364128.16+44922.39+5304.55+18795.8</f>
        <v>433150.89999999997</v>
      </c>
      <c r="AJ246" s="1">
        <f>57655.87+9344.13+936.09+3322.23</f>
        <v>71258.319999999992</v>
      </c>
    </row>
    <row r="247" spans="1:36" ht="288.75" customHeight="1" x14ac:dyDescent="0.25">
      <c r="A247" s="5">
        <f t="shared" si="118"/>
        <v>244</v>
      </c>
      <c r="B247" s="15">
        <v>126267</v>
      </c>
      <c r="C247" s="5">
        <v>540</v>
      </c>
      <c r="D247" s="40" t="s">
        <v>1985</v>
      </c>
      <c r="E247" s="5" t="s">
        <v>1018</v>
      </c>
      <c r="F247" s="8" t="s">
        <v>1169</v>
      </c>
      <c r="G247" s="5" t="s">
        <v>1170</v>
      </c>
      <c r="H247" s="5" t="s">
        <v>151</v>
      </c>
      <c r="I247" s="8" t="s">
        <v>1171</v>
      </c>
      <c r="J247" s="2">
        <v>43544</v>
      </c>
      <c r="K247" s="2">
        <v>44671</v>
      </c>
      <c r="L247" s="16">
        <f t="shared" si="138"/>
        <v>85.000000823943722</v>
      </c>
      <c r="M247" s="3">
        <v>7</v>
      </c>
      <c r="N247" s="3" t="s">
        <v>725</v>
      </c>
      <c r="O247" s="3" t="s">
        <v>725</v>
      </c>
      <c r="P247" s="3" t="s">
        <v>174</v>
      </c>
      <c r="Q247" s="5" t="s">
        <v>34</v>
      </c>
      <c r="R247" s="4">
        <f t="shared" si="139"/>
        <v>2630640.86</v>
      </c>
      <c r="S247" s="1">
        <v>2630640.86</v>
      </c>
      <c r="T247" s="87">
        <v>0</v>
      </c>
      <c r="U247" s="4">
        <f t="shared" si="142"/>
        <v>402333.28</v>
      </c>
      <c r="V247" s="71">
        <v>402333.28</v>
      </c>
      <c r="W247" s="127">
        <v>0</v>
      </c>
      <c r="X247" s="4">
        <f t="shared" si="143"/>
        <v>61897.43</v>
      </c>
      <c r="Y247" s="1">
        <v>61897.43</v>
      </c>
      <c r="Z247" s="87">
        <v>0</v>
      </c>
      <c r="AA247" s="9">
        <f t="shared" si="140"/>
        <v>0</v>
      </c>
      <c r="AB247" s="10">
        <v>0</v>
      </c>
      <c r="AC247" s="10">
        <v>0</v>
      </c>
      <c r="AD247" s="44">
        <f t="shared" si="117"/>
        <v>3094871.57</v>
      </c>
      <c r="AE247" s="9">
        <v>7140</v>
      </c>
      <c r="AF247" s="9">
        <f t="shared" si="141"/>
        <v>3102011.57</v>
      </c>
      <c r="AG247" s="59" t="s">
        <v>515</v>
      </c>
      <c r="AH247" s="13" t="s">
        <v>1967</v>
      </c>
      <c r="AI247" s="160">
        <f>370146.45+51053.55+52313.69+29908.99+27857.94+32148.74</f>
        <v>563429.36</v>
      </c>
      <c r="AJ247" s="1">
        <f>56610.59+7808.19+8000.91+4574.32+4260.63+4916.87</f>
        <v>86171.510000000009</v>
      </c>
    </row>
    <row r="248" spans="1:36" ht="262.5" customHeight="1" x14ac:dyDescent="0.25">
      <c r="A248" s="5">
        <f t="shared" si="118"/>
        <v>245</v>
      </c>
      <c r="B248" s="15">
        <v>126475</v>
      </c>
      <c r="C248" s="5">
        <v>563</v>
      </c>
      <c r="D248" s="40" t="s">
        <v>1985</v>
      </c>
      <c r="E248" s="5" t="s">
        <v>1018</v>
      </c>
      <c r="F248" s="8" t="s">
        <v>1172</v>
      </c>
      <c r="G248" s="5" t="s">
        <v>722</v>
      </c>
      <c r="H248" s="5" t="s">
        <v>723</v>
      </c>
      <c r="I248" s="8" t="s">
        <v>1173</v>
      </c>
      <c r="J248" s="2">
        <v>43546</v>
      </c>
      <c r="K248" s="2">
        <v>44461</v>
      </c>
      <c r="L248" s="16">
        <f t="shared" si="138"/>
        <v>84.852694957888701</v>
      </c>
      <c r="M248" s="3">
        <v>7</v>
      </c>
      <c r="N248" s="3" t="s">
        <v>725</v>
      </c>
      <c r="O248" s="3" t="s">
        <v>725</v>
      </c>
      <c r="P248" s="3" t="s">
        <v>174</v>
      </c>
      <c r="Q248" s="5" t="s">
        <v>34</v>
      </c>
      <c r="R248" s="4">
        <f t="shared" si="139"/>
        <v>3141080.49</v>
      </c>
      <c r="S248" s="1">
        <v>3141080.49</v>
      </c>
      <c r="T248" s="87">
        <v>0</v>
      </c>
      <c r="U248" s="4">
        <f t="shared" si="142"/>
        <v>486687.44</v>
      </c>
      <c r="V248" s="71">
        <v>486687.44</v>
      </c>
      <c r="W248" s="127">
        <v>0</v>
      </c>
      <c r="X248" s="4">
        <f t="shared" si="143"/>
        <v>67620.820000000007</v>
      </c>
      <c r="Y248" s="1">
        <v>67620.820000000007</v>
      </c>
      <c r="Z248" s="87">
        <v>0</v>
      </c>
      <c r="AA248" s="9">
        <f t="shared" si="140"/>
        <v>6415.29</v>
      </c>
      <c r="AB248" s="10">
        <v>6415.29</v>
      </c>
      <c r="AC248" s="10">
        <v>0</v>
      </c>
      <c r="AD248" s="44">
        <f t="shared" si="117"/>
        <v>3701804.04</v>
      </c>
      <c r="AE248" s="11">
        <v>0</v>
      </c>
      <c r="AF248" s="9">
        <f t="shared" si="141"/>
        <v>3701804.04</v>
      </c>
      <c r="AG248" s="59" t="s">
        <v>515</v>
      </c>
      <c r="AH248" s="13" t="s">
        <v>2092</v>
      </c>
      <c r="AI248" s="160">
        <f>237041.31+26332.56+366510.56+21875.84+506442.81-2889.74+19264.93+477683.17+18319.98-66.42+467774.13</f>
        <v>2138289.13</v>
      </c>
      <c r="AJ248" s="1">
        <f>37803.32+56054.55+3860.43+77455.96+2889.74+73057.43+3232.92+66.42+71541.91</f>
        <v>325962.68000000005</v>
      </c>
    </row>
    <row r="249" spans="1:36" ht="262.5" customHeight="1" x14ac:dyDescent="0.25">
      <c r="A249" s="5">
        <f t="shared" si="118"/>
        <v>246</v>
      </c>
      <c r="B249" s="15">
        <v>129622</v>
      </c>
      <c r="C249" s="5">
        <v>660</v>
      </c>
      <c r="D249" s="40" t="s">
        <v>1985</v>
      </c>
      <c r="E249" s="5" t="s">
        <v>1246</v>
      </c>
      <c r="F249" s="8" t="s">
        <v>1358</v>
      </c>
      <c r="G249" s="5" t="s">
        <v>1359</v>
      </c>
      <c r="H249" s="5" t="s">
        <v>151</v>
      </c>
      <c r="I249" s="8" t="s">
        <v>1480</v>
      </c>
      <c r="J249" s="2">
        <v>43658</v>
      </c>
      <c r="K249" s="2">
        <v>44542</v>
      </c>
      <c r="L249" s="16">
        <f t="shared" si="138"/>
        <v>85.000000125030468</v>
      </c>
      <c r="M249" s="3">
        <v>7</v>
      </c>
      <c r="N249" s="3" t="s">
        <v>725</v>
      </c>
      <c r="O249" s="3" t="s">
        <v>1359</v>
      </c>
      <c r="P249" s="3" t="s">
        <v>174</v>
      </c>
      <c r="Q249" s="5" t="s">
        <v>34</v>
      </c>
      <c r="R249" s="4">
        <f t="shared" si="139"/>
        <v>3399171.34</v>
      </c>
      <c r="S249" s="1">
        <v>3399171.34</v>
      </c>
      <c r="T249" s="87">
        <v>0</v>
      </c>
      <c r="U249" s="4">
        <f t="shared" si="142"/>
        <v>519873.26</v>
      </c>
      <c r="V249" s="71">
        <v>519873.26</v>
      </c>
      <c r="W249" s="127">
        <v>0</v>
      </c>
      <c r="X249" s="4">
        <f t="shared" si="143"/>
        <v>79980.5</v>
      </c>
      <c r="Y249" s="1">
        <v>79980.5</v>
      </c>
      <c r="Z249" s="87">
        <v>0</v>
      </c>
      <c r="AA249" s="9">
        <f t="shared" si="140"/>
        <v>0</v>
      </c>
      <c r="AB249" s="10">
        <v>0</v>
      </c>
      <c r="AC249" s="10">
        <v>0</v>
      </c>
      <c r="AD249" s="44">
        <f t="shared" si="117"/>
        <v>3999025.0999999996</v>
      </c>
      <c r="AE249" s="162">
        <v>0</v>
      </c>
      <c r="AF249" s="9">
        <f t="shared" si="141"/>
        <v>3999025.0999999996</v>
      </c>
      <c r="AG249" s="59" t="s">
        <v>515</v>
      </c>
      <c r="AH249" s="13" t="s">
        <v>151</v>
      </c>
      <c r="AI249" s="160">
        <f>343094.2-3035.63-16936.36+315374.33-32128.75+325893.07+273927.11+376480.47+329014.87-11990.79</f>
        <v>1899692.52</v>
      </c>
      <c r="AJ249" s="1">
        <f>4707.04+14150.24+4556.89+6032.52+3035.63+16936.36+32128.75+99719.83+50066.77+11990.79</f>
        <v>243324.82</v>
      </c>
    </row>
    <row r="250" spans="1:36" ht="187.5" customHeight="1" x14ac:dyDescent="0.25">
      <c r="A250" s="5">
        <f t="shared" si="118"/>
        <v>247</v>
      </c>
      <c r="B250" s="15">
        <v>135967</v>
      </c>
      <c r="C250" s="5">
        <v>770</v>
      </c>
      <c r="D250" s="40" t="s">
        <v>1985</v>
      </c>
      <c r="E250" s="17" t="s">
        <v>1701</v>
      </c>
      <c r="F250" s="8" t="s">
        <v>1708</v>
      </c>
      <c r="G250" s="5" t="s">
        <v>1170</v>
      </c>
      <c r="H250" s="5" t="s">
        <v>151</v>
      </c>
      <c r="I250" s="41" t="s">
        <v>1709</v>
      </c>
      <c r="J250" s="2">
        <v>43949</v>
      </c>
      <c r="K250" s="2">
        <v>44589</v>
      </c>
      <c r="L250" s="16">
        <f t="shared" si="138"/>
        <v>85</v>
      </c>
      <c r="M250" s="3">
        <v>7</v>
      </c>
      <c r="N250" s="3" t="s">
        <v>725</v>
      </c>
      <c r="O250" s="3" t="s">
        <v>1170</v>
      </c>
      <c r="P250" s="3" t="s">
        <v>174</v>
      </c>
      <c r="Q250" s="5" t="s">
        <v>34</v>
      </c>
      <c r="R250" s="4">
        <f t="shared" si="139"/>
        <v>848725</v>
      </c>
      <c r="S250" s="1">
        <v>848725</v>
      </c>
      <c r="T250" s="87">
        <v>0</v>
      </c>
      <c r="U250" s="4">
        <f t="shared" si="142"/>
        <v>129805</v>
      </c>
      <c r="V250" s="71">
        <v>129805</v>
      </c>
      <c r="W250" s="127">
        <v>0</v>
      </c>
      <c r="X250" s="4">
        <f t="shared" si="143"/>
        <v>19970</v>
      </c>
      <c r="Y250" s="1">
        <v>19970</v>
      </c>
      <c r="Z250" s="87">
        <v>0</v>
      </c>
      <c r="AA250" s="9">
        <f t="shared" si="140"/>
        <v>0</v>
      </c>
      <c r="AB250" s="10">
        <v>0</v>
      </c>
      <c r="AC250" s="10">
        <v>0</v>
      </c>
      <c r="AD250" s="44">
        <f t="shared" si="117"/>
        <v>998500</v>
      </c>
      <c r="AE250" s="162">
        <v>0</v>
      </c>
      <c r="AF250" s="9">
        <f t="shared" si="141"/>
        <v>998500</v>
      </c>
      <c r="AG250" s="59" t="s">
        <v>515</v>
      </c>
      <c r="AH250" s="13" t="s">
        <v>151</v>
      </c>
      <c r="AI250" s="160">
        <f>23413.25+1502.08</f>
        <v>24915.33</v>
      </c>
      <c r="AJ250" s="1">
        <f>3580.85+229.73</f>
        <v>3810.58</v>
      </c>
    </row>
    <row r="251" spans="1:36" ht="141.75" x14ac:dyDescent="0.25">
      <c r="A251" s="5">
        <f t="shared" si="118"/>
        <v>248</v>
      </c>
      <c r="B251" s="15">
        <v>136083</v>
      </c>
      <c r="C251" s="5">
        <v>836</v>
      </c>
      <c r="D251" s="40" t="s">
        <v>1985</v>
      </c>
      <c r="E251" s="17" t="s">
        <v>1701</v>
      </c>
      <c r="F251" s="8" t="s">
        <v>1885</v>
      </c>
      <c r="G251" s="5" t="s">
        <v>722</v>
      </c>
      <c r="H251" s="5" t="s">
        <v>151</v>
      </c>
      <c r="I251" s="41" t="s">
        <v>1997</v>
      </c>
      <c r="J251" s="2">
        <v>44018</v>
      </c>
      <c r="K251" s="2">
        <v>44871</v>
      </c>
      <c r="L251" s="16">
        <f t="shared" si="138"/>
        <v>84.999999799611231</v>
      </c>
      <c r="M251" s="3">
        <v>7</v>
      </c>
      <c r="N251" s="3" t="s">
        <v>725</v>
      </c>
      <c r="O251" s="3" t="s">
        <v>1886</v>
      </c>
      <c r="P251" s="3" t="s">
        <v>174</v>
      </c>
      <c r="Q251" s="5" t="s">
        <v>34</v>
      </c>
      <c r="R251" s="4">
        <f t="shared" si="139"/>
        <v>2545052.79</v>
      </c>
      <c r="S251" s="1">
        <v>2545052.79</v>
      </c>
      <c r="T251" s="87">
        <v>0</v>
      </c>
      <c r="U251" s="4">
        <f t="shared" si="142"/>
        <v>389243.37</v>
      </c>
      <c r="V251" s="71">
        <v>389243.37</v>
      </c>
      <c r="W251" s="127">
        <v>0</v>
      </c>
      <c r="X251" s="4">
        <f t="shared" si="143"/>
        <v>59883.6</v>
      </c>
      <c r="Y251" s="1">
        <v>59883.6</v>
      </c>
      <c r="Z251" s="87">
        <v>0</v>
      </c>
      <c r="AA251" s="9">
        <f t="shared" si="140"/>
        <v>0</v>
      </c>
      <c r="AB251" s="10">
        <v>0</v>
      </c>
      <c r="AC251" s="10">
        <v>0</v>
      </c>
      <c r="AD251" s="44">
        <f t="shared" si="117"/>
        <v>2994179.7600000002</v>
      </c>
      <c r="AE251" s="162">
        <v>0</v>
      </c>
      <c r="AF251" s="9">
        <f t="shared" si="141"/>
        <v>2994179.7600000002</v>
      </c>
      <c r="AG251" s="59" t="s">
        <v>515</v>
      </c>
      <c r="AH251" s="13" t="s">
        <v>151</v>
      </c>
      <c r="AI251" s="160">
        <v>58043.12</v>
      </c>
      <c r="AJ251" s="160">
        <v>8877.18</v>
      </c>
    </row>
    <row r="252" spans="1:36" ht="267.75" x14ac:dyDescent="0.25">
      <c r="A252" s="5">
        <f t="shared" si="118"/>
        <v>249</v>
      </c>
      <c r="B252" s="15">
        <v>136328</v>
      </c>
      <c r="C252" s="5">
        <v>844</v>
      </c>
      <c r="D252" s="40" t="s">
        <v>1985</v>
      </c>
      <c r="E252" s="17" t="s">
        <v>1701</v>
      </c>
      <c r="F252" s="8" t="s">
        <v>1895</v>
      </c>
      <c r="G252" s="5" t="s">
        <v>1359</v>
      </c>
      <c r="H252" s="5" t="s">
        <v>151</v>
      </c>
      <c r="I252" s="41" t="s">
        <v>1896</v>
      </c>
      <c r="J252" s="2">
        <v>44020</v>
      </c>
      <c r="K252" s="2">
        <v>44689</v>
      </c>
      <c r="L252" s="16">
        <f t="shared" si="138"/>
        <v>85.000000347346798</v>
      </c>
      <c r="M252" s="3">
        <v>7</v>
      </c>
      <c r="N252" s="3" t="s">
        <v>725</v>
      </c>
      <c r="O252" s="3" t="s">
        <v>1897</v>
      </c>
      <c r="P252" s="3" t="s">
        <v>174</v>
      </c>
      <c r="Q252" s="5" t="s">
        <v>34</v>
      </c>
      <c r="R252" s="4">
        <f t="shared" si="139"/>
        <v>2447121.96</v>
      </c>
      <c r="S252" s="1">
        <v>2447121.96</v>
      </c>
      <c r="T252" s="87">
        <v>0</v>
      </c>
      <c r="U252" s="4">
        <f t="shared" si="142"/>
        <v>374265.7</v>
      </c>
      <c r="V252" s="71">
        <v>374265.7</v>
      </c>
      <c r="W252" s="127">
        <v>0</v>
      </c>
      <c r="X252" s="4">
        <f t="shared" si="143"/>
        <v>57579.34</v>
      </c>
      <c r="Y252" s="1">
        <v>57579.34</v>
      </c>
      <c r="Z252" s="87">
        <v>0</v>
      </c>
      <c r="AA252" s="9">
        <f t="shared" si="140"/>
        <v>0</v>
      </c>
      <c r="AB252" s="10">
        <v>0</v>
      </c>
      <c r="AC252" s="10">
        <v>0</v>
      </c>
      <c r="AD252" s="44">
        <f t="shared" si="117"/>
        <v>2878967</v>
      </c>
      <c r="AE252" s="162">
        <v>0</v>
      </c>
      <c r="AF252" s="9">
        <f t="shared" si="141"/>
        <v>2878967</v>
      </c>
      <c r="AG252" s="59" t="s">
        <v>515</v>
      </c>
      <c r="AH252" s="13" t="s">
        <v>2213</v>
      </c>
      <c r="AI252" s="160">
        <f>265023-6347.44-21588.71</f>
        <v>237086.85</v>
      </c>
      <c r="AJ252" s="160">
        <f>6347.44+21588.71</f>
        <v>27936.149999999998</v>
      </c>
    </row>
    <row r="253" spans="1:36" ht="252" x14ac:dyDescent="0.25">
      <c r="A253" s="5">
        <f t="shared" si="118"/>
        <v>250</v>
      </c>
      <c r="B253" s="15">
        <v>117764</v>
      </c>
      <c r="C253" s="5">
        <v>416</v>
      </c>
      <c r="D253" s="8" t="s">
        <v>1986</v>
      </c>
      <c r="E253" s="8" t="s">
        <v>540</v>
      </c>
      <c r="F253" s="8" t="s">
        <v>827</v>
      </c>
      <c r="G253" s="5" t="s">
        <v>828</v>
      </c>
      <c r="H253" s="5" t="s">
        <v>151</v>
      </c>
      <c r="I253" s="163" t="s">
        <v>1483</v>
      </c>
      <c r="J253" s="2">
        <v>43326</v>
      </c>
      <c r="K253" s="2">
        <v>43813</v>
      </c>
      <c r="L253" s="16">
        <f t="shared" ref="L253:L258" si="144">R253/AD253*100</f>
        <v>85.000000298812211</v>
      </c>
      <c r="M253" s="5">
        <v>1</v>
      </c>
      <c r="N253" s="5" t="s">
        <v>426</v>
      </c>
      <c r="O253" s="5" t="s">
        <v>426</v>
      </c>
      <c r="P253" s="5" t="s">
        <v>174</v>
      </c>
      <c r="Q253" s="3" t="s">
        <v>34</v>
      </c>
      <c r="R253" s="4">
        <f t="shared" ref="R253:R258" si="145">S253+T253</f>
        <v>284459.59000000003</v>
      </c>
      <c r="S253" s="1">
        <v>284459.59000000003</v>
      </c>
      <c r="T253" s="87">
        <v>0</v>
      </c>
      <c r="U253" s="4">
        <f t="shared" ref="U253:U258" si="146">V253+W253</f>
        <v>43505.58</v>
      </c>
      <c r="V253" s="71">
        <v>43505.58</v>
      </c>
      <c r="W253" s="127">
        <v>0</v>
      </c>
      <c r="X253" s="1">
        <f t="shared" ref="X253:X258" si="147">Y253+Z253</f>
        <v>6693.17</v>
      </c>
      <c r="Y253" s="1">
        <v>6693.17</v>
      </c>
      <c r="Z253" s="87">
        <v>0</v>
      </c>
      <c r="AA253" s="9">
        <f t="shared" ref="AA253:AA258" si="148">AB253+AC253</f>
        <v>0</v>
      </c>
      <c r="AB253" s="70">
        <v>0</v>
      </c>
      <c r="AC253" s="70">
        <v>0</v>
      </c>
      <c r="AD253" s="44">
        <f t="shared" si="117"/>
        <v>334658.34000000003</v>
      </c>
      <c r="AE253" s="59">
        <v>0</v>
      </c>
      <c r="AF253" s="9">
        <f t="shared" ref="AF253:AF258" si="149">AD253+AE253</f>
        <v>334658.34000000003</v>
      </c>
      <c r="AG253" s="49" t="s">
        <v>966</v>
      </c>
      <c r="AH253" s="59" t="s">
        <v>151</v>
      </c>
      <c r="AI253" s="9">
        <v>113379.81</v>
      </c>
      <c r="AJ253" s="9">
        <v>17340.43</v>
      </c>
    </row>
    <row r="254" spans="1:36" ht="141.75" x14ac:dyDescent="0.25">
      <c r="A254" s="5">
        <f t="shared" si="118"/>
        <v>251</v>
      </c>
      <c r="B254" s="15">
        <v>128093</v>
      </c>
      <c r="C254" s="5">
        <v>626</v>
      </c>
      <c r="D254" s="40" t="s">
        <v>1985</v>
      </c>
      <c r="E254" s="8" t="s">
        <v>1246</v>
      </c>
      <c r="F254" s="8" t="s">
        <v>1377</v>
      </c>
      <c r="G254" s="5" t="s">
        <v>1378</v>
      </c>
      <c r="H254" s="5" t="s">
        <v>151</v>
      </c>
      <c r="I254" s="8" t="s">
        <v>1379</v>
      </c>
      <c r="J254" s="2">
        <v>43670</v>
      </c>
      <c r="K254" s="2">
        <v>44401</v>
      </c>
      <c r="L254" s="16">
        <f t="shared" si="144"/>
        <v>85.000000000000014</v>
      </c>
      <c r="M254" s="5">
        <v>1</v>
      </c>
      <c r="N254" s="5" t="s">
        <v>426</v>
      </c>
      <c r="O254" s="5" t="s">
        <v>426</v>
      </c>
      <c r="P254" s="5" t="s">
        <v>174</v>
      </c>
      <c r="Q254" s="3" t="s">
        <v>34</v>
      </c>
      <c r="R254" s="4">
        <f t="shared" si="145"/>
        <v>2360805.2999999998</v>
      </c>
      <c r="S254" s="1">
        <v>2360805.2999999998</v>
      </c>
      <c r="T254" s="87">
        <v>0</v>
      </c>
      <c r="U254" s="4">
        <f t="shared" si="146"/>
        <v>361064.38</v>
      </c>
      <c r="V254" s="71">
        <v>361064.38</v>
      </c>
      <c r="W254" s="127">
        <v>0</v>
      </c>
      <c r="X254" s="1">
        <f t="shared" si="147"/>
        <v>55548.32</v>
      </c>
      <c r="Y254" s="1">
        <v>55548.32</v>
      </c>
      <c r="Z254" s="87">
        <v>0</v>
      </c>
      <c r="AA254" s="9">
        <f t="shared" si="148"/>
        <v>0</v>
      </c>
      <c r="AB254" s="87">
        <v>0</v>
      </c>
      <c r="AC254" s="87">
        <v>0</v>
      </c>
      <c r="AD254" s="44">
        <f t="shared" si="117"/>
        <v>2777417.9999999995</v>
      </c>
      <c r="AE254" s="59">
        <v>0</v>
      </c>
      <c r="AF254" s="9">
        <f t="shared" si="149"/>
        <v>2777417.9999999995</v>
      </c>
      <c r="AG254" s="59" t="s">
        <v>515</v>
      </c>
      <c r="AH254" s="59"/>
      <c r="AI254" s="9">
        <f>322900.1+67975.35+61200.54+167474.18+120525.39+40857.99+61301.45</f>
        <v>842234.99999999988</v>
      </c>
      <c r="AJ254" s="9">
        <f>49384.72+10396.23+9360.09+25613.7+18433.3+6248.87+9375.51</f>
        <v>128812.41999999998</v>
      </c>
    </row>
    <row r="255" spans="1:36" ht="252" x14ac:dyDescent="0.25">
      <c r="A255" s="5">
        <f t="shared" si="118"/>
        <v>252</v>
      </c>
      <c r="B255" s="15">
        <v>136121</v>
      </c>
      <c r="C255" s="5">
        <v>778</v>
      </c>
      <c r="D255" s="40" t="s">
        <v>1985</v>
      </c>
      <c r="E255" s="81" t="s">
        <v>1701</v>
      </c>
      <c r="F255" s="8" t="s">
        <v>1795</v>
      </c>
      <c r="G255" s="5" t="s">
        <v>1794</v>
      </c>
      <c r="H255" s="5" t="s">
        <v>151</v>
      </c>
      <c r="I255" s="8" t="s">
        <v>1796</v>
      </c>
      <c r="J255" s="2">
        <v>43973</v>
      </c>
      <c r="K255" s="2">
        <v>44887</v>
      </c>
      <c r="L255" s="16">
        <f t="shared" si="144"/>
        <v>85.000000076716475</v>
      </c>
      <c r="M255" s="5">
        <v>1</v>
      </c>
      <c r="N255" s="5" t="s">
        <v>426</v>
      </c>
      <c r="O255" s="5" t="s">
        <v>1797</v>
      </c>
      <c r="P255" s="65" t="s">
        <v>174</v>
      </c>
      <c r="Q255" s="62" t="s">
        <v>34</v>
      </c>
      <c r="R255" s="4">
        <f t="shared" si="145"/>
        <v>3323927.74</v>
      </c>
      <c r="S255" s="1">
        <v>3323927.74</v>
      </c>
      <c r="T255" s="87">
        <v>0</v>
      </c>
      <c r="U255" s="4">
        <f t="shared" si="146"/>
        <v>508365.42</v>
      </c>
      <c r="V255" s="71">
        <v>508365.42</v>
      </c>
      <c r="W255" s="127">
        <v>0</v>
      </c>
      <c r="X255" s="1">
        <f t="shared" si="147"/>
        <v>78210.06</v>
      </c>
      <c r="Y255" s="1">
        <v>78210.06</v>
      </c>
      <c r="Z255" s="87">
        <v>0</v>
      </c>
      <c r="AA255" s="9">
        <f t="shared" si="148"/>
        <v>0</v>
      </c>
      <c r="AB255" s="87">
        <v>0</v>
      </c>
      <c r="AC255" s="87">
        <v>0</v>
      </c>
      <c r="AD255" s="44">
        <f t="shared" si="117"/>
        <v>3910503.22</v>
      </c>
      <c r="AE255" s="59">
        <v>0</v>
      </c>
      <c r="AF255" s="9">
        <f t="shared" si="149"/>
        <v>3910503.22</v>
      </c>
      <c r="AG255" s="59" t="s">
        <v>515</v>
      </c>
      <c r="AH255" s="59"/>
      <c r="AI255" s="9">
        <f>30250.4+23570.5+87729.35</f>
        <v>141550.25</v>
      </c>
      <c r="AJ255" s="9">
        <f>4626.53+3604.9+13417.43</f>
        <v>21648.86</v>
      </c>
    </row>
    <row r="256" spans="1:36" ht="220.5" x14ac:dyDescent="0.25">
      <c r="A256" s="5">
        <f t="shared" si="118"/>
        <v>253</v>
      </c>
      <c r="B256" s="15">
        <v>136253</v>
      </c>
      <c r="C256" s="5">
        <v>786</v>
      </c>
      <c r="D256" s="40" t="s">
        <v>1985</v>
      </c>
      <c r="E256" s="81" t="s">
        <v>1701</v>
      </c>
      <c r="F256" s="8" t="s">
        <v>1805</v>
      </c>
      <c r="G256" s="5" t="s">
        <v>1806</v>
      </c>
      <c r="H256" s="5" t="s">
        <v>151</v>
      </c>
      <c r="I256" s="8" t="s">
        <v>1807</v>
      </c>
      <c r="J256" s="2">
        <v>43977</v>
      </c>
      <c r="K256" s="2">
        <v>44891</v>
      </c>
      <c r="L256" s="16">
        <f t="shared" si="144"/>
        <v>85.000000077356688</v>
      </c>
      <c r="M256" s="5">
        <v>1</v>
      </c>
      <c r="N256" s="5" t="s">
        <v>426</v>
      </c>
      <c r="O256" s="5" t="s">
        <v>1808</v>
      </c>
      <c r="P256" s="65" t="s">
        <v>174</v>
      </c>
      <c r="Q256" s="62" t="s">
        <v>34</v>
      </c>
      <c r="R256" s="4">
        <f t="shared" si="145"/>
        <v>3296418.51</v>
      </c>
      <c r="S256" s="1">
        <v>3296418.51</v>
      </c>
      <c r="T256" s="87">
        <v>0</v>
      </c>
      <c r="U256" s="4">
        <f t="shared" si="146"/>
        <v>504158.13</v>
      </c>
      <c r="V256" s="71">
        <v>504158.13</v>
      </c>
      <c r="W256" s="127">
        <v>0</v>
      </c>
      <c r="X256" s="1">
        <f t="shared" si="147"/>
        <v>77562.78</v>
      </c>
      <c r="Y256" s="1">
        <v>77562.78</v>
      </c>
      <c r="Z256" s="87">
        <v>0</v>
      </c>
      <c r="AA256" s="9">
        <f t="shared" si="148"/>
        <v>0</v>
      </c>
      <c r="AB256" s="87">
        <v>0</v>
      </c>
      <c r="AC256" s="87">
        <v>0</v>
      </c>
      <c r="AD256" s="44">
        <f t="shared" si="117"/>
        <v>3878139.4199999995</v>
      </c>
      <c r="AE256" s="164">
        <v>0</v>
      </c>
      <c r="AF256" s="9">
        <f t="shared" si="149"/>
        <v>3878139.4199999995</v>
      </c>
      <c r="AG256" s="59" t="s">
        <v>515</v>
      </c>
      <c r="AH256" s="59"/>
      <c r="AI256" s="9">
        <f>46849.45+76037.6+46900.45</f>
        <v>169787.5</v>
      </c>
      <c r="AJ256" s="9">
        <f>7165.21+11629.28+7173.01</f>
        <v>25967.5</v>
      </c>
    </row>
    <row r="257" spans="1:36" ht="88.5" customHeight="1" x14ac:dyDescent="0.25">
      <c r="A257" s="5">
        <f t="shared" si="118"/>
        <v>254</v>
      </c>
      <c r="B257" s="15">
        <v>135768</v>
      </c>
      <c r="C257" s="5">
        <v>782</v>
      </c>
      <c r="D257" s="40" t="s">
        <v>1985</v>
      </c>
      <c r="E257" s="81" t="s">
        <v>1701</v>
      </c>
      <c r="F257" s="8" t="s">
        <v>1819</v>
      </c>
      <c r="G257" s="5" t="s">
        <v>828</v>
      </c>
      <c r="H257" s="5" t="s">
        <v>151</v>
      </c>
      <c r="I257" s="8" t="s">
        <v>1820</v>
      </c>
      <c r="J257" s="2">
        <v>43998</v>
      </c>
      <c r="K257" s="2">
        <v>44728</v>
      </c>
      <c r="L257" s="16">
        <f t="shared" si="144"/>
        <v>85.000000630128795</v>
      </c>
      <c r="M257" s="5">
        <v>1</v>
      </c>
      <c r="N257" s="5" t="s">
        <v>426</v>
      </c>
      <c r="O257" s="5" t="s">
        <v>1821</v>
      </c>
      <c r="P257" s="65" t="s">
        <v>174</v>
      </c>
      <c r="Q257" s="62" t="s">
        <v>34</v>
      </c>
      <c r="R257" s="4">
        <f t="shared" si="145"/>
        <v>1011697.93</v>
      </c>
      <c r="S257" s="1">
        <v>1011697.93</v>
      </c>
      <c r="T257" s="87">
        <v>0</v>
      </c>
      <c r="U257" s="4">
        <f t="shared" si="146"/>
        <v>154730.26000000004</v>
      </c>
      <c r="V257" s="71">
        <v>154730.26000000004</v>
      </c>
      <c r="W257" s="127">
        <v>0</v>
      </c>
      <c r="X257" s="1">
        <f t="shared" si="147"/>
        <v>23804.66</v>
      </c>
      <c r="Y257" s="1">
        <v>23804.66</v>
      </c>
      <c r="Z257" s="87">
        <v>0</v>
      </c>
      <c r="AA257" s="9">
        <f t="shared" si="148"/>
        <v>0</v>
      </c>
      <c r="AB257" s="87">
        <v>0</v>
      </c>
      <c r="AC257" s="87">
        <v>0</v>
      </c>
      <c r="AD257" s="44">
        <f t="shared" si="117"/>
        <v>1190232.8500000001</v>
      </c>
      <c r="AE257" s="164">
        <v>0</v>
      </c>
      <c r="AF257" s="9">
        <f t="shared" si="149"/>
        <v>1190232.8500000001</v>
      </c>
      <c r="AG257" s="59" t="s">
        <v>515</v>
      </c>
      <c r="AH257" s="59" t="s">
        <v>2169</v>
      </c>
      <c r="AI257" s="9">
        <f>67626-4071.15</f>
        <v>63554.85</v>
      </c>
      <c r="AJ257" s="9">
        <v>4071.15</v>
      </c>
    </row>
    <row r="258" spans="1:36" ht="106.5" customHeight="1" x14ac:dyDescent="0.25">
      <c r="A258" s="5">
        <f t="shared" si="118"/>
        <v>255</v>
      </c>
      <c r="B258" s="15">
        <v>136101</v>
      </c>
      <c r="C258" s="5">
        <v>777</v>
      </c>
      <c r="D258" s="40" t="s">
        <v>1985</v>
      </c>
      <c r="E258" s="81" t="s">
        <v>1701</v>
      </c>
      <c r="F258" s="8" t="s">
        <v>1822</v>
      </c>
      <c r="G258" s="5" t="s">
        <v>1823</v>
      </c>
      <c r="H258" s="5" t="s">
        <v>151</v>
      </c>
      <c r="I258" s="8" t="s">
        <v>1824</v>
      </c>
      <c r="J258" s="2">
        <v>43998</v>
      </c>
      <c r="K258" s="2">
        <v>44911</v>
      </c>
      <c r="L258" s="16">
        <f t="shared" si="144"/>
        <v>85.000000076954905</v>
      </c>
      <c r="M258" s="5">
        <v>1</v>
      </c>
      <c r="N258" s="5" t="s">
        <v>426</v>
      </c>
      <c r="O258" s="5" t="s">
        <v>1823</v>
      </c>
      <c r="P258" s="65" t="s">
        <v>174</v>
      </c>
      <c r="Q258" s="62" t="s">
        <v>34</v>
      </c>
      <c r="R258" s="4">
        <f t="shared" si="145"/>
        <v>3313628.46</v>
      </c>
      <c r="S258" s="1">
        <v>3313628.46</v>
      </c>
      <c r="T258" s="87">
        <v>0</v>
      </c>
      <c r="U258" s="4">
        <f t="shared" si="146"/>
        <v>506790.24</v>
      </c>
      <c r="V258" s="71">
        <v>506790.24</v>
      </c>
      <c r="W258" s="127">
        <v>0</v>
      </c>
      <c r="X258" s="1">
        <f t="shared" si="147"/>
        <v>77967.72</v>
      </c>
      <c r="Y258" s="1">
        <v>77967.72</v>
      </c>
      <c r="Z258" s="87">
        <v>0</v>
      </c>
      <c r="AA258" s="9">
        <f t="shared" si="148"/>
        <v>0</v>
      </c>
      <c r="AB258" s="87">
        <v>0</v>
      </c>
      <c r="AC258" s="87">
        <v>0</v>
      </c>
      <c r="AD258" s="44">
        <f t="shared" si="117"/>
        <v>3898386.4200000004</v>
      </c>
      <c r="AE258" s="164">
        <v>0</v>
      </c>
      <c r="AF258" s="9">
        <f t="shared" si="149"/>
        <v>3898386.4200000004</v>
      </c>
      <c r="AG258" s="59" t="s">
        <v>515</v>
      </c>
      <c r="AH258" s="59"/>
      <c r="AI258" s="9">
        <f>61251+21093.6</f>
        <v>82344.600000000006</v>
      </c>
      <c r="AJ258" s="9">
        <f>9367.8+3226.08</f>
        <v>12593.88</v>
      </c>
    </row>
    <row r="259" spans="1:36" ht="159" customHeight="1" x14ac:dyDescent="0.25">
      <c r="A259" s="5">
        <f t="shared" si="118"/>
        <v>256</v>
      </c>
      <c r="B259" s="15">
        <v>110909</v>
      </c>
      <c r="C259" s="6">
        <v>115</v>
      </c>
      <c r="D259" s="40" t="s">
        <v>1985</v>
      </c>
      <c r="E259" s="17" t="s">
        <v>278</v>
      </c>
      <c r="F259" s="3" t="s">
        <v>355</v>
      </c>
      <c r="G259" s="5" t="s">
        <v>354</v>
      </c>
      <c r="H259" s="5" t="s">
        <v>151</v>
      </c>
      <c r="I259" s="41" t="s">
        <v>356</v>
      </c>
      <c r="J259" s="2">
        <v>43214</v>
      </c>
      <c r="K259" s="2">
        <v>43762</v>
      </c>
      <c r="L259" s="16">
        <f>R259/AD259*100</f>
        <v>85.000000000000014</v>
      </c>
      <c r="M259" s="5">
        <v>3</v>
      </c>
      <c r="N259" s="5" t="s">
        <v>357</v>
      </c>
      <c r="O259" s="5" t="s">
        <v>366</v>
      </c>
      <c r="P259" s="3" t="s">
        <v>174</v>
      </c>
      <c r="Q259" s="5" t="s">
        <v>34</v>
      </c>
      <c r="R259" s="4">
        <f>S259+T259</f>
        <v>349633.9</v>
      </c>
      <c r="S259" s="87">
        <v>349633.9</v>
      </c>
      <c r="T259" s="87">
        <v>0</v>
      </c>
      <c r="U259" s="4">
        <f>V259+W259</f>
        <v>53473.42</v>
      </c>
      <c r="V259" s="127">
        <v>53473.42</v>
      </c>
      <c r="W259" s="127">
        <v>0</v>
      </c>
      <c r="X259" s="4">
        <f>Y259+Z259</f>
        <v>8226.68</v>
      </c>
      <c r="Y259" s="87">
        <v>8226.68</v>
      </c>
      <c r="Z259" s="87">
        <v>0</v>
      </c>
      <c r="AA259" s="9">
        <f>AB259+AC259</f>
        <v>0</v>
      </c>
      <c r="AB259" s="165">
        <v>0</v>
      </c>
      <c r="AC259" s="165">
        <v>0</v>
      </c>
      <c r="AD259" s="44">
        <f t="shared" si="117"/>
        <v>411334</v>
      </c>
      <c r="AE259" s="9">
        <v>0</v>
      </c>
      <c r="AF259" s="9">
        <f>AD259+AE259</f>
        <v>411334</v>
      </c>
      <c r="AG259" s="49" t="s">
        <v>966</v>
      </c>
      <c r="AH259" s="13" t="s">
        <v>1435</v>
      </c>
      <c r="AI259" s="1">
        <v>288582.45</v>
      </c>
      <c r="AJ259" s="1">
        <v>44136.13</v>
      </c>
    </row>
    <row r="260" spans="1:36" ht="204.75" x14ac:dyDescent="0.25">
      <c r="A260" s="5">
        <f t="shared" si="118"/>
        <v>257</v>
      </c>
      <c r="B260" s="15">
        <v>126118</v>
      </c>
      <c r="C260" s="6">
        <v>530</v>
      </c>
      <c r="D260" s="40" t="s">
        <v>1985</v>
      </c>
      <c r="E260" s="17" t="s">
        <v>1018</v>
      </c>
      <c r="F260" s="3" t="s">
        <v>1065</v>
      </c>
      <c r="G260" s="3" t="s">
        <v>1066</v>
      </c>
      <c r="H260" s="5" t="s">
        <v>362</v>
      </c>
      <c r="I260" s="41" t="s">
        <v>1067</v>
      </c>
      <c r="J260" s="2">
        <v>43447</v>
      </c>
      <c r="K260" s="2">
        <v>44755</v>
      </c>
      <c r="L260" s="16">
        <f>R260/AD260*100</f>
        <v>85.000000836129914</v>
      </c>
      <c r="M260" s="6">
        <v>3</v>
      </c>
      <c r="N260" s="5" t="s">
        <v>357</v>
      </c>
      <c r="O260" s="5" t="s">
        <v>357</v>
      </c>
      <c r="P260" s="3" t="s">
        <v>174</v>
      </c>
      <c r="Q260" s="5" t="s">
        <v>34</v>
      </c>
      <c r="R260" s="4">
        <f>S260+T260</f>
        <v>813270.76</v>
      </c>
      <c r="S260" s="87">
        <v>813270.76</v>
      </c>
      <c r="T260" s="87">
        <v>0</v>
      </c>
      <c r="U260" s="4">
        <f>V260+W260</f>
        <v>124382.58</v>
      </c>
      <c r="V260" s="127">
        <v>124382.58</v>
      </c>
      <c r="W260" s="127">
        <v>0</v>
      </c>
      <c r="X260" s="4">
        <f>Y260+Z260</f>
        <v>19135.78</v>
      </c>
      <c r="Y260" s="87">
        <v>19135.78</v>
      </c>
      <c r="Z260" s="87">
        <v>0</v>
      </c>
      <c r="AA260" s="9">
        <f>AB260+AC260</f>
        <v>0</v>
      </c>
      <c r="AB260" s="9">
        <v>0</v>
      </c>
      <c r="AC260" s="9">
        <v>0</v>
      </c>
      <c r="AD260" s="44">
        <f t="shared" si="117"/>
        <v>956789.12</v>
      </c>
      <c r="AE260" s="11"/>
      <c r="AF260" s="9">
        <f>AD260+AE260</f>
        <v>956789.12</v>
      </c>
      <c r="AG260" s="59" t="s">
        <v>515</v>
      </c>
      <c r="AH260" s="13" t="s">
        <v>1975</v>
      </c>
      <c r="AI260" s="1">
        <f>92794.07+26620.14</f>
        <v>119414.21</v>
      </c>
      <c r="AJ260" s="1">
        <f>14192.04+4071.32</f>
        <v>18263.36</v>
      </c>
    </row>
    <row r="261" spans="1:36" ht="204.75" x14ac:dyDescent="0.25">
      <c r="A261" s="5">
        <f t="shared" si="118"/>
        <v>258</v>
      </c>
      <c r="B261" s="15">
        <v>129759</v>
      </c>
      <c r="C261" s="6">
        <v>675</v>
      </c>
      <c r="D261" s="40" t="s">
        <v>1985</v>
      </c>
      <c r="E261" s="17" t="s">
        <v>1246</v>
      </c>
      <c r="F261" s="3" t="s">
        <v>1282</v>
      </c>
      <c r="G261" s="3" t="s">
        <v>2011</v>
      </c>
      <c r="H261" s="5" t="s">
        <v>362</v>
      </c>
      <c r="I261" s="41" t="s">
        <v>1283</v>
      </c>
      <c r="J261" s="2">
        <v>43622</v>
      </c>
      <c r="K261" s="2">
        <v>44261</v>
      </c>
      <c r="L261" s="16">
        <f>R261/AD261*100</f>
        <v>85.000000231937065</v>
      </c>
      <c r="M261" s="6">
        <v>3</v>
      </c>
      <c r="N261" s="5" t="s">
        <v>357</v>
      </c>
      <c r="O261" s="5" t="s">
        <v>357</v>
      </c>
      <c r="P261" s="3" t="s">
        <v>174</v>
      </c>
      <c r="Q261" s="5" t="s">
        <v>34</v>
      </c>
      <c r="R261" s="4">
        <f>S261+T261</f>
        <v>3298308.61</v>
      </c>
      <c r="S261" s="87">
        <v>3298308.61</v>
      </c>
      <c r="T261" s="87">
        <v>0</v>
      </c>
      <c r="U261" s="166">
        <f>V261+W261</f>
        <v>504447.19</v>
      </c>
      <c r="V261" s="127">
        <v>504447.19</v>
      </c>
      <c r="W261" s="127">
        <v>0</v>
      </c>
      <c r="X261" s="4">
        <f>Y261+Z261</f>
        <v>77607.259999999995</v>
      </c>
      <c r="Y261" s="87">
        <v>77607.259999999995</v>
      </c>
      <c r="Z261" s="87">
        <v>0</v>
      </c>
      <c r="AA261" s="9">
        <f>AB261+AC261</f>
        <v>0</v>
      </c>
      <c r="AB261" s="9">
        <v>0</v>
      </c>
      <c r="AC261" s="9">
        <v>0</v>
      </c>
      <c r="AD261" s="44">
        <f t="shared" ref="AD261:AD324" si="150">R261+U261+X261+AA261</f>
        <v>3880363.0599999996</v>
      </c>
      <c r="AE261" s="11"/>
      <c r="AF261" s="9">
        <f>AD261+AE261</f>
        <v>3880363.0599999996</v>
      </c>
      <c r="AG261" s="59" t="s">
        <v>966</v>
      </c>
      <c r="AH261" s="11"/>
      <c r="AI261" s="1">
        <f>350262.31-13137.88+459904.21+1860571.74-4239.22</f>
        <v>2653361.1599999997</v>
      </c>
      <c r="AJ261" s="1">
        <f>13345.6+16884.01+7544.38+13137.88+70338.29+284558.03</f>
        <v>405808.19</v>
      </c>
    </row>
    <row r="262" spans="1:36" ht="157.5" x14ac:dyDescent="0.25">
      <c r="A262" s="5">
        <f t="shared" ref="A262:A325" si="151">A261+1</f>
        <v>259</v>
      </c>
      <c r="B262" s="15">
        <v>129754</v>
      </c>
      <c r="C262" s="6">
        <v>674</v>
      </c>
      <c r="D262" s="40" t="s">
        <v>1985</v>
      </c>
      <c r="E262" s="17" t="s">
        <v>1246</v>
      </c>
      <c r="F262" s="3" t="s">
        <v>1292</v>
      </c>
      <c r="G262" s="3" t="s">
        <v>1066</v>
      </c>
      <c r="H262" s="5" t="s">
        <v>362</v>
      </c>
      <c r="I262" s="41" t="s">
        <v>1293</v>
      </c>
      <c r="J262" s="2">
        <v>43630</v>
      </c>
      <c r="K262" s="2">
        <v>44606</v>
      </c>
      <c r="L262" s="16">
        <f>R262/AD262*100</f>
        <v>85.000000138264667</v>
      </c>
      <c r="M262" s="6">
        <v>3</v>
      </c>
      <c r="N262" s="5" t="s">
        <v>357</v>
      </c>
      <c r="O262" s="5" t="s">
        <v>357</v>
      </c>
      <c r="P262" s="3" t="s">
        <v>174</v>
      </c>
      <c r="Q262" s="5" t="s">
        <v>34</v>
      </c>
      <c r="R262" s="4">
        <f>S262+T262</f>
        <v>2459052.1800000002</v>
      </c>
      <c r="S262" s="87">
        <v>2459052.1800000002</v>
      </c>
      <c r="T262" s="167">
        <v>0</v>
      </c>
      <c r="U262" s="4">
        <f>V262+W262</f>
        <v>376090.33</v>
      </c>
      <c r="V262" s="127">
        <v>376090.33</v>
      </c>
      <c r="W262" s="127">
        <v>0</v>
      </c>
      <c r="X262" s="4">
        <f>Y262+Z262</f>
        <v>57860.05</v>
      </c>
      <c r="Y262" s="87">
        <v>57860.05</v>
      </c>
      <c r="Z262" s="87">
        <v>0</v>
      </c>
      <c r="AA262" s="9">
        <f>AB262+AC262</f>
        <v>0</v>
      </c>
      <c r="AB262" s="9">
        <v>0</v>
      </c>
      <c r="AC262" s="9">
        <v>0</v>
      </c>
      <c r="AD262" s="44">
        <f t="shared" si="150"/>
        <v>2893002.56</v>
      </c>
      <c r="AE262" s="11">
        <v>0</v>
      </c>
      <c r="AF262" s="9">
        <f>AD262+AE262</f>
        <v>2893002.56</v>
      </c>
      <c r="AG262" s="59" t="s">
        <v>515</v>
      </c>
      <c r="AH262" s="59" t="s">
        <v>2092</v>
      </c>
      <c r="AI262" s="1">
        <f>102987.97+61200+27715.54+30570.65</f>
        <v>222474.16</v>
      </c>
      <c r="AJ262" s="1">
        <f>15751.1+9360+4238.85+4675.51</f>
        <v>34025.46</v>
      </c>
    </row>
    <row r="263" spans="1:36" ht="336.75" customHeight="1" x14ac:dyDescent="0.25">
      <c r="A263" s="5">
        <f t="shared" si="151"/>
        <v>260</v>
      </c>
      <c r="B263" s="15">
        <v>135765</v>
      </c>
      <c r="C263" s="6">
        <v>821</v>
      </c>
      <c r="D263" s="40" t="s">
        <v>1985</v>
      </c>
      <c r="E263" s="81" t="s">
        <v>1701</v>
      </c>
      <c r="F263" s="3" t="s">
        <v>1890</v>
      </c>
      <c r="G263" s="3" t="s">
        <v>1891</v>
      </c>
      <c r="H263" s="5" t="s">
        <v>1092</v>
      </c>
      <c r="I263" s="41" t="s">
        <v>1892</v>
      </c>
      <c r="J263" s="2">
        <v>44020</v>
      </c>
      <c r="K263" s="2">
        <v>44873</v>
      </c>
      <c r="L263" s="16">
        <f>R263/AD263*100</f>
        <v>84.714058426963518</v>
      </c>
      <c r="M263" s="6">
        <v>3</v>
      </c>
      <c r="N263" s="5" t="s">
        <v>357</v>
      </c>
      <c r="O263" s="5" t="s">
        <v>1891</v>
      </c>
      <c r="P263" s="3" t="s">
        <v>174</v>
      </c>
      <c r="Q263" s="5" t="s">
        <v>34</v>
      </c>
      <c r="R263" s="4">
        <f>S263+T263</f>
        <v>3306220.95</v>
      </c>
      <c r="S263" s="87">
        <v>3306220.95</v>
      </c>
      <c r="T263" s="167">
        <v>0</v>
      </c>
      <c r="U263" s="4">
        <f>V263+W263</f>
        <v>518523.83</v>
      </c>
      <c r="V263" s="127">
        <v>518523.83</v>
      </c>
      <c r="W263" s="127">
        <v>0</v>
      </c>
      <c r="X263" s="4">
        <f>Y263+Z263</f>
        <v>64926.92</v>
      </c>
      <c r="Y263" s="87">
        <v>64926.92</v>
      </c>
      <c r="Z263" s="87">
        <v>0</v>
      </c>
      <c r="AA263" s="9">
        <f>AB263+AC263</f>
        <v>13129.1</v>
      </c>
      <c r="AB263" s="9">
        <v>13129.1</v>
      </c>
      <c r="AC263" s="9">
        <v>0</v>
      </c>
      <c r="AD263" s="44">
        <f t="shared" si="150"/>
        <v>3902800.8000000003</v>
      </c>
      <c r="AE263" s="71">
        <v>97199.2</v>
      </c>
      <c r="AF263" s="9">
        <f>AD263+AE263</f>
        <v>4000000.0000000005</v>
      </c>
      <c r="AG263" s="59" t="s">
        <v>515</v>
      </c>
      <c r="AH263" s="11"/>
      <c r="AI263" s="1">
        <v>390280.08</v>
      </c>
      <c r="AJ263" s="1">
        <v>0</v>
      </c>
    </row>
    <row r="264" spans="1:36" ht="173.25" x14ac:dyDescent="0.25">
      <c r="A264" s="5">
        <f t="shared" si="151"/>
        <v>261</v>
      </c>
      <c r="B264" s="78">
        <v>119235</v>
      </c>
      <c r="C264" s="6">
        <v>479</v>
      </c>
      <c r="D264" s="40" t="s">
        <v>1985</v>
      </c>
      <c r="E264" s="8" t="s">
        <v>474</v>
      </c>
      <c r="F264" s="8" t="s">
        <v>574</v>
      </c>
      <c r="G264" s="5" t="s">
        <v>1802</v>
      </c>
      <c r="H264" s="5" t="s">
        <v>151</v>
      </c>
      <c r="I264" s="8" t="s">
        <v>575</v>
      </c>
      <c r="J264" s="2">
        <v>43276</v>
      </c>
      <c r="K264" s="2">
        <v>43702</v>
      </c>
      <c r="L264" s="16">
        <f t="shared" ref="L264:L269" si="152">R264/AD264*100</f>
        <v>84.999999139224727</v>
      </c>
      <c r="M264" s="3">
        <v>5</v>
      </c>
      <c r="N264" s="3" t="s">
        <v>576</v>
      </c>
      <c r="O264" s="3" t="s">
        <v>577</v>
      </c>
      <c r="P264" s="3" t="s">
        <v>174</v>
      </c>
      <c r="Q264" s="3" t="s">
        <v>478</v>
      </c>
      <c r="R264" s="4">
        <f t="shared" ref="R264:R269" si="153">S264+T264</f>
        <v>246870.47</v>
      </c>
      <c r="S264" s="1">
        <v>246870.47</v>
      </c>
      <c r="T264" s="87">
        <v>0</v>
      </c>
      <c r="U264" s="4">
        <f t="shared" ref="U264:U269" si="154">V264+W264</f>
        <v>37756.660000000003</v>
      </c>
      <c r="V264" s="71">
        <v>37756.660000000003</v>
      </c>
      <c r="W264" s="127">
        <v>0</v>
      </c>
      <c r="X264" s="4">
        <f t="shared" ref="X264:X269" si="155">Y264+Z264</f>
        <v>5808.72</v>
      </c>
      <c r="Y264" s="1">
        <v>5808.72</v>
      </c>
      <c r="Z264" s="87">
        <v>0</v>
      </c>
      <c r="AA264" s="9">
        <f>AB264+AC264</f>
        <v>0</v>
      </c>
      <c r="AB264" s="168">
        <v>0</v>
      </c>
      <c r="AC264" s="168">
        <v>0</v>
      </c>
      <c r="AD264" s="44">
        <f t="shared" si="150"/>
        <v>290435.84999999998</v>
      </c>
      <c r="AE264" s="11"/>
      <c r="AF264" s="9">
        <f t="shared" ref="AF264:AF269" si="156">AD264+AE264</f>
        <v>290435.84999999998</v>
      </c>
      <c r="AG264" s="49" t="s">
        <v>966</v>
      </c>
      <c r="AH264" s="108" t="s">
        <v>296</v>
      </c>
      <c r="AI264" s="1">
        <v>202756.04</v>
      </c>
      <c r="AJ264" s="1">
        <v>31009.739999999998</v>
      </c>
    </row>
    <row r="265" spans="1:36" ht="141.75" x14ac:dyDescent="0.25">
      <c r="A265" s="5">
        <f t="shared" si="151"/>
        <v>262</v>
      </c>
      <c r="B265" s="15">
        <v>119160</v>
      </c>
      <c r="C265" s="5">
        <v>482</v>
      </c>
      <c r="D265" s="40" t="s">
        <v>1985</v>
      </c>
      <c r="E265" s="8" t="s">
        <v>474</v>
      </c>
      <c r="F265" s="8" t="s">
        <v>733</v>
      </c>
      <c r="G265" s="5" t="s">
        <v>734</v>
      </c>
      <c r="H265" s="5" t="s">
        <v>151</v>
      </c>
      <c r="I265" s="8" t="s">
        <v>735</v>
      </c>
      <c r="J265" s="2">
        <v>43304</v>
      </c>
      <c r="K265" s="2">
        <v>43974</v>
      </c>
      <c r="L265" s="16">
        <f t="shared" si="152"/>
        <v>84.99999840000666</v>
      </c>
      <c r="M265" s="3">
        <v>5</v>
      </c>
      <c r="N265" s="3" t="s">
        <v>576</v>
      </c>
      <c r="O265" s="3" t="s">
        <v>736</v>
      </c>
      <c r="P265" s="3" t="s">
        <v>174</v>
      </c>
      <c r="Q265" s="5" t="s">
        <v>34</v>
      </c>
      <c r="R265" s="4">
        <f t="shared" si="153"/>
        <v>212500.88</v>
      </c>
      <c r="S265" s="1">
        <v>212500.88</v>
      </c>
      <c r="T265" s="87">
        <v>0</v>
      </c>
      <c r="U265" s="4">
        <f t="shared" si="154"/>
        <v>32500.1</v>
      </c>
      <c r="V265" s="71">
        <v>32500.1</v>
      </c>
      <c r="W265" s="127">
        <v>0</v>
      </c>
      <c r="X265" s="4">
        <f t="shared" si="155"/>
        <v>5000.0600000000004</v>
      </c>
      <c r="Y265" s="1">
        <v>5000.0600000000004</v>
      </c>
      <c r="Z265" s="87">
        <v>0</v>
      </c>
      <c r="AA265" s="9">
        <f>AB265+AC265</f>
        <v>0</v>
      </c>
      <c r="AB265" s="9">
        <v>0</v>
      </c>
      <c r="AC265" s="9">
        <v>0</v>
      </c>
      <c r="AD265" s="44">
        <f t="shared" si="150"/>
        <v>250001.04</v>
      </c>
      <c r="AE265" s="11"/>
      <c r="AF265" s="9">
        <f t="shared" si="156"/>
        <v>250001.04</v>
      </c>
      <c r="AG265" s="59" t="s">
        <v>966</v>
      </c>
      <c r="AH265" s="108" t="s">
        <v>1698</v>
      </c>
      <c r="AI265" s="1">
        <f>136389.48+39853.1</f>
        <v>176242.58000000002</v>
      </c>
      <c r="AJ265" s="1">
        <f>20859.59+6095.18</f>
        <v>26954.77</v>
      </c>
    </row>
    <row r="266" spans="1:36" ht="173.25" x14ac:dyDescent="0.25">
      <c r="A266" s="5">
        <f t="shared" si="151"/>
        <v>263</v>
      </c>
      <c r="B266" s="15">
        <v>117063</v>
      </c>
      <c r="C266" s="5">
        <v>411</v>
      </c>
      <c r="D266" s="8" t="s">
        <v>1986</v>
      </c>
      <c r="E266" s="5" t="s">
        <v>540</v>
      </c>
      <c r="F266" s="8" t="s">
        <v>786</v>
      </c>
      <c r="G266" s="5" t="s">
        <v>734</v>
      </c>
      <c r="H266" s="6" t="s">
        <v>151</v>
      </c>
      <c r="I266" s="8" t="s">
        <v>787</v>
      </c>
      <c r="J266" s="2">
        <v>43313</v>
      </c>
      <c r="K266" s="2">
        <v>43800</v>
      </c>
      <c r="L266" s="16">
        <f t="shared" si="152"/>
        <v>85</v>
      </c>
      <c r="M266" s="5">
        <v>5</v>
      </c>
      <c r="N266" s="5" t="s">
        <v>576</v>
      </c>
      <c r="O266" s="5" t="s">
        <v>736</v>
      </c>
      <c r="P266" s="5" t="s">
        <v>174</v>
      </c>
      <c r="Q266" s="5" t="s">
        <v>478</v>
      </c>
      <c r="R266" s="4">
        <f t="shared" si="153"/>
        <v>213015.1</v>
      </c>
      <c r="S266" s="1">
        <v>213015.1</v>
      </c>
      <c r="T266" s="56">
        <v>0</v>
      </c>
      <c r="U266" s="4">
        <f t="shared" si="154"/>
        <v>32578.78</v>
      </c>
      <c r="V266" s="71">
        <v>32578.78</v>
      </c>
      <c r="W266" s="127">
        <v>0</v>
      </c>
      <c r="X266" s="4">
        <f t="shared" si="155"/>
        <v>5012.12</v>
      </c>
      <c r="Y266" s="80">
        <v>5012.12</v>
      </c>
      <c r="Z266" s="80">
        <v>0</v>
      </c>
      <c r="AA266" s="9">
        <f>AB266+AC266</f>
        <v>0</v>
      </c>
      <c r="AB266" s="9">
        <v>0</v>
      </c>
      <c r="AC266" s="9">
        <v>0</v>
      </c>
      <c r="AD266" s="44">
        <f t="shared" si="150"/>
        <v>250606</v>
      </c>
      <c r="AE266" s="11"/>
      <c r="AF266" s="9">
        <f t="shared" si="156"/>
        <v>250606</v>
      </c>
      <c r="AG266" s="49" t="s">
        <v>966</v>
      </c>
      <c r="AH266" s="11" t="s">
        <v>1345</v>
      </c>
      <c r="AI266" s="160">
        <v>148385.51999999999</v>
      </c>
      <c r="AJ266" s="160">
        <v>22694.260000000002</v>
      </c>
    </row>
    <row r="267" spans="1:36" ht="157.5" x14ac:dyDescent="0.25">
      <c r="A267" s="5">
        <f t="shared" si="151"/>
        <v>264</v>
      </c>
      <c r="B267" s="15">
        <v>126522</v>
      </c>
      <c r="C267" s="5">
        <v>554</v>
      </c>
      <c r="D267" s="40" t="s">
        <v>1985</v>
      </c>
      <c r="E267" s="17" t="s">
        <v>1018</v>
      </c>
      <c r="F267" s="86" t="s">
        <v>1192</v>
      </c>
      <c r="G267" s="5" t="s">
        <v>1802</v>
      </c>
      <c r="H267" s="6" t="s">
        <v>151</v>
      </c>
      <c r="I267" s="8" t="s">
        <v>1193</v>
      </c>
      <c r="J267" s="2">
        <v>43556</v>
      </c>
      <c r="K267" s="2">
        <v>44440</v>
      </c>
      <c r="L267" s="16">
        <f t="shared" si="152"/>
        <v>85.0000001266326</v>
      </c>
      <c r="M267" s="5">
        <v>5</v>
      </c>
      <c r="N267" s="5" t="s">
        <v>576</v>
      </c>
      <c r="O267" s="5" t="s">
        <v>577</v>
      </c>
      <c r="P267" s="5" t="s">
        <v>174</v>
      </c>
      <c r="Q267" s="5" t="s">
        <v>478</v>
      </c>
      <c r="R267" s="4">
        <f t="shared" si="153"/>
        <v>3356165.93</v>
      </c>
      <c r="S267" s="1">
        <v>3356165.93</v>
      </c>
      <c r="T267" s="56">
        <v>0</v>
      </c>
      <c r="U267" s="4">
        <f t="shared" si="154"/>
        <v>513295.96</v>
      </c>
      <c r="V267" s="71">
        <v>513295.96</v>
      </c>
      <c r="W267" s="127">
        <v>0</v>
      </c>
      <c r="X267" s="4">
        <f t="shared" si="155"/>
        <v>78968.61</v>
      </c>
      <c r="Y267" s="80">
        <v>78968.61</v>
      </c>
      <c r="Z267" s="80">
        <v>0</v>
      </c>
      <c r="AA267" s="9">
        <v>0</v>
      </c>
      <c r="AB267" s="9">
        <v>0</v>
      </c>
      <c r="AC267" s="9">
        <v>0</v>
      </c>
      <c r="AD267" s="44">
        <f t="shared" si="150"/>
        <v>3948430.5</v>
      </c>
      <c r="AE267" s="11"/>
      <c r="AF267" s="9">
        <f t="shared" si="156"/>
        <v>3948430.5</v>
      </c>
      <c r="AG267" s="59" t="s">
        <v>515</v>
      </c>
      <c r="AH267" s="11"/>
      <c r="AI267" s="160">
        <f>129133.7+27747.4+291574.82+647249.5+380477.38</f>
        <v>1476182.7999999998</v>
      </c>
      <c r="AJ267" s="160">
        <f>19749.87+4243.72+44593.8+98991.1+58190.66</f>
        <v>225769.15</v>
      </c>
    </row>
    <row r="268" spans="1:36" ht="283.5" x14ac:dyDescent="0.25">
      <c r="A268" s="5">
        <f t="shared" si="151"/>
        <v>265</v>
      </c>
      <c r="B268" s="15">
        <v>135760</v>
      </c>
      <c r="C268" s="5">
        <v>784</v>
      </c>
      <c r="D268" s="40" t="s">
        <v>1985</v>
      </c>
      <c r="E268" s="17" t="s">
        <v>1701</v>
      </c>
      <c r="F268" s="18" t="s">
        <v>1731</v>
      </c>
      <c r="G268" s="5" t="s">
        <v>1732</v>
      </c>
      <c r="H268" s="6" t="s">
        <v>151</v>
      </c>
      <c r="I268" s="8" t="s">
        <v>1733</v>
      </c>
      <c r="J268" s="2">
        <v>43959</v>
      </c>
      <c r="K268" s="2">
        <v>44508</v>
      </c>
      <c r="L268" s="16">
        <f t="shared" si="152"/>
        <v>85</v>
      </c>
      <c r="M268" s="5">
        <v>5</v>
      </c>
      <c r="N268" s="5" t="s">
        <v>576</v>
      </c>
      <c r="O268" s="5" t="s">
        <v>1732</v>
      </c>
      <c r="P268" s="5" t="s">
        <v>174</v>
      </c>
      <c r="Q268" s="5" t="s">
        <v>1714</v>
      </c>
      <c r="R268" s="4">
        <f t="shared" si="153"/>
        <v>479451</v>
      </c>
      <c r="S268" s="1">
        <v>479451</v>
      </c>
      <c r="T268" s="56">
        <v>0</v>
      </c>
      <c r="U268" s="4">
        <f t="shared" si="154"/>
        <v>73327.8</v>
      </c>
      <c r="V268" s="71">
        <v>73327.8</v>
      </c>
      <c r="W268" s="127">
        <v>0</v>
      </c>
      <c r="X268" s="4">
        <f t="shared" si="155"/>
        <v>11281.2</v>
      </c>
      <c r="Y268" s="80">
        <v>11281.2</v>
      </c>
      <c r="Z268" s="80">
        <v>0</v>
      </c>
      <c r="AA268" s="9">
        <v>0</v>
      </c>
      <c r="AB268" s="9">
        <v>0</v>
      </c>
      <c r="AC268" s="9">
        <v>0</v>
      </c>
      <c r="AD268" s="44">
        <f t="shared" si="150"/>
        <v>564060</v>
      </c>
      <c r="AE268" s="11">
        <v>0</v>
      </c>
      <c r="AF268" s="9">
        <f t="shared" si="156"/>
        <v>564060</v>
      </c>
      <c r="AG268" s="59" t="s">
        <v>515</v>
      </c>
      <c r="AH268" s="59" t="s">
        <v>151</v>
      </c>
      <c r="AI268" s="160">
        <v>859.78</v>
      </c>
      <c r="AJ268" s="160">
        <v>131.5</v>
      </c>
    </row>
    <row r="269" spans="1:36" ht="189" x14ac:dyDescent="0.25">
      <c r="A269" s="5">
        <f t="shared" si="151"/>
        <v>266</v>
      </c>
      <c r="B269" s="15">
        <v>136091</v>
      </c>
      <c r="C269" s="5">
        <v>847</v>
      </c>
      <c r="D269" s="40" t="s">
        <v>1985</v>
      </c>
      <c r="E269" s="81" t="s">
        <v>1701</v>
      </c>
      <c r="F269" s="18" t="s">
        <v>1801</v>
      </c>
      <c r="G269" s="5" t="s">
        <v>1802</v>
      </c>
      <c r="H269" s="6" t="s">
        <v>1803</v>
      </c>
      <c r="I269" s="8" t="s">
        <v>1804</v>
      </c>
      <c r="J269" s="2">
        <v>43973</v>
      </c>
      <c r="K269" s="2">
        <v>44887</v>
      </c>
      <c r="L269" s="16">
        <f t="shared" si="152"/>
        <v>85</v>
      </c>
      <c r="M269" s="5">
        <v>5</v>
      </c>
      <c r="N269" s="5" t="s">
        <v>576</v>
      </c>
      <c r="O269" s="5" t="s">
        <v>1732</v>
      </c>
      <c r="P269" s="5" t="s">
        <v>174</v>
      </c>
      <c r="Q269" s="62" t="s">
        <v>34</v>
      </c>
      <c r="R269" s="4">
        <f t="shared" si="153"/>
        <v>2381041.25</v>
      </c>
      <c r="S269" s="1">
        <v>2381041.25</v>
      </c>
      <c r="T269" s="56">
        <v>0</v>
      </c>
      <c r="U269" s="4">
        <f t="shared" si="154"/>
        <v>364159.25</v>
      </c>
      <c r="V269" s="71">
        <v>364159.25</v>
      </c>
      <c r="W269" s="127">
        <v>0</v>
      </c>
      <c r="X269" s="4">
        <f t="shared" si="155"/>
        <v>56024.5</v>
      </c>
      <c r="Y269" s="80">
        <v>56024.5</v>
      </c>
      <c r="Z269" s="80">
        <v>0</v>
      </c>
      <c r="AA269" s="9">
        <v>0</v>
      </c>
      <c r="AB269" s="9">
        <v>0</v>
      </c>
      <c r="AC269" s="9">
        <v>0</v>
      </c>
      <c r="AD269" s="44">
        <f t="shared" si="150"/>
        <v>2801225</v>
      </c>
      <c r="AE269" s="11">
        <v>0</v>
      </c>
      <c r="AF269" s="9">
        <f t="shared" si="156"/>
        <v>2801225</v>
      </c>
      <c r="AG269" s="59" t="s">
        <v>515</v>
      </c>
      <c r="AH269" s="59" t="s">
        <v>151</v>
      </c>
      <c r="AI269" s="160">
        <f>38897.7+155670.76</f>
        <v>194568.46000000002</v>
      </c>
      <c r="AJ269" s="160">
        <f>5949.06+23808.47</f>
        <v>29757.530000000002</v>
      </c>
    </row>
    <row r="270" spans="1:36" ht="189" x14ac:dyDescent="0.25">
      <c r="A270" s="5">
        <f t="shared" si="151"/>
        <v>267</v>
      </c>
      <c r="B270" s="15">
        <v>119289</v>
      </c>
      <c r="C270" s="5">
        <v>484</v>
      </c>
      <c r="D270" s="40" t="s">
        <v>1985</v>
      </c>
      <c r="E270" s="5" t="s">
        <v>474</v>
      </c>
      <c r="F270" s="8" t="s">
        <v>554</v>
      </c>
      <c r="G270" s="5" t="s">
        <v>555</v>
      </c>
      <c r="H270" s="5" t="s">
        <v>296</v>
      </c>
      <c r="I270" s="74" t="s">
        <v>556</v>
      </c>
      <c r="J270" s="2">
        <v>43271</v>
      </c>
      <c r="K270" s="2">
        <v>43941</v>
      </c>
      <c r="L270" s="16">
        <f>R270/AD270*100</f>
        <v>85.000003319296809</v>
      </c>
      <c r="M270" s="6">
        <v>3</v>
      </c>
      <c r="N270" s="5" t="s">
        <v>372</v>
      </c>
      <c r="O270" s="5" t="s">
        <v>514</v>
      </c>
      <c r="P270" s="5" t="s">
        <v>174</v>
      </c>
      <c r="Q270" s="5" t="s">
        <v>478</v>
      </c>
      <c r="R270" s="4">
        <f>S270+T270</f>
        <v>332901.85000000009</v>
      </c>
      <c r="S270" s="10">
        <v>332901.85000000009</v>
      </c>
      <c r="T270" s="10">
        <v>0</v>
      </c>
      <c r="U270" s="4">
        <f>V270+W270</f>
        <v>50914.380000000005</v>
      </c>
      <c r="V270" s="71">
        <v>50914.380000000005</v>
      </c>
      <c r="W270" s="71">
        <v>0</v>
      </c>
      <c r="X270" s="4">
        <f>Y270+Z270</f>
        <v>7832.9900000000016</v>
      </c>
      <c r="Y270" s="1">
        <v>7832.9900000000016</v>
      </c>
      <c r="Z270" s="1">
        <v>0</v>
      </c>
      <c r="AA270" s="9">
        <f>AB270+AC270</f>
        <v>0</v>
      </c>
      <c r="AB270" s="70">
        <v>0</v>
      </c>
      <c r="AC270" s="70">
        <v>0</v>
      </c>
      <c r="AD270" s="44">
        <f t="shared" si="150"/>
        <v>391649.22000000009</v>
      </c>
      <c r="AE270" s="10">
        <f>1018.08+193.44</f>
        <v>1211.52</v>
      </c>
      <c r="AF270" s="9">
        <f>AD270+AE270</f>
        <v>392860.74000000011</v>
      </c>
      <c r="AG270" s="59" t="s">
        <v>966</v>
      </c>
      <c r="AH270" s="59" t="s">
        <v>1563</v>
      </c>
      <c r="AI270" s="160">
        <f>184371.13+90330.3</f>
        <v>274701.43</v>
      </c>
      <c r="AJ270" s="1">
        <f>28197.95+13815.22</f>
        <v>42013.17</v>
      </c>
    </row>
    <row r="271" spans="1:36" ht="315" x14ac:dyDescent="0.25">
      <c r="A271" s="5">
        <f t="shared" si="151"/>
        <v>268</v>
      </c>
      <c r="B271" s="78">
        <v>118717</v>
      </c>
      <c r="C271" s="6">
        <v>435</v>
      </c>
      <c r="D271" s="8" t="s">
        <v>1986</v>
      </c>
      <c r="E271" s="17" t="s">
        <v>540</v>
      </c>
      <c r="F271" s="8" t="s">
        <v>870</v>
      </c>
      <c r="G271" s="5" t="s">
        <v>555</v>
      </c>
      <c r="H271" s="5" t="s">
        <v>296</v>
      </c>
      <c r="I271" s="41" t="s">
        <v>871</v>
      </c>
      <c r="J271" s="2">
        <v>43333</v>
      </c>
      <c r="K271" s="2">
        <v>43790</v>
      </c>
      <c r="L271" s="16">
        <f>R271/AD271*100</f>
        <v>84.999995136543049</v>
      </c>
      <c r="M271" s="5">
        <v>3</v>
      </c>
      <c r="N271" s="5" t="s">
        <v>372</v>
      </c>
      <c r="O271" s="5" t="s">
        <v>514</v>
      </c>
      <c r="P271" s="5" t="s">
        <v>174</v>
      </c>
      <c r="Q271" s="5" t="s">
        <v>478</v>
      </c>
      <c r="R271" s="4">
        <f>S271+T271</f>
        <v>227204.63</v>
      </c>
      <c r="S271" s="56">
        <v>227204.63</v>
      </c>
      <c r="T271" s="10">
        <v>0</v>
      </c>
      <c r="U271" s="4">
        <f>V271+W271</f>
        <v>34748.959999999999</v>
      </c>
      <c r="V271" s="85">
        <v>34748.959999999999</v>
      </c>
      <c r="W271" s="127">
        <v>0</v>
      </c>
      <c r="X271" s="4">
        <f>Y271+Z271</f>
        <v>5345.99</v>
      </c>
      <c r="Y271" s="80">
        <v>5345.99</v>
      </c>
      <c r="Z271" s="80">
        <v>0</v>
      </c>
      <c r="AA271" s="9">
        <f>AB271+AC271</f>
        <v>0</v>
      </c>
      <c r="AB271" s="9">
        <v>0</v>
      </c>
      <c r="AC271" s="9">
        <v>0</v>
      </c>
      <c r="AD271" s="44">
        <f t="shared" si="150"/>
        <v>267299.58</v>
      </c>
      <c r="AE271" s="11">
        <v>37391</v>
      </c>
      <c r="AF271" s="9">
        <f>AD271+AE271</f>
        <v>304690.58</v>
      </c>
      <c r="AG271" s="49" t="s">
        <v>966</v>
      </c>
      <c r="AH271" s="59" t="s">
        <v>1068</v>
      </c>
      <c r="AI271" s="160">
        <v>209499.62</v>
      </c>
      <c r="AJ271" s="160">
        <v>32041.13</v>
      </c>
    </row>
    <row r="272" spans="1:36" ht="283.5" x14ac:dyDescent="0.25">
      <c r="A272" s="5">
        <f t="shared" si="151"/>
        <v>269</v>
      </c>
      <c r="B272" s="15">
        <v>129688</v>
      </c>
      <c r="C272" s="5">
        <v>686</v>
      </c>
      <c r="D272" s="40" t="s">
        <v>1985</v>
      </c>
      <c r="E272" s="6" t="s">
        <v>1246</v>
      </c>
      <c r="F272" s="8" t="s">
        <v>1257</v>
      </c>
      <c r="G272" s="5" t="s">
        <v>1258</v>
      </c>
      <c r="H272" s="5" t="s">
        <v>296</v>
      </c>
      <c r="I272" s="41" t="s">
        <v>1259</v>
      </c>
      <c r="J272" s="2">
        <v>43614</v>
      </c>
      <c r="K272" s="2">
        <v>44590</v>
      </c>
      <c r="L272" s="16">
        <f>R272/AD272*100</f>
        <v>84.999999952929599</v>
      </c>
      <c r="M272" s="5">
        <v>3</v>
      </c>
      <c r="N272" s="5" t="s">
        <v>372</v>
      </c>
      <c r="O272" s="5" t="s">
        <v>514</v>
      </c>
      <c r="P272" s="5" t="s">
        <v>174</v>
      </c>
      <c r="Q272" s="5" t="s">
        <v>478</v>
      </c>
      <c r="R272" s="4">
        <f>S272+T272</f>
        <v>2708708.76</v>
      </c>
      <c r="S272" s="56">
        <v>2708708.76</v>
      </c>
      <c r="T272" s="10">
        <v>0</v>
      </c>
      <c r="U272" s="4">
        <f>V272+W272</f>
        <v>414273.1</v>
      </c>
      <c r="V272" s="85">
        <v>414273.1</v>
      </c>
      <c r="W272" s="127">
        <v>0</v>
      </c>
      <c r="X272" s="4">
        <f>Y272+Z272</f>
        <v>63734.33</v>
      </c>
      <c r="Y272" s="80">
        <v>63734.33</v>
      </c>
      <c r="Z272" s="80">
        <v>0</v>
      </c>
      <c r="AA272" s="9">
        <f>AB272+AC272</f>
        <v>0</v>
      </c>
      <c r="AB272" s="80">
        <v>0</v>
      </c>
      <c r="AC272" s="80">
        <v>0</v>
      </c>
      <c r="AD272" s="44">
        <f t="shared" si="150"/>
        <v>3186716.19</v>
      </c>
      <c r="AE272" s="11">
        <v>0</v>
      </c>
      <c r="AF272" s="9">
        <f>AD272+AE272</f>
        <v>3186716.19</v>
      </c>
      <c r="AG272" s="59" t="s">
        <v>515</v>
      </c>
      <c r="AH272" s="59" t="s">
        <v>2185</v>
      </c>
      <c r="AI272" s="1">
        <f>120014.5+245371.24</f>
        <v>365385.74</v>
      </c>
      <c r="AJ272" s="1">
        <f>18355.16+37527.36</f>
        <v>55882.520000000004</v>
      </c>
    </row>
    <row r="273" spans="1:36" ht="220.5" x14ac:dyDescent="0.25">
      <c r="A273" s="5">
        <f t="shared" si="151"/>
        <v>270</v>
      </c>
      <c r="B273" s="15">
        <v>119720</v>
      </c>
      <c r="C273" s="5">
        <v>481</v>
      </c>
      <c r="D273" s="40" t="s">
        <v>1985</v>
      </c>
      <c r="E273" s="5" t="s">
        <v>474</v>
      </c>
      <c r="F273" s="8" t="s">
        <v>516</v>
      </c>
      <c r="G273" s="5" t="s">
        <v>517</v>
      </c>
      <c r="H273" s="5" t="s">
        <v>296</v>
      </c>
      <c r="I273" s="74" t="s">
        <v>519</v>
      </c>
      <c r="J273" s="2">
        <v>43264</v>
      </c>
      <c r="K273" s="2">
        <v>44056</v>
      </c>
      <c r="L273" s="16">
        <f t="shared" ref="L273:L279" si="157">R273/AD273*100</f>
        <v>85.00000159999999</v>
      </c>
      <c r="M273" s="6">
        <v>3</v>
      </c>
      <c r="N273" s="5" t="s">
        <v>373</v>
      </c>
      <c r="O273" s="5" t="s">
        <v>518</v>
      </c>
      <c r="P273" s="5" t="s">
        <v>174</v>
      </c>
      <c r="Q273" s="5" t="s">
        <v>478</v>
      </c>
      <c r="R273" s="4">
        <f t="shared" ref="R273:R279" si="158">S273+T273</f>
        <v>531250.01</v>
      </c>
      <c r="S273" s="10">
        <v>531250.01</v>
      </c>
      <c r="T273" s="10">
        <v>0</v>
      </c>
      <c r="U273" s="4">
        <f t="shared" ref="U273:U279" si="159">V273+W273</f>
        <v>81249.989999999991</v>
      </c>
      <c r="V273" s="71">
        <v>81249.989999999991</v>
      </c>
      <c r="W273" s="71">
        <v>0</v>
      </c>
      <c r="X273" s="4">
        <f t="shared" ref="X273:X279" si="160">Y273+Z273</f>
        <v>12500</v>
      </c>
      <c r="Y273" s="1">
        <v>12500</v>
      </c>
      <c r="Z273" s="1">
        <v>0</v>
      </c>
      <c r="AA273" s="9">
        <f t="shared" ref="AA273:AA279" si="161">AB273+AC273</f>
        <v>0</v>
      </c>
      <c r="AB273" s="70">
        <v>0</v>
      </c>
      <c r="AC273" s="70">
        <v>0</v>
      </c>
      <c r="AD273" s="44">
        <f t="shared" si="150"/>
        <v>625000</v>
      </c>
      <c r="AE273" s="10">
        <v>19813.5</v>
      </c>
      <c r="AF273" s="9">
        <f t="shared" ref="AF273:AF279" si="162">AD273+AE273</f>
        <v>644813.5</v>
      </c>
      <c r="AG273" s="59" t="s">
        <v>966</v>
      </c>
      <c r="AH273" s="59" t="s">
        <v>1573</v>
      </c>
      <c r="AI273" s="160">
        <f>266726.48+117536.39+35965.91</f>
        <v>420228.78</v>
      </c>
      <c r="AJ273" s="1">
        <f>40793.44+17976.15+5500.66</f>
        <v>64270.25</v>
      </c>
    </row>
    <row r="274" spans="1:36" ht="307.5" customHeight="1" x14ac:dyDescent="0.25">
      <c r="A274" s="5">
        <f t="shared" si="151"/>
        <v>271</v>
      </c>
      <c r="B274" s="15">
        <v>118770</v>
      </c>
      <c r="C274" s="5">
        <v>440</v>
      </c>
      <c r="D274" s="8" t="s">
        <v>1986</v>
      </c>
      <c r="E274" s="8" t="s">
        <v>540</v>
      </c>
      <c r="F274" s="8" t="s">
        <v>804</v>
      </c>
      <c r="G274" s="5" t="s">
        <v>805</v>
      </c>
      <c r="H274" s="5" t="s">
        <v>151</v>
      </c>
      <c r="I274" s="8" t="s">
        <v>807</v>
      </c>
      <c r="J274" s="2">
        <v>43318</v>
      </c>
      <c r="K274" s="2">
        <v>43683</v>
      </c>
      <c r="L274" s="16">
        <f t="shared" si="157"/>
        <v>85</v>
      </c>
      <c r="M274" s="5">
        <v>3</v>
      </c>
      <c r="N274" s="5" t="s">
        <v>373</v>
      </c>
      <c r="O274" s="5" t="s">
        <v>806</v>
      </c>
      <c r="P274" s="5" t="s">
        <v>174</v>
      </c>
      <c r="Q274" s="5" t="s">
        <v>478</v>
      </c>
      <c r="R274" s="4">
        <f t="shared" si="158"/>
        <v>254981.3</v>
      </c>
      <c r="S274" s="1">
        <v>254981.3</v>
      </c>
      <c r="T274" s="70">
        <v>0</v>
      </c>
      <c r="U274" s="4">
        <f t="shared" si="159"/>
        <v>38997.14</v>
      </c>
      <c r="V274" s="71">
        <v>38997.14</v>
      </c>
      <c r="W274" s="71">
        <v>0</v>
      </c>
      <c r="X274" s="4">
        <f t="shared" si="160"/>
        <v>5999.56</v>
      </c>
      <c r="Y274" s="1">
        <v>5999.56</v>
      </c>
      <c r="Z274" s="1">
        <v>0</v>
      </c>
      <c r="AA274" s="9">
        <f t="shared" si="161"/>
        <v>0</v>
      </c>
      <c r="AB274" s="70">
        <v>0</v>
      </c>
      <c r="AC274" s="70">
        <v>0</v>
      </c>
      <c r="AD274" s="44">
        <f t="shared" si="150"/>
        <v>299978</v>
      </c>
      <c r="AE274" s="59">
        <v>0</v>
      </c>
      <c r="AF274" s="9">
        <f t="shared" si="162"/>
        <v>299978</v>
      </c>
      <c r="AG274" s="49" t="s">
        <v>966</v>
      </c>
      <c r="AH274" s="59" t="s">
        <v>1145</v>
      </c>
      <c r="AI274" s="160">
        <v>213387.11000000002</v>
      </c>
      <c r="AJ274" s="160">
        <v>32635.670000000002</v>
      </c>
    </row>
    <row r="275" spans="1:36" ht="220.5" x14ac:dyDescent="0.25">
      <c r="A275" s="5">
        <f t="shared" si="151"/>
        <v>272</v>
      </c>
      <c r="B275" s="15">
        <v>126498</v>
      </c>
      <c r="C275" s="5">
        <v>572</v>
      </c>
      <c r="D275" s="40" t="s">
        <v>1985</v>
      </c>
      <c r="E275" s="8" t="s">
        <v>1018</v>
      </c>
      <c r="F275" s="8" t="s">
        <v>1177</v>
      </c>
      <c r="G275" s="5" t="s">
        <v>805</v>
      </c>
      <c r="H275" s="5" t="s">
        <v>151</v>
      </c>
      <c r="I275" s="8" t="s">
        <v>1178</v>
      </c>
      <c r="J275" s="2">
        <v>43552</v>
      </c>
      <c r="K275" s="2">
        <v>44467</v>
      </c>
      <c r="L275" s="16">
        <f t="shared" si="157"/>
        <v>85.000000127055301</v>
      </c>
      <c r="M275" s="5">
        <v>3</v>
      </c>
      <c r="N275" s="5" t="s">
        <v>373</v>
      </c>
      <c r="O275" s="5" t="s">
        <v>806</v>
      </c>
      <c r="P275" s="5" t="s">
        <v>174</v>
      </c>
      <c r="Q275" s="5" t="s">
        <v>478</v>
      </c>
      <c r="R275" s="4">
        <f t="shared" si="158"/>
        <v>3345000.16</v>
      </c>
      <c r="S275" s="1">
        <v>3345000.16</v>
      </c>
      <c r="T275" s="70">
        <v>0</v>
      </c>
      <c r="U275" s="4">
        <f t="shared" si="159"/>
        <v>516462.97</v>
      </c>
      <c r="V275" s="71">
        <v>516462.97</v>
      </c>
      <c r="W275" s="71">
        <v>0</v>
      </c>
      <c r="X275" s="4">
        <f t="shared" si="160"/>
        <v>73831.17</v>
      </c>
      <c r="Y275" s="1">
        <v>73831.17</v>
      </c>
      <c r="Z275" s="1">
        <v>0</v>
      </c>
      <c r="AA275" s="9">
        <f t="shared" si="161"/>
        <v>0</v>
      </c>
      <c r="AB275" s="70">
        <v>0</v>
      </c>
      <c r="AC275" s="70">
        <v>0</v>
      </c>
      <c r="AD275" s="44">
        <f t="shared" si="150"/>
        <v>3935294.3</v>
      </c>
      <c r="AE275" s="59">
        <v>4974.2</v>
      </c>
      <c r="AF275" s="9">
        <f t="shared" si="162"/>
        <v>3940268.5</v>
      </c>
      <c r="AG275" s="59" t="s">
        <v>515</v>
      </c>
      <c r="AH275" s="59" t="s">
        <v>1145</v>
      </c>
      <c r="AI275" s="160">
        <f>81729.2+65676.7+875554.4+122189.2</f>
        <v>1145149.5</v>
      </c>
      <c r="AJ275" s="160">
        <f>12499.76+10044.67+133908.32+18687.76</f>
        <v>175140.51</v>
      </c>
    </row>
    <row r="276" spans="1:36" ht="265.5" customHeight="1" x14ac:dyDescent="0.25">
      <c r="A276" s="5">
        <f t="shared" si="151"/>
        <v>273</v>
      </c>
      <c r="B276" s="15">
        <v>126289</v>
      </c>
      <c r="C276" s="5">
        <v>492</v>
      </c>
      <c r="D276" s="40" t="s">
        <v>1985</v>
      </c>
      <c r="E276" s="8" t="s">
        <v>1018</v>
      </c>
      <c r="F276" s="8" t="s">
        <v>1202</v>
      </c>
      <c r="G276" s="5" t="s">
        <v>1203</v>
      </c>
      <c r="H276" s="5" t="s">
        <v>362</v>
      </c>
      <c r="I276" s="8" t="s">
        <v>1204</v>
      </c>
      <c r="J276" s="2">
        <v>43563</v>
      </c>
      <c r="K276" s="2">
        <v>44477</v>
      </c>
      <c r="L276" s="16">
        <f t="shared" si="157"/>
        <v>85.000000203645214</v>
      </c>
      <c r="M276" s="6">
        <v>3</v>
      </c>
      <c r="N276" s="5" t="s">
        <v>373</v>
      </c>
      <c r="O276" s="5" t="s">
        <v>518</v>
      </c>
      <c r="P276" s="5" t="s">
        <v>174</v>
      </c>
      <c r="Q276" s="5" t="s">
        <v>34</v>
      </c>
      <c r="R276" s="4">
        <f t="shared" si="158"/>
        <v>2504355.21</v>
      </c>
      <c r="S276" s="9">
        <v>2504355.21</v>
      </c>
      <c r="T276" s="9">
        <v>0</v>
      </c>
      <c r="U276" s="4">
        <f t="shared" si="159"/>
        <v>383019.03</v>
      </c>
      <c r="V276" s="53">
        <v>383019.03</v>
      </c>
      <c r="W276" s="53">
        <v>0</v>
      </c>
      <c r="X276" s="4">
        <f t="shared" si="160"/>
        <v>58926</v>
      </c>
      <c r="Y276" s="9">
        <v>58926</v>
      </c>
      <c r="Z276" s="9">
        <v>0</v>
      </c>
      <c r="AA276" s="9">
        <f t="shared" si="161"/>
        <v>0</v>
      </c>
      <c r="AB276" s="9">
        <v>0</v>
      </c>
      <c r="AC276" s="9">
        <v>0</v>
      </c>
      <c r="AD276" s="44">
        <f t="shared" si="150"/>
        <v>2946300.24</v>
      </c>
      <c r="AE276" s="9">
        <v>3255.78</v>
      </c>
      <c r="AF276" s="9">
        <f t="shared" si="162"/>
        <v>2949556.02</v>
      </c>
      <c r="AG276" s="59" t="s">
        <v>515</v>
      </c>
      <c r="AH276" s="11"/>
      <c r="AI276" s="160">
        <f>4165.36+806216.08+307283.93</f>
        <v>1117665.3699999999</v>
      </c>
      <c r="AJ276" s="160">
        <f>637.05+123303.63+46996.36</f>
        <v>170937.04</v>
      </c>
    </row>
    <row r="277" spans="1:36" ht="252" x14ac:dyDescent="0.25">
      <c r="A277" s="5">
        <f t="shared" si="151"/>
        <v>274</v>
      </c>
      <c r="B277" s="15">
        <v>135121</v>
      </c>
      <c r="C277" s="5">
        <v>804</v>
      </c>
      <c r="D277" s="40" t="s">
        <v>1985</v>
      </c>
      <c r="E277" s="17" t="s">
        <v>1701</v>
      </c>
      <c r="F277" s="55" t="s">
        <v>1723</v>
      </c>
      <c r="G277" s="5" t="s">
        <v>1203</v>
      </c>
      <c r="H277" s="5" t="s">
        <v>362</v>
      </c>
      <c r="I277" s="8" t="s">
        <v>1920</v>
      </c>
      <c r="J277" s="2">
        <v>43959</v>
      </c>
      <c r="K277" s="2">
        <v>44873</v>
      </c>
      <c r="L277" s="16">
        <f t="shared" si="157"/>
        <v>85</v>
      </c>
      <c r="M277" s="6">
        <v>3</v>
      </c>
      <c r="N277" s="5" t="s">
        <v>373</v>
      </c>
      <c r="O277" s="5" t="s">
        <v>518</v>
      </c>
      <c r="P277" s="65" t="s">
        <v>174</v>
      </c>
      <c r="Q277" s="62" t="s">
        <v>34</v>
      </c>
      <c r="R277" s="4">
        <f t="shared" si="158"/>
        <v>2517623.5</v>
      </c>
      <c r="S277" s="9">
        <v>2517623.5</v>
      </c>
      <c r="T277" s="9">
        <v>0</v>
      </c>
      <c r="U277" s="4">
        <f t="shared" si="159"/>
        <v>385048.3</v>
      </c>
      <c r="V277" s="53">
        <v>385048.3</v>
      </c>
      <c r="W277" s="53">
        <v>0</v>
      </c>
      <c r="X277" s="4">
        <f t="shared" si="160"/>
        <v>59238.2</v>
      </c>
      <c r="Y277" s="9">
        <v>59238.2</v>
      </c>
      <c r="Z277" s="9">
        <v>0</v>
      </c>
      <c r="AA277" s="9">
        <f t="shared" si="161"/>
        <v>0</v>
      </c>
      <c r="AB277" s="9">
        <v>0</v>
      </c>
      <c r="AC277" s="9">
        <v>0</v>
      </c>
      <c r="AD277" s="44">
        <f t="shared" si="150"/>
        <v>2961910</v>
      </c>
      <c r="AE277" s="9">
        <v>0</v>
      </c>
      <c r="AF277" s="9">
        <f t="shared" si="162"/>
        <v>2961910</v>
      </c>
      <c r="AG277" s="59" t="s">
        <v>515</v>
      </c>
      <c r="AH277" s="13" t="s">
        <v>151</v>
      </c>
      <c r="AI277" s="160">
        <v>29444.76</v>
      </c>
      <c r="AJ277" s="160">
        <v>4503.32</v>
      </c>
    </row>
    <row r="278" spans="1:36" ht="189" x14ac:dyDescent="0.25">
      <c r="A278" s="5">
        <f t="shared" si="151"/>
        <v>275</v>
      </c>
      <c r="B278" s="15">
        <v>135860</v>
      </c>
      <c r="C278" s="5">
        <v>811</v>
      </c>
      <c r="D278" s="40" t="s">
        <v>1985</v>
      </c>
      <c r="E278" s="17" t="s">
        <v>1701</v>
      </c>
      <c r="F278" s="55" t="s">
        <v>1883</v>
      </c>
      <c r="G278" s="5" t="s">
        <v>517</v>
      </c>
      <c r="H278" s="5" t="s">
        <v>362</v>
      </c>
      <c r="I278" s="8" t="s">
        <v>1921</v>
      </c>
      <c r="J278" s="2">
        <v>44018</v>
      </c>
      <c r="K278" s="2">
        <v>44932</v>
      </c>
      <c r="L278" s="16">
        <f t="shared" si="157"/>
        <v>85</v>
      </c>
      <c r="M278" s="6">
        <v>3</v>
      </c>
      <c r="N278" s="5" t="s">
        <v>373</v>
      </c>
      <c r="O278" s="5" t="s">
        <v>1884</v>
      </c>
      <c r="P278" s="65" t="s">
        <v>174</v>
      </c>
      <c r="Q278" s="62" t="s">
        <v>34</v>
      </c>
      <c r="R278" s="4">
        <f t="shared" si="158"/>
        <v>3388860.75</v>
      </c>
      <c r="S278" s="9">
        <v>3388860.75</v>
      </c>
      <c r="T278" s="9">
        <v>0</v>
      </c>
      <c r="U278" s="4">
        <f t="shared" si="159"/>
        <v>518296.35</v>
      </c>
      <c r="V278" s="53">
        <v>518296.35</v>
      </c>
      <c r="W278" s="53">
        <v>0</v>
      </c>
      <c r="X278" s="4">
        <f t="shared" si="160"/>
        <v>79737.899999999994</v>
      </c>
      <c r="Y278" s="9">
        <v>79737.899999999994</v>
      </c>
      <c r="Z278" s="9">
        <v>0</v>
      </c>
      <c r="AA278" s="9">
        <f t="shared" si="161"/>
        <v>0</v>
      </c>
      <c r="AB278" s="9">
        <v>0</v>
      </c>
      <c r="AC278" s="9">
        <v>0</v>
      </c>
      <c r="AD278" s="44">
        <f t="shared" si="150"/>
        <v>3986895</v>
      </c>
      <c r="AE278" s="9">
        <v>0</v>
      </c>
      <c r="AF278" s="9">
        <f t="shared" si="162"/>
        <v>3986895</v>
      </c>
      <c r="AG278" s="59" t="s">
        <v>515</v>
      </c>
      <c r="AH278" s="13"/>
      <c r="AI278" s="160">
        <f>139842.93+110534+52909.1</f>
        <v>303286.02999999997</v>
      </c>
      <c r="AJ278" s="160">
        <f>21387.74+16905.2+8091.98</f>
        <v>46384.92</v>
      </c>
    </row>
    <row r="279" spans="1:36" ht="330.75" x14ac:dyDescent="0.25">
      <c r="A279" s="5">
        <f t="shared" si="151"/>
        <v>276</v>
      </c>
      <c r="B279" s="15">
        <v>136188</v>
      </c>
      <c r="C279" s="5">
        <v>842</v>
      </c>
      <c r="D279" s="40" t="s">
        <v>1985</v>
      </c>
      <c r="E279" s="17" t="s">
        <v>1701</v>
      </c>
      <c r="F279" s="55" t="s">
        <v>1919</v>
      </c>
      <c r="G279" s="5" t="s">
        <v>805</v>
      </c>
      <c r="H279" s="5" t="s">
        <v>362</v>
      </c>
      <c r="I279" s="8" t="s">
        <v>1922</v>
      </c>
      <c r="J279" s="2">
        <v>44039</v>
      </c>
      <c r="K279" s="2">
        <v>44922</v>
      </c>
      <c r="L279" s="16">
        <f t="shared" si="157"/>
        <v>84.999999881414638</v>
      </c>
      <c r="M279" s="6">
        <v>3</v>
      </c>
      <c r="N279" s="5" t="s">
        <v>373</v>
      </c>
      <c r="O279" s="5" t="s">
        <v>806</v>
      </c>
      <c r="P279" s="65" t="s">
        <v>174</v>
      </c>
      <c r="Q279" s="62" t="s">
        <v>34</v>
      </c>
      <c r="R279" s="4">
        <f t="shared" si="158"/>
        <v>2150349.87</v>
      </c>
      <c r="S279" s="9">
        <v>2150349.87</v>
      </c>
      <c r="T279" s="9">
        <v>0</v>
      </c>
      <c r="U279" s="4">
        <f t="shared" si="159"/>
        <v>328877.03999999998</v>
      </c>
      <c r="V279" s="53">
        <v>328877.03999999998</v>
      </c>
      <c r="W279" s="53">
        <v>0</v>
      </c>
      <c r="X279" s="4">
        <f t="shared" si="160"/>
        <v>50596.47</v>
      </c>
      <c r="Y279" s="9">
        <v>50596.47</v>
      </c>
      <c r="Z279" s="9">
        <v>0</v>
      </c>
      <c r="AA279" s="9">
        <f t="shared" si="161"/>
        <v>0</v>
      </c>
      <c r="AB279" s="9">
        <v>0</v>
      </c>
      <c r="AC279" s="9">
        <v>0</v>
      </c>
      <c r="AD279" s="44">
        <f t="shared" si="150"/>
        <v>2529823.3800000004</v>
      </c>
      <c r="AE279" s="9">
        <v>0</v>
      </c>
      <c r="AF279" s="9">
        <f t="shared" si="162"/>
        <v>2529823.3800000004</v>
      </c>
      <c r="AG279" s="59" t="s">
        <v>515</v>
      </c>
      <c r="AH279" s="13"/>
      <c r="AI279" s="160">
        <f>60942.87</f>
        <v>60942.87</v>
      </c>
      <c r="AJ279" s="160">
        <f>9320.68</f>
        <v>9320.68</v>
      </c>
    </row>
    <row r="280" spans="1:36" ht="204.75" x14ac:dyDescent="0.25">
      <c r="A280" s="5">
        <f t="shared" si="151"/>
        <v>277</v>
      </c>
      <c r="B280" s="15">
        <v>120582</v>
      </c>
      <c r="C280" s="6">
        <v>109</v>
      </c>
      <c r="D280" s="40" t="s">
        <v>1985</v>
      </c>
      <c r="E280" s="17" t="s">
        <v>278</v>
      </c>
      <c r="F280" s="8" t="s">
        <v>177</v>
      </c>
      <c r="G280" s="5" t="s">
        <v>178</v>
      </c>
      <c r="H280" s="5" t="s">
        <v>151</v>
      </c>
      <c r="I280" s="74" t="s">
        <v>181</v>
      </c>
      <c r="J280" s="2">
        <v>43129</v>
      </c>
      <c r="K280" s="2">
        <v>43675</v>
      </c>
      <c r="L280" s="16">
        <f t="shared" ref="L280:L289" si="163">R280/AD280*100</f>
        <v>85.000000819683009</v>
      </c>
      <c r="M280" s="5">
        <v>1</v>
      </c>
      <c r="N280" s="5" t="s">
        <v>185</v>
      </c>
      <c r="O280" s="5" t="s">
        <v>185</v>
      </c>
      <c r="P280" s="3" t="s">
        <v>174</v>
      </c>
      <c r="Q280" s="5" t="s">
        <v>34</v>
      </c>
      <c r="R280" s="9">
        <f t="shared" ref="R280:R287" si="164">S280+T280</f>
        <v>518493.12</v>
      </c>
      <c r="S280" s="9">
        <v>518493.12</v>
      </c>
      <c r="T280" s="9">
        <v>0</v>
      </c>
      <c r="U280" s="4">
        <f t="shared" ref="U280:U289" si="165">V280+W280</f>
        <v>79298.94</v>
      </c>
      <c r="V280" s="53">
        <v>79298.94</v>
      </c>
      <c r="W280" s="53">
        <v>0</v>
      </c>
      <c r="X280" s="9">
        <f t="shared" ref="X280:X289" si="166">Y280+Z280</f>
        <v>12199.84</v>
      </c>
      <c r="Y280" s="9">
        <v>12199.84</v>
      </c>
      <c r="Z280" s="9">
        <v>0</v>
      </c>
      <c r="AA280" s="9">
        <f t="shared" ref="AA280:AA289" si="167">AB280+AC280</f>
        <v>0</v>
      </c>
      <c r="AB280" s="9">
        <v>0</v>
      </c>
      <c r="AC280" s="9">
        <v>0</v>
      </c>
      <c r="AD280" s="44">
        <f t="shared" si="150"/>
        <v>609991.9</v>
      </c>
      <c r="AE280" s="9">
        <v>0</v>
      </c>
      <c r="AF280" s="9">
        <f t="shared" ref="AF280:AF289" si="168">AD280+AE280</f>
        <v>609991.9</v>
      </c>
      <c r="AG280" s="49" t="s">
        <v>966</v>
      </c>
      <c r="AH280" s="13" t="s">
        <v>1214</v>
      </c>
      <c r="AI280" s="1">
        <v>460519.85000000003</v>
      </c>
      <c r="AJ280" s="169">
        <v>70432.44</v>
      </c>
    </row>
    <row r="281" spans="1:36" ht="173.25" x14ac:dyDescent="0.25">
      <c r="A281" s="5">
        <f t="shared" si="151"/>
        <v>278</v>
      </c>
      <c r="B281" s="15">
        <v>120630</v>
      </c>
      <c r="C281" s="6">
        <v>101</v>
      </c>
      <c r="D281" s="40" t="s">
        <v>1985</v>
      </c>
      <c r="E281" s="17" t="s">
        <v>278</v>
      </c>
      <c r="F281" s="8" t="s">
        <v>237</v>
      </c>
      <c r="G281" s="5" t="s">
        <v>1326</v>
      </c>
      <c r="H281" s="5" t="s">
        <v>151</v>
      </c>
      <c r="I281" s="41" t="s">
        <v>244</v>
      </c>
      <c r="J281" s="2">
        <v>43145</v>
      </c>
      <c r="K281" s="2">
        <v>43630</v>
      </c>
      <c r="L281" s="16">
        <f t="shared" si="163"/>
        <v>85.000000236289679</v>
      </c>
      <c r="M281" s="5">
        <v>1</v>
      </c>
      <c r="N281" s="5" t="s">
        <v>185</v>
      </c>
      <c r="O281" s="5" t="s">
        <v>243</v>
      </c>
      <c r="P281" s="3" t="s">
        <v>174</v>
      </c>
      <c r="Q281" s="5" t="s">
        <v>34</v>
      </c>
      <c r="R281" s="9">
        <f t="shared" si="164"/>
        <v>359727.94</v>
      </c>
      <c r="S281" s="9">
        <v>359727.94</v>
      </c>
      <c r="T281" s="9">
        <v>0</v>
      </c>
      <c r="U281" s="4">
        <f t="shared" si="165"/>
        <v>55017.21</v>
      </c>
      <c r="V281" s="53">
        <v>55017.21</v>
      </c>
      <c r="W281" s="53">
        <v>0</v>
      </c>
      <c r="X281" s="9">
        <f t="shared" si="166"/>
        <v>8464.19</v>
      </c>
      <c r="Y281" s="9">
        <v>8464.19</v>
      </c>
      <c r="Z281" s="9">
        <v>0</v>
      </c>
      <c r="AA281" s="9">
        <f t="shared" si="167"/>
        <v>0</v>
      </c>
      <c r="AB281" s="9">
        <v>0</v>
      </c>
      <c r="AC281" s="9">
        <v>0</v>
      </c>
      <c r="AD281" s="44">
        <f t="shared" si="150"/>
        <v>423209.34</v>
      </c>
      <c r="AE281" s="9">
        <v>0</v>
      </c>
      <c r="AF281" s="9">
        <f t="shared" si="168"/>
        <v>423209.34</v>
      </c>
      <c r="AG281" s="49" t="s">
        <v>966</v>
      </c>
      <c r="AH281" s="13"/>
      <c r="AI281" s="1">
        <v>270648.24</v>
      </c>
      <c r="AJ281" s="1">
        <v>41393.249999999993</v>
      </c>
    </row>
    <row r="282" spans="1:36" ht="157.5" x14ac:dyDescent="0.25">
      <c r="A282" s="5">
        <f t="shared" si="151"/>
        <v>279</v>
      </c>
      <c r="B282" s="15">
        <v>120672</v>
      </c>
      <c r="C282" s="6">
        <v>106</v>
      </c>
      <c r="D282" s="40" t="s">
        <v>1985</v>
      </c>
      <c r="E282" s="17" t="s">
        <v>278</v>
      </c>
      <c r="F282" s="8" t="s">
        <v>238</v>
      </c>
      <c r="G282" s="5" t="s">
        <v>1041</v>
      </c>
      <c r="H282" s="5" t="s">
        <v>151</v>
      </c>
      <c r="I282" s="41" t="s">
        <v>245</v>
      </c>
      <c r="J282" s="2">
        <v>43145</v>
      </c>
      <c r="K282" s="2">
        <v>43630</v>
      </c>
      <c r="L282" s="16">
        <f t="shared" si="163"/>
        <v>84.999999174149096</v>
      </c>
      <c r="M282" s="5">
        <v>1</v>
      </c>
      <c r="N282" s="5" t="s">
        <v>185</v>
      </c>
      <c r="O282" s="5" t="s">
        <v>185</v>
      </c>
      <c r="P282" s="3" t="s">
        <v>174</v>
      </c>
      <c r="Q282" s="5" t="s">
        <v>34</v>
      </c>
      <c r="R282" s="9">
        <f t="shared" si="164"/>
        <v>360234.51</v>
      </c>
      <c r="S282" s="10">
        <v>360234.51</v>
      </c>
      <c r="T282" s="9">
        <v>0</v>
      </c>
      <c r="U282" s="4">
        <f t="shared" si="165"/>
        <v>55094.69</v>
      </c>
      <c r="V282" s="71">
        <v>55094.69</v>
      </c>
      <c r="W282" s="53">
        <v>0</v>
      </c>
      <c r="X282" s="143">
        <f t="shared" si="166"/>
        <v>8476.11</v>
      </c>
      <c r="Y282" s="10">
        <v>8476.11</v>
      </c>
      <c r="Z282" s="143">
        <v>0</v>
      </c>
      <c r="AA282" s="143">
        <f t="shared" si="167"/>
        <v>0</v>
      </c>
      <c r="AB282" s="9">
        <v>0</v>
      </c>
      <c r="AC282" s="9">
        <v>0</v>
      </c>
      <c r="AD282" s="44">
        <f t="shared" si="150"/>
        <v>423805.31</v>
      </c>
      <c r="AE282" s="9">
        <v>0</v>
      </c>
      <c r="AF282" s="9">
        <f t="shared" si="168"/>
        <v>423805.31</v>
      </c>
      <c r="AG282" s="49" t="s">
        <v>966</v>
      </c>
      <c r="AH282" s="13"/>
      <c r="AI282" s="1">
        <v>331258.69999999995</v>
      </c>
      <c r="AJ282" s="1">
        <v>50663.100000000006</v>
      </c>
    </row>
    <row r="283" spans="1:36" ht="141.75" x14ac:dyDescent="0.25">
      <c r="A283" s="5">
        <f t="shared" si="151"/>
        <v>280</v>
      </c>
      <c r="B283" s="15">
        <v>118196</v>
      </c>
      <c r="C283" s="6">
        <v>425</v>
      </c>
      <c r="D283" s="8" t="s">
        <v>1986</v>
      </c>
      <c r="E283" s="17" t="s">
        <v>540</v>
      </c>
      <c r="F283" s="8" t="s">
        <v>531</v>
      </c>
      <c r="G283" s="5" t="s">
        <v>534</v>
      </c>
      <c r="H283" s="5" t="s">
        <v>362</v>
      </c>
      <c r="I283" s="41" t="s">
        <v>532</v>
      </c>
      <c r="J283" s="2">
        <v>43269</v>
      </c>
      <c r="K283" s="2">
        <v>43756</v>
      </c>
      <c r="L283" s="16">
        <f t="shared" si="163"/>
        <v>85</v>
      </c>
      <c r="M283" s="5">
        <v>1</v>
      </c>
      <c r="N283" s="5" t="s">
        <v>185</v>
      </c>
      <c r="O283" s="5" t="s">
        <v>185</v>
      </c>
      <c r="P283" s="3" t="s">
        <v>174</v>
      </c>
      <c r="Q283" s="5" t="s">
        <v>34</v>
      </c>
      <c r="R283" s="10">
        <f t="shared" si="164"/>
        <v>339668.5</v>
      </c>
      <c r="S283" s="10">
        <v>339668.5</v>
      </c>
      <c r="T283" s="10">
        <v>0</v>
      </c>
      <c r="U283" s="4">
        <f t="shared" si="165"/>
        <v>51949.3</v>
      </c>
      <c r="V283" s="71">
        <v>51949.3</v>
      </c>
      <c r="W283" s="71">
        <v>0</v>
      </c>
      <c r="X283" s="143">
        <f t="shared" si="166"/>
        <v>7992.2</v>
      </c>
      <c r="Y283" s="10">
        <v>7992.2</v>
      </c>
      <c r="Z283" s="10">
        <v>0</v>
      </c>
      <c r="AA283" s="9">
        <f t="shared" si="167"/>
        <v>0</v>
      </c>
      <c r="AB283" s="9">
        <v>0</v>
      </c>
      <c r="AC283" s="9">
        <v>0</v>
      </c>
      <c r="AD283" s="44">
        <f t="shared" si="150"/>
        <v>399610</v>
      </c>
      <c r="AE283" s="10">
        <v>0</v>
      </c>
      <c r="AF283" s="9">
        <f t="shared" si="168"/>
        <v>399610</v>
      </c>
      <c r="AG283" s="49" t="s">
        <v>966</v>
      </c>
      <c r="AH283" s="13"/>
      <c r="AI283" s="1">
        <v>263215.08999999997</v>
      </c>
      <c r="AJ283" s="1">
        <v>40256.43</v>
      </c>
    </row>
    <row r="284" spans="1:36" ht="141.75" x14ac:dyDescent="0.25">
      <c r="A284" s="5">
        <f t="shared" si="151"/>
        <v>281</v>
      </c>
      <c r="B284" s="15">
        <v>126155</v>
      </c>
      <c r="C284" s="5">
        <v>544</v>
      </c>
      <c r="D284" s="40" t="s">
        <v>1985</v>
      </c>
      <c r="E284" s="17" t="s">
        <v>1018</v>
      </c>
      <c r="F284" s="8" t="s">
        <v>1033</v>
      </c>
      <c r="G284" s="5" t="s">
        <v>1034</v>
      </c>
      <c r="H284" s="5" t="s">
        <v>362</v>
      </c>
      <c r="I284" s="41" t="s">
        <v>1035</v>
      </c>
      <c r="J284" s="2">
        <v>43437</v>
      </c>
      <c r="K284" s="2">
        <v>44533</v>
      </c>
      <c r="L284" s="16">
        <f t="shared" si="163"/>
        <v>85.000000318097122</v>
      </c>
      <c r="M284" s="5">
        <v>1</v>
      </c>
      <c r="N284" s="5" t="s">
        <v>185</v>
      </c>
      <c r="O284" s="5" t="s">
        <v>185</v>
      </c>
      <c r="P284" s="3" t="s">
        <v>174</v>
      </c>
      <c r="Q284" s="5" t="s">
        <v>34</v>
      </c>
      <c r="R284" s="10">
        <f t="shared" si="164"/>
        <v>2672139.91</v>
      </c>
      <c r="S284" s="10">
        <v>2672139.91</v>
      </c>
      <c r="T284" s="10">
        <v>0</v>
      </c>
      <c r="U284" s="4">
        <f t="shared" si="165"/>
        <v>408680.21</v>
      </c>
      <c r="V284" s="71">
        <v>408680.21</v>
      </c>
      <c r="W284" s="71">
        <v>0</v>
      </c>
      <c r="X284" s="143">
        <f t="shared" si="166"/>
        <v>62873.88</v>
      </c>
      <c r="Y284" s="10">
        <v>62873.88</v>
      </c>
      <c r="Z284" s="10">
        <v>0</v>
      </c>
      <c r="AA284" s="9">
        <f t="shared" si="167"/>
        <v>0</v>
      </c>
      <c r="AB284" s="9">
        <v>0</v>
      </c>
      <c r="AC284" s="9">
        <v>0</v>
      </c>
      <c r="AD284" s="44">
        <f t="shared" si="150"/>
        <v>3143694</v>
      </c>
      <c r="AE284" s="10">
        <v>0</v>
      </c>
      <c r="AF284" s="9">
        <f t="shared" si="168"/>
        <v>3143694</v>
      </c>
      <c r="AG284" s="59" t="s">
        <v>515</v>
      </c>
      <c r="AH284" s="13" t="s">
        <v>2182</v>
      </c>
      <c r="AI284" s="1">
        <f>810585.98+89720.9+63383.91+272519.44</f>
        <v>1236210.23</v>
      </c>
      <c r="AJ284" s="1">
        <f>123971.92+13722.02+9694+41679.44</f>
        <v>189067.38</v>
      </c>
    </row>
    <row r="285" spans="1:36" ht="138" customHeight="1" x14ac:dyDescent="0.25">
      <c r="A285" s="5">
        <f t="shared" si="151"/>
        <v>282</v>
      </c>
      <c r="B285" s="15">
        <v>125900</v>
      </c>
      <c r="C285" s="6">
        <v>518</v>
      </c>
      <c r="D285" s="40" t="s">
        <v>1985</v>
      </c>
      <c r="E285" s="17" t="s">
        <v>1018</v>
      </c>
      <c r="F285" s="8" t="s">
        <v>1040</v>
      </c>
      <c r="G285" s="5" t="s">
        <v>178</v>
      </c>
      <c r="H285" s="5" t="s">
        <v>362</v>
      </c>
      <c r="I285" s="41" t="s">
        <v>1042</v>
      </c>
      <c r="J285" s="2">
        <v>43439</v>
      </c>
      <c r="K285" s="2">
        <v>44109</v>
      </c>
      <c r="L285" s="16">
        <f t="shared" si="163"/>
        <v>85.000001224772731</v>
      </c>
      <c r="M285" s="5">
        <v>1</v>
      </c>
      <c r="N285" s="5" t="s">
        <v>185</v>
      </c>
      <c r="O285" s="5" t="s">
        <v>185</v>
      </c>
      <c r="P285" s="3" t="s">
        <v>174</v>
      </c>
      <c r="Q285" s="5" t="s">
        <v>34</v>
      </c>
      <c r="R285" s="10">
        <f t="shared" si="164"/>
        <v>694006.31</v>
      </c>
      <c r="S285" s="10">
        <v>694006.31</v>
      </c>
      <c r="T285" s="10">
        <v>0</v>
      </c>
      <c r="U285" s="4">
        <f t="shared" si="165"/>
        <v>106142.13</v>
      </c>
      <c r="V285" s="71">
        <v>106142.13</v>
      </c>
      <c r="W285" s="71">
        <v>0</v>
      </c>
      <c r="X285" s="143">
        <f t="shared" si="166"/>
        <v>16329.56</v>
      </c>
      <c r="Y285" s="10">
        <v>16329.56</v>
      </c>
      <c r="Z285" s="10">
        <v>0</v>
      </c>
      <c r="AA285" s="9">
        <f t="shared" si="167"/>
        <v>0</v>
      </c>
      <c r="AB285" s="10">
        <v>0</v>
      </c>
      <c r="AC285" s="10">
        <v>0</v>
      </c>
      <c r="AD285" s="44">
        <f t="shared" si="150"/>
        <v>816478.00000000012</v>
      </c>
      <c r="AE285" s="10">
        <v>0</v>
      </c>
      <c r="AF285" s="9">
        <f t="shared" si="168"/>
        <v>816478.00000000012</v>
      </c>
      <c r="AG285" s="59" t="s">
        <v>966</v>
      </c>
      <c r="AH285" s="13" t="s">
        <v>1809</v>
      </c>
      <c r="AI285" s="1">
        <f>233487.13+113184.8+158166.13</f>
        <v>504838.06</v>
      </c>
      <c r="AJ285" s="1">
        <f>35709.8+17310.62+24190.11</f>
        <v>77210.53</v>
      </c>
    </row>
    <row r="286" spans="1:36" ht="157.5" x14ac:dyDescent="0.25">
      <c r="A286" s="5">
        <f t="shared" si="151"/>
        <v>283</v>
      </c>
      <c r="B286" s="15">
        <v>126350</v>
      </c>
      <c r="C286" s="6">
        <v>570</v>
      </c>
      <c r="D286" s="40" t="s">
        <v>1985</v>
      </c>
      <c r="E286" s="17" t="s">
        <v>1018</v>
      </c>
      <c r="F286" s="8" t="s">
        <v>1207</v>
      </c>
      <c r="G286" s="5" t="s">
        <v>1041</v>
      </c>
      <c r="H286" s="5" t="s">
        <v>362</v>
      </c>
      <c r="I286" s="41" t="s">
        <v>1208</v>
      </c>
      <c r="J286" s="2">
        <v>43564</v>
      </c>
      <c r="K286" s="2">
        <v>44570</v>
      </c>
      <c r="L286" s="16">
        <f t="shared" si="163"/>
        <v>84.999999916591278</v>
      </c>
      <c r="M286" s="5">
        <v>1</v>
      </c>
      <c r="N286" s="5" t="s">
        <v>185</v>
      </c>
      <c r="O286" s="5" t="s">
        <v>185</v>
      </c>
      <c r="P286" s="3" t="s">
        <v>174</v>
      </c>
      <c r="Q286" s="5" t="s">
        <v>34</v>
      </c>
      <c r="R286" s="10">
        <f t="shared" si="164"/>
        <v>2038156.45</v>
      </c>
      <c r="S286" s="10">
        <v>2038156.45</v>
      </c>
      <c r="T286" s="10">
        <v>0</v>
      </c>
      <c r="U286" s="4">
        <f t="shared" si="165"/>
        <v>311718.05</v>
      </c>
      <c r="V286" s="71">
        <v>311718.05</v>
      </c>
      <c r="W286" s="71">
        <v>0</v>
      </c>
      <c r="X286" s="143">
        <f t="shared" si="166"/>
        <v>47956.62</v>
      </c>
      <c r="Y286" s="10">
        <v>47956.62</v>
      </c>
      <c r="Z286" s="10">
        <v>0</v>
      </c>
      <c r="AA286" s="9">
        <f t="shared" si="167"/>
        <v>0</v>
      </c>
      <c r="AB286" s="9">
        <v>0</v>
      </c>
      <c r="AC286" s="9">
        <v>0</v>
      </c>
      <c r="AD286" s="44">
        <f t="shared" si="150"/>
        <v>2397831.12</v>
      </c>
      <c r="AE286" s="10">
        <v>35700</v>
      </c>
      <c r="AF286" s="9">
        <f t="shared" si="168"/>
        <v>2433531.12</v>
      </c>
      <c r="AG286" s="59" t="s">
        <v>515</v>
      </c>
      <c r="AH286" s="13" t="s">
        <v>2213</v>
      </c>
      <c r="AI286" s="1">
        <f>167370.71+11789.5+6828.9</f>
        <v>185989.11</v>
      </c>
      <c r="AJ286" s="1">
        <f>25597.86+1803.1+1044.42</f>
        <v>28445.379999999997</v>
      </c>
    </row>
    <row r="287" spans="1:36" ht="157.5" x14ac:dyDescent="0.25">
      <c r="A287" s="5">
        <f t="shared" si="151"/>
        <v>284</v>
      </c>
      <c r="B287" s="15">
        <v>128787</v>
      </c>
      <c r="C287" s="6">
        <v>631</v>
      </c>
      <c r="D287" s="40" t="s">
        <v>1985</v>
      </c>
      <c r="E287" s="17" t="s">
        <v>1246</v>
      </c>
      <c r="F287" s="8" t="s">
        <v>1271</v>
      </c>
      <c r="G287" s="5" t="s">
        <v>1326</v>
      </c>
      <c r="H287" s="5" t="s">
        <v>362</v>
      </c>
      <c r="I287" s="41" t="s">
        <v>1272</v>
      </c>
      <c r="J287" s="2">
        <v>43622</v>
      </c>
      <c r="K287" s="2">
        <v>44536</v>
      </c>
      <c r="L287" s="16">
        <f t="shared" si="163"/>
        <v>84.999999929965156</v>
      </c>
      <c r="M287" s="5">
        <v>1</v>
      </c>
      <c r="N287" s="5" t="s">
        <v>185</v>
      </c>
      <c r="O287" s="5" t="s">
        <v>243</v>
      </c>
      <c r="P287" s="3" t="s">
        <v>174</v>
      </c>
      <c r="Q287" s="5" t="s">
        <v>34</v>
      </c>
      <c r="R287" s="10">
        <f t="shared" si="164"/>
        <v>3034203.56</v>
      </c>
      <c r="S287" s="10">
        <v>3034203.56</v>
      </c>
      <c r="T287" s="10">
        <v>0</v>
      </c>
      <c r="U287" s="10">
        <f t="shared" si="165"/>
        <v>464054.66</v>
      </c>
      <c r="V287" s="71">
        <v>464054.66</v>
      </c>
      <c r="W287" s="71">
        <v>0</v>
      </c>
      <c r="X287" s="170">
        <f t="shared" si="166"/>
        <v>71393.03</v>
      </c>
      <c r="Y287" s="171">
        <v>71393.03</v>
      </c>
      <c r="Z287" s="10">
        <v>0</v>
      </c>
      <c r="AA287" s="9">
        <f t="shared" si="167"/>
        <v>0</v>
      </c>
      <c r="AB287" s="10">
        <v>0</v>
      </c>
      <c r="AC287" s="10">
        <v>0</v>
      </c>
      <c r="AD287" s="44">
        <f t="shared" si="150"/>
        <v>3569651.25</v>
      </c>
      <c r="AE287" s="10">
        <v>0</v>
      </c>
      <c r="AF287" s="9">
        <f t="shared" si="168"/>
        <v>3569651.25</v>
      </c>
      <c r="AG287" s="59" t="s">
        <v>515</v>
      </c>
      <c r="AH287" s="13"/>
      <c r="AI287" s="1">
        <f>504827.43-10178.86-5459.66-2835.27-2355.43</f>
        <v>483998.21</v>
      </c>
      <c r="AJ287" s="1">
        <f>22614.24+10178.86+5459.66+2835.27+2355.43</f>
        <v>43443.460000000006</v>
      </c>
    </row>
    <row r="288" spans="1:36" ht="180" x14ac:dyDescent="0.25">
      <c r="A288" s="5">
        <f t="shared" si="151"/>
        <v>285</v>
      </c>
      <c r="B288" s="15">
        <v>136326</v>
      </c>
      <c r="C288" s="6">
        <v>812</v>
      </c>
      <c r="D288" s="40" t="s">
        <v>1985</v>
      </c>
      <c r="E288" s="81" t="s">
        <v>1701</v>
      </c>
      <c r="F288" s="8" t="s">
        <v>1770</v>
      </c>
      <c r="G288" s="5" t="s">
        <v>1041</v>
      </c>
      <c r="H288" s="5" t="s">
        <v>362</v>
      </c>
      <c r="I288" s="41" t="s">
        <v>1771</v>
      </c>
      <c r="J288" s="2">
        <v>43970</v>
      </c>
      <c r="K288" s="2">
        <v>44518</v>
      </c>
      <c r="L288" s="16">
        <f t="shared" si="163"/>
        <v>85.00000053912315</v>
      </c>
      <c r="M288" s="5">
        <v>1</v>
      </c>
      <c r="N288" s="5" t="s">
        <v>185</v>
      </c>
      <c r="O288" s="5" t="s">
        <v>185</v>
      </c>
      <c r="P288" s="3" t="s">
        <v>174</v>
      </c>
      <c r="Q288" s="62" t="s">
        <v>34</v>
      </c>
      <c r="R288" s="10">
        <f>S288+T288</f>
        <v>788317.12</v>
      </c>
      <c r="S288" s="10">
        <v>788317.12</v>
      </c>
      <c r="T288" s="10">
        <v>0</v>
      </c>
      <c r="U288" s="10">
        <f t="shared" si="165"/>
        <v>120566.14</v>
      </c>
      <c r="V288" s="71">
        <v>120566.14</v>
      </c>
      <c r="W288" s="71">
        <v>0</v>
      </c>
      <c r="X288" s="170">
        <f t="shared" si="166"/>
        <v>18548.64</v>
      </c>
      <c r="Y288" s="172">
        <v>18548.64</v>
      </c>
      <c r="Z288" s="10">
        <v>0</v>
      </c>
      <c r="AA288" s="9">
        <f t="shared" si="167"/>
        <v>0</v>
      </c>
      <c r="AB288" s="10">
        <v>0</v>
      </c>
      <c r="AC288" s="10">
        <v>0</v>
      </c>
      <c r="AD288" s="44">
        <f t="shared" si="150"/>
        <v>927431.9</v>
      </c>
      <c r="AE288" s="10">
        <v>0</v>
      </c>
      <c r="AF288" s="9">
        <f t="shared" si="168"/>
        <v>927431.9</v>
      </c>
      <c r="AG288" s="59" t="s">
        <v>515</v>
      </c>
      <c r="AH288" s="13"/>
      <c r="AI288" s="1">
        <f>16971.95+12398.1+17217.92</f>
        <v>46587.97</v>
      </c>
      <c r="AJ288" s="1">
        <f>2595.71+1896.18+2633.33</f>
        <v>7125.22</v>
      </c>
    </row>
    <row r="289" spans="1:109" ht="252" x14ac:dyDescent="0.25">
      <c r="A289" s="5">
        <f t="shared" si="151"/>
        <v>286</v>
      </c>
      <c r="B289" s="15">
        <v>136134</v>
      </c>
      <c r="C289" s="6">
        <v>829</v>
      </c>
      <c r="D289" s="40" t="s">
        <v>1985</v>
      </c>
      <c r="E289" s="81" t="s">
        <v>1701</v>
      </c>
      <c r="F289" s="8" t="s">
        <v>1877</v>
      </c>
      <c r="G289" s="5" t="s">
        <v>1326</v>
      </c>
      <c r="H289" s="5" t="s">
        <v>362</v>
      </c>
      <c r="I289" s="41" t="s">
        <v>1878</v>
      </c>
      <c r="J289" s="2">
        <v>44014</v>
      </c>
      <c r="K289" s="2">
        <v>44928</v>
      </c>
      <c r="L289" s="16">
        <f t="shared" si="163"/>
        <v>85</v>
      </c>
      <c r="M289" s="5">
        <v>1</v>
      </c>
      <c r="N289" s="5" t="s">
        <v>185</v>
      </c>
      <c r="O289" s="5" t="s">
        <v>243</v>
      </c>
      <c r="P289" s="3" t="s">
        <v>174</v>
      </c>
      <c r="Q289" s="62" t="s">
        <v>34</v>
      </c>
      <c r="R289" s="10">
        <f>S289+T289</f>
        <v>2452525.4</v>
      </c>
      <c r="S289" s="10">
        <v>2452525.4</v>
      </c>
      <c r="T289" s="10">
        <v>0</v>
      </c>
      <c r="U289" s="10">
        <f t="shared" si="165"/>
        <v>375092.12</v>
      </c>
      <c r="V289" s="71">
        <v>375092.12</v>
      </c>
      <c r="W289" s="71">
        <v>0</v>
      </c>
      <c r="X289" s="170">
        <f t="shared" si="166"/>
        <v>57706.48</v>
      </c>
      <c r="Y289" s="172">
        <v>57706.48</v>
      </c>
      <c r="Z289" s="10">
        <v>0</v>
      </c>
      <c r="AA289" s="9">
        <f t="shared" si="167"/>
        <v>0</v>
      </c>
      <c r="AB289" s="10">
        <v>0</v>
      </c>
      <c r="AC289" s="10">
        <v>0</v>
      </c>
      <c r="AD289" s="44">
        <f t="shared" si="150"/>
        <v>2885324</v>
      </c>
      <c r="AE289" s="10">
        <v>0</v>
      </c>
      <c r="AF289" s="9">
        <f t="shared" si="168"/>
        <v>2885324</v>
      </c>
      <c r="AG289" s="59" t="s">
        <v>515</v>
      </c>
      <c r="AH289" s="13"/>
      <c r="AI289" s="1">
        <f>28853-2863.19+142731.06-11903.65</f>
        <v>156817.22</v>
      </c>
      <c r="AJ289" s="1">
        <f>2863.19+11903.65</f>
        <v>14766.84</v>
      </c>
    </row>
    <row r="290" spans="1:109" ht="409.5" x14ac:dyDescent="0.25">
      <c r="A290" s="5">
        <f t="shared" si="151"/>
        <v>287</v>
      </c>
      <c r="B290" s="15">
        <v>118788</v>
      </c>
      <c r="C290" s="5">
        <v>445</v>
      </c>
      <c r="D290" s="8" t="s">
        <v>1986</v>
      </c>
      <c r="E290" s="8" t="s">
        <v>540</v>
      </c>
      <c r="F290" s="8" t="s">
        <v>823</v>
      </c>
      <c r="G290" s="5" t="s">
        <v>824</v>
      </c>
      <c r="H290" s="5" t="s">
        <v>151</v>
      </c>
      <c r="I290" s="8" t="s">
        <v>825</v>
      </c>
      <c r="J290" s="2">
        <v>43325</v>
      </c>
      <c r="K290" s="2">
        <v>43690</v>
      </c>
      <c r="L290" s="16">
        <f>R290/AD290*100</f>
        <v>85.000001253240569</v>
      </c>
      <c r="M290" s="5">
        <v>2</v>
      </c>
      <c r="N290" s="5" t="s">
        <v>374</v>
      </c>
      <c r="O290" s="5" t="s">
        <v>826</v>
      </c>
      <c r="P290" s="5" t="s">
        <v>174</v>
      </c>
      <c r="Q290" s="5" t="s">
        <v>34</v>
      </c>
      <c r="R290" s="1">
        <f>S290+T290</f>
        <v>339120.85</v>
      </c>
      <c r="S290" s="1">
        <v>339120.85</v>
      </c>
      <c r="T290" s="70">
        <v>0</v>
      </c>
      <c r="U290" s="1">
        <f>V290+W290</f>
        <v>51865.54</v>
      </c>
      <c r="V290" s="71">
        <v>51865.54</v>
      </c>
      <c r="W290" s="71">
        <v>0</v>
      </c>
      <c r="X290" s="1">
        <f>Y290+Z290</f>
        <v>7979.31</v>
      </c>
      <c r="Y290" s="1">
        <v>7979.31</v>
      </c>
      <c r="Z290" s="1">
        <v>0</v>
      </c>
      <c r="AA290" s="9">
        <f>AB290+AC290</f>
        <v>0</v>
      </c>
      <c r="AB290" s="9">
        <v>0</v>
      </c>
      <c r="AC290" s="9">
        <v>0</v>
      </c>
      <c r="AD290" s="44">
        <f t="shared" si="150"/>
        <v>398965.69999999995</v>
      </c>
      <c r="AE290" s="59"/>
      <c r="AF290" s="9">
        <f>AD290+AE290</f>
        <v>398965.69999999995</v>
      </c>
      <c r="AG290" s="49" t="s">
        <v>966</v>
      </c>
      <c r="AH290" s="59" t="s">
        <v>151</v>
      </c>
      <c r="AI290" s="1">
        <v>285754.77</v>
      </c>
      <c r="AJ290" s="1">
        <v>43703.66</v>
      </c>
    </row>
    <row r="291" spans="1:109" ht="267.75" x14ac:dyDescent="0.25">
      <c r="A291" s="5">
        <f t="shared" si="151"/>
        <v>288</v>
      </c>
      <c r="B291" s="15">
        <v>125665</v>
      </c>
      <c r="C291" s="5">
        <v>557</v>
      </c>
      <c r="D291" s="40" t="s">
        <v>1985</v>
      </c>
      <c r="E291" s="8" t="s">
        <v>1018</v>
      </c>
      <c r="F291" s="8" t="s">
        <v>1019</v>
      </c>
      <c r="G291" s="5" t="s">
        <v>2013</v>
      </c>
      <c r="H291" s="5" t="s">
        <v>151</v>
      </c>
      <c r="I291" s="8" t="s">
        <v>1020</v>
      </c>
      <c r="J291" s="2">
        <v>43425</v>
      </c>
      <c r="K291" s="2">
        <v>44794</v>
      </c>
      <c r="L291" s="16">
        <f>R291/AD291*100</f>
        <v>84.999999890649349</v>
      </c>
      <c r="M291" s="5">
        <v>2</v>
      </c>
      <c r="N291" s="5" t="s">
        <v>374</v>
      </c>
      <c r="O291" s="5" t="s">
        <v>826</v>
      </c>
      <c r="P291" s="5" t="s">
        <v>174</v>
      </c>
      <c r="Q291" s="5" t="s">
        <v>34</v>
      </c>
      <c r="R291" s="1">
        <f>S291+T291</f>
        <v>3497921.5</v>
      </c>
      <c r="S291" s="1">
        <v>3497921.5</v>
      </c>
      <c r="T291" s="70">
        <v>0</v>
      </c>
      <c r="U291" s="1">
        <f>V291+W291</f>
        <v>534976.2300000001</v>
      </c>
      <c r="V291" s="71">
        <v>534976.2300000001</v>
      </c>
      <c r="W291" s="71">
        <v>0</v>
      </c>
      <c r="X291" s="1">
        <f>Y291+Z291</f>
        <v>82304.039999999994</v>
      </c>
      <c r="Y291" s="1">
        <v>82304.039999999994</v>
      </c>
      <c r="Z291" s="1">
        <v>0</v>
      </c>
      <c r="AA291" s="9">
        <f>AB291+AC291</f>
        <v>0</v>
      </c>
      <c r="AB291" s="9">
        <v>0</v>
      </c>
      <c r="AC291" s="9">
        <v>0</v>
      </c>
      <c r="AD291" s="44">
        <f t="shared" si="150"/>
        <v>4115201.77</v>
      </c>
      <c r="AE291" s="59">
        <v>114240</v>
      </c>
      <c r="AF291" s="9">
        <f>AD291+AE291</f>
        <v>4229441.7699999996</v>
      </c>
      <c r="AG291" s="59" t="s">
        <v>515</v>
      </c>
      <c r="AH291" s="59" t="s">
        <v>2120</v>
      </c>
      <c r="AI291" s="1">
        <f>142406.78+91705.18</f>
        <v>234111.96</v>
      </c>
      <c r="AJ291" s="1">
        <f>21779.86+14025.5</f>
        <v>35805.360000000001</v>
      </c>
    </row>
    <row r="292" spans="1:109" ht="157.5" x14ac:dyDescent="0.25">
      <c r="A292" s="5">
        <f t="shared" si="151"/>
        <v>289</v>
      </c>
      <c r="B292" s="15">
        <v>136071</v>
      </c>
      <c r="C292" s="5">
        <v>768</v>
      </c>
      <c r="D292" s="40" t="s">
        <v>1985</v>
      </c>
      <c r="E292" s="17" t="s">
        <v>1701</v>
      </c>
      <c r="F292" s="55" t="s">
        <v>1715</v>
      </c>
      <c r="G292" s="5" t="s">
        <v>2013</v>
      </c>
      <c r="H292" s="5" t="s">
        <v>151</v>
      </c>
      <c r="I292" s="41" t="s">
        <v>1716</v>
      </c>
      <c r="J292" s="2">
        <v>43949</v>
      </c>
      <c r="K292" s="2">
        <v>44467</v>
      </c>
      <c r="L292" s="16">
        <f>R292/AD292*100</f>
        <v>85</v>
      </c>
      <c r="M292" s="5">
        <v>2</v>
      </c>
      <c r="N292" s="5" t="s">
        <v>374</v>
      </c>
      <c r="O292" s="5" t="s">
        <v>826</v>
      </c>
      <c r="P292" s="5" t="s">
        <v>174</v>
      </c>
      <c r="Q292" s="5" t="s">
        <v>34</v>
      </c>
      <c r="R292" s="1">
        <f>S292+T292</f>
        <v>576959.6</v>
      </c>
      <c r="S292" s="1">
        <v>576959.6</v>
      </c>
      <c r="T292" s="71">
        <v>0</v>
      </c>
      <c r="U292" s="1">
        <f>V292+W292</f>
        <v>88240.88</v>
      </c>
      <c r="V292" s="71">
        <v>88240.88</v>
      </c>
      <c r="W292" s="71">
        <v>0</v>
      </c>
      <c r="X292" s="1">
        <f>Y292+Z292</f>
        <v>13575.52</v>
      </c>
      <c r="Y292" s="1">
        <v>13575.52</v>
      </c>
      <c r="Z292" s="1">
        <v>0</v>
      </c>
      <c r="AA292" s="9">
        <f>AB292+AC292</f>
        <v>0</v>
      </c>
      <c r="AB292" s="9">
        <v>0</v>
      </c>
      <c r="AC292" s="9">
        <v>0</v>
      </c>
      <c r="AD292" s="44">
        <f t="shared" si="150"/>
        <v>678776</v>
      </c>
      <c r="AE292" s="59">
        <v>0</v>
      </c>
      <c r="AF292" s="9">
        <f>AD292+AE292</f>
        <v>678776</v>
      </c>
      <c r="AG292" s="59" t="s">
        <v>515</v>
      </c>
      <c r="AH292" s="59" t="s">
        <v>151</v>
      </c>
      <c r="AI292" s="1">
        <v>112223.9</v>
      </c>
      <c r="AJ292" s="1">
        <v>17163.66</v>
      </c>
    </row>
    <row r="293" spans="1:109" ht="173.25" x14ac:dyDescent="0.25">
      <c r="A293" s="5">
        <f t="shared" si="151"/>
        <v>290</v>
      </c>
      <c r="B293" s="15">
        <v>136088</v>
      </c>
      <c r="C293" s="5">
        <v>813</v>
      </c>
      <c r="D293" s="40" t="s">
        <v>1985</v>
      </c>
      <c r="E293" s="17" t="s">
        <v>1701</v>
      </c>
      <c r="F293" s="55" t="s">
        <v>1825</v>
      </c>
      <c r="G293" s="5" t="s">
        <v>824</v>
      </c>
      <c r="H293" s="5" t="s">
        <v>151</v>
      </c>
      <c r="I293" s="41" t="s">
        <v>1826</v>
      </c>
      <c r="J293" s="2">
        <v>43998</v>
      </c>
      <c r="K293" s="2">
        <v>44697</v>
      </c>
      <c r="L293" s="16">
        <f>R293/AD293*100</f>
        <v>85.00000001266109</v>
      </c>
      <c r="M293" s="5">
        <v>2</v>
      </c>
      <c r="N293" s="5" t="s">
        <v>374</v>
      </c>
      <c r="O293" s="5" t="s">
        <v>1827</v>
      </c>
      <c r="P293" s="5" t="s">
        <v>174</v>
      </c>
      <c r="Q293" s="5" t="s">
        <v>34</v>
      </c>
      <c r="R293" s="1">
        <f>S293+T293</f>
        <v>3356741.18</v>
      </c>
      <c r="S293" s="1">
        <v>3356741.18</v>
      </c>
      <c r="T293" s="71">
        <v>0</v>
      </c>
      <c r="U293" s="1">
        <f>V293+W293</f>
        <v>513383.94</v>
      </c>
      <c r="V293" s="71">
        <v>513383.94</v>
      </c>
      <c r="W293" s="71">
        <v>0</v>
      </c>
      <c r="X293" s="1">
        <f>Y293+Z293</f>
        <v>78982.149999999994</v>
      </c>
      <c r="Y293" s="1">
        <v>78982.149999999994</v>
      </c>
      <c r="Z293" s="1">
        <v>0</v>
      </c>
      <c r="AA293" s="9">
        <f>AB293+AC293</f>
        <v>0</v>
      </c>
      <c r="AB293" s="9">
        <v>0</v>
      </c>
      <c r="AC293" s="9">
        <v>0</v>
      </c>
      <c r="AD293" s="44">
        <f t="shared" si="150"/>
        <v>3949107.27</v>
      </c>
      <c r="AE293" s="59">
        <v>0</v>
      </c>
      <c r="AF293" s="9">
        <f>AD293+AE293</f>
        <v>3949107.27</v>
      </c>
      <c r="AG293" s="59" t="s">
        <v>515</v>
      </c>
      <c r="AH293" s="59" t="s">
        <v>2161</v>
      </c>
      <c r="AI293" s="1">
        <f>52842.15+27804.95+103071.85</f>
        <v>183718.95</v>
      </c>
      <c r="AJ293" s="1">
        <f>8081.74+4252.52+15763.93</f>
        <v>28098.190000000002</v>
      </c>
    </row>
    <row r="294" spans="1:109" ht="141.75" x14ac:dyDescent="0.25">
      <c r="A294" s="5">
        <f t="shared" si="151"/>
        <v>291</v>
      </c>
      <c r="B294" s="15">
        <v>118894</v>
      </c>
      <c r="C294" s="6">
        <v>15</v>
      </c>
      <c r="D294" s="5" t="s">
        <v>143</v>
      </c>
      <c r="E294" s="24" t="s">
        <v>107</v>
      </c>
      <c r="F294" s="8" t="s">
        <v>58</v>
      </c>
      <c r="G294" s="3" t="s">
        <v>2131</v>
      </c>
      <c r="H294" s="5" t="s">
        <v>151</v>
      </c>
      <c r="I294" s="74" t="s">
        <v>59</v>
      </c>
      <c r="J294" s="2">
        <v>42717</v>
      </c>
      <c r="K294" s="2">
        <v>43995</v>
      </c>
      <c r="L294" s="16">
        <f t="shared" ref="L294:L302" si="169">R294/AD294*100</f>
        <v>83.983863051796376</v>
      </c>
      <c r="M294" s="5" t="s">
        <v>136</v>
      </c>
      <c r="N294" s="5" t="s">
        <v>262</v>
      </c>
      <c r="O294" s="5" t="s">
        <v>262</v>
      </c>
      <c r="P294" s="3" t="s">
        <v>138</v>
      </c>
      <c r="Q294" s="5" t="s">
        <v>34</v>
      </c>
      <c r="R294" s="9">
        <f t="shared" ref="R294:R302" si="170">S294+T294</f>
        <v>2106832.29</v>
      </c>
      <c r="S294" s="9">
        <v>1698976.68</v>
      </c>
      <c r="T294" s="9">
        <v>407855.61</v>
      </c>
      <c r="U294" s="9">
        <f t="shared" ref="U294:U302" si="171">V294+W294</f>
        <v>0</v>
      </c>
      <c r="V294" s="53">
        <v>0</v>
      </c>
      <c r="W294" s="53">
        <v>0</v>
      </c>
      <c r="X294" s="9">
        <f t="shared" ref="X294:X302" si="172">Y294+Z294</f>
        <v>401783.30999999994</v>
      </c>
      <c r="Y294" s="9">
        <v>299819.40999999997</v>
      </c>
      <c r="Z294" s="9">
        <v>101963.9</v>
      </c>
      <c r="AA294" s="9">
        <f t="shared" ref="AA294:AA302" si="173">AB294+AC294</f>
        <v>0</v>
      </c>
      <c r="AB294" s="9">
        <v>0</v>
      </c>
      <c r="AC294" s="9">
        <v>0</v>
      </c>
      <c r="AD294" s="44">
        <f t="shared" si="150"/>
        <v>2508615.6</v>
      </c>
      <c r="AE294" s="9">
        <v>154711.20000000001</v>
      </c>
      <c r="AF294" s="9">
        <f t="shared" ref="AF294:AF302" si="174">AD294+AE294</f>
        <v>2663326.8000000003</v>
      </c>
      <c r="AG294" s="59" t="s">
        <v>966</v>
      </c>
      <c r="AH294" s="13" t="s">
        <v>1416</v>
      </c>
      <c r="AI294" s="1">
        <f>749071.73+539901.84+5494.22</f>
        <v>1294467.7899999998</v>
      </c>
      <c r="AJ294" s="1">
        <v>0</v>
      </c>
    </row>
    <row r="295" spans="1:109" s="72" customFormat="1" ht="141.75" x14ac:dyDescent="0.25">
      <c r="A295" s="5">
        <f t="shared" si="151"/>
        <v>292</v>
      </c>
      <c r="B295" s="15">
        <v>119196</v>
      </c>
      <c r="C295" s="6">
        <v>20</v>
      </c>
      <c r="D295" s="5" t="s">
        <v>143</v>
      </c>
      <c r="E295" s="24" t="s">
        <v>107</v>
      </c>
      <c r="F295" s="8" t="s">
        <v>65</v>
      </c>
      <c r="G295" s="3" t="s">
        <v>2042</v>
      </c>
      <c r="H295" s="5" t="s">
        <v>168</v>
      </c>
      <c r="I295" s="74" t="s">
        <v>66</v>
      </c>
      <c r="J295" s="2">
        <v>42464</v>
      </c>
      <c r="K295" s="2">
        <v>44351</v>
      </c>
      <c r="L295" s="16">
        <f t="shared" si="169"/>
        <v>83.983862957234891</v>
      </c>
      <c r="M295" s="5" t="s">
        <v>136</v>
      </c>
      <c r="N295" s="5" t="s">
        <v>262</v>
      </c>
      <c r="O295" s="5" t="s">
        <v>262</v>
      </c>
      <c r="P295" s="3" t="s">
        <v>138</v>
      </c>
      <c r="Q295" s="5" t="s">
        <v>34</v>
      </c>
      <c r="R295" s="9">
        <f t="shared" si="170"/>
        <v>14714221.08</v>
      </c>
      <c r="S295" s="9">
        <v>11865737.33</v>
      </c>
      <c r="T295" s="9">
        <v>2848483.75</v>
      </c>
      <c r="U295" s="9">
        <f t="shared" si="171"/>
        <v>0</v>
      </c>
      <c r="V295" s="53">
        <v>0</v>
      </c>
      <c r="W295" s="53">
        <v>0</v>
      </c>
      <c r="X295" s="9">
        <f t="shared" si="172"/>
        <v>2806074.56</v>
      </c>
      <c r="Y295" s="9">
        <v>2093953.62</v>
      </c>
      <c r="Z295" s="9">
        <v>712120.94</v>
      </c>
      <c r="AA295" s="9">
        <f t="shared" si="173"/>
        <v>0</v>
      </c>
      <c r="AB295" s="9">
        <v>0</v>
      </c>
      <c r="AC295" s="9">
        <v>0</v>
      </c>
      <c r="AD295" s="44">
        <f t="shared" si="150"/>
        <v>17520295.640000001</v>
      </c>
      <c r="AE295" s="9">
        <v>0</v>
      </c>
      <c r="AF295" s="9">
        <f t="shared" si="174"/>
        <v>17520295.640000001</v>
      </c>
      <c r="AG295" s="59" t="s">
        <v>966</v>
      </c>
      <c r="AH295" s="13" t="s">
        <v>2107</v>
      </c>
      <c r="AI295" s="160">
        <f>8318831+1813378.18+1752669.98+348361.29+643650.68</f>
        <v>12876891.129999999</v>
      </c>
      <c r="AJ295" s="1">
        <v>0</v>
      </c>
      <c r="AK295" s="12"/>
      <c r="AL295" s="12"/>
      <c r="AM295" s="12"/>
      <c r="AN295" s="12"/>
      <c r="AO295" s="12"/>
      <c r="AP295" s="12"/>
      <c r="AQ295" s="12"/>
      <c r="AR295" s="12"/>
      <c r="AS295" s="12"/>
      <c r="AT295" s="12"/>
      <c r="AU295" s="12"/>
      <c r="AV295" s="12"/>
      <c r="AW295" s="12"/>
      <c r="AX295" s="12"/>
      <c r="AY295" s="12"/>
      <c r="AZ295" s="12"/>
      <c r="BA295" s="12"/>
      <c r="BB295" s="12"/>
      <c r="BC295" s="12"/>
      <c r="BD295" s="12"/>
      <c r="BE295" s="12"/>
      <c r="BF295" s="12"/>
      <c r="BG295" s="12"/>
      <c r="BH295" s="12"/>
      <c r="BI295" s="12"/>
      <c r="BJ295" s="12"/>
      <c r="BK295" s="12"/>
      <c r="BL295" s="12"/>
      <c r="BM295" s="12"/>
      <c r="BN295" s="12"/>
      <c r="BO295" s="12"/>
      <c r="BP295" s="12"/>
      <c r="BQ295" s="12"/>
      <c r="BR295" s="12"/>
      <c r="BS295" s="12"/>
      <c r="BT295" s="12"/>
      <c r="BU295" s="12"/>
      <c r="BV295" s="12"/>
      <c r="BW295" s="12"/>
      <c r="BX295" s="12"/>
      <c r="BY295" s="12"/>
      <c r="BZ295" s="12"/>
      <c r="CA295" s="12"/>
      <c r="CB295" s="12"/>
      <c r="CC295" s="12"/>
      <c r="CD295" s="12"/>
      <c r="CE295" s="12"/>
      <c r="CF295" s="12"/>
      <c r="CG295" s="12"/>
      <c r="CH295" s="12"/>
      <c r="CI295" s="12"/>
      <c r="CJ295" s="12"/>
      <c r="CK295" s="12"/>
      <c r="CL295" s="12"/>
      <c r="CM295" s="12"/>
      <c r="CN295" s="12"/>
      <c r="CO295" s="12"/>
      <c r="CP295" s="12"/>
      <c r="CQ295" s="12"/>
      <c r="CR295" s="12"/>
      <c r="CS295" s="12"/>
      <c r="CT295" s="12"/>
      <c r="CU295" s="12"/>
      <c r="CV295" s="12"/>
      <c r="CW295" s="12"/>
      <c r="CX295" s="12"/>
      <c r="CY295" s="12"/>
      <c r="CZ295" s="12"/>
      <c r="DA295" s="12"/>
      <c r="DB295" s="12"/>
      <c r="DC295" s="12"/>
      <c r="DD295" s="12"/>
      <c r="DE295" s="12"/>
    </row>
    <row r="296" spans="1:109" s="72" customFormat="1" ht="141.75" x14ac:dyDescent="0.25">
      <c r="A296" s="5">
        <f t="shared" si="151"/>
        <v>293</v>
      </c>
      <c r="B296" s="15">
        <v>119622</v>
      </c>
      <c r="C296" s="5">
        <v>45</v>
      </c>
      <c r="D296" s="5" t="s">
        <v>144</v>
      </c>
      <c r="E296" s="24" t="s">
        <v>148</v>
      </c>
      <c r="F296" s="8" t="s">
        <v>105</v>
      </c>
      <c r="G296" s="5" t="s">
        <v>104</v>
      </c>
      <c r="H296" s="5" t="s">
        <v>151</v>
      </c>
      <c r="I296" s="74" t="s">
        <v>106</v>
      </c>
      <c r="J296" s="2">
        <v>42793</v>
      </c>
      <c r="K296" s="2">
        <v>44557</v>
      </c>
      <c r="L296" s="16">
        <f t="shared" si="169"/>
        <v>83.983862948301422</v>
      </c>
      <c r="M296" s="5" t="s">
        <v>136</v>
      </c>
      <c r="N296" s="5" t="s">
        <v>262</v>
      </c>
      <c r="O296" s="5" t="s">
        <v>137</v>
      </c>
      <c r="P296" s="3" t="s">
        <v>138</v>
      </c>
      <c r="Q296" s="5" t="s">
        <v>34</v>
      </c>
      <c r="R296" s="9">
        <f t="shared" si="170"/>
        <v>37233996.5</v>
      </c>
      <c r="S296" s="9">
        <v>30025974.129999999</v>
      </c>
      <c r="T296" s="9">
        <v>7208022.3700000001</v>
      </c>
      <c r="U296" s="9">
        <f t="shared" si="171"/>
        <v>0</v>
      </c>
      <c r="V296" s="53">
        <v>0</v>
      </c>
      <c r="W296" s="53">
        <v>0</v>
      </c>
      <c r="X296" s="9">
        <f t="shared" si="172"/>
        <v>7100706.8499999996</v>
      </c>
      <c r="Y296" s="9">
        <v>5298701.3</v>
      </c>
      <c r="Z296" s="9">
        <v>1802005.55</v>
      </c>
      <c r="AA296" s="9">
        <f t="shared" si="173"/>
        <v>0</v>
      </c>
      <c r="AB296" s="9">
        <v>0</v>
      </c>
      <c r="AC296" s="9">
        <v>0</v>
      </c>
      <c r="AD296" s="44">
        <f t="shared" si="150"/>
        <v>44334703.350000001</v>
      </c>
      <c r="AE296" s="9">
        <v>427346.26</v>
      </c>
      <c r="AF296" s="9">
        <f t="shared" si="174"/>
        <v>44762049.609999999</v>
      </c>
      <c r="AG296" s="59" t="s">
        <v>515</v>
      </c>
      <c r="AH296" s="156" t="s">
        <v>1857</v>
      </c>
      <c r="AI296" s="160">
        <f>21632358.61+914374.27</f>
        <v>22546732.879999999</v>
      </c>
      <c r="AJ296" s="1">
        <v>0</v>
      </c>
      <c r="AK296" s="12"/>
      <c r="AL296" s="12"/>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c r="BM296" s="12"/>
      <c r="BN296" s="12"/>
      <c r="BO296" s="12"/>
      <c r="BP296" s="12"/>
      <c r="BQ296" s="12"/>
      <c r="BR296" s="12"/>
      <c r="BS296" s="12"/>
      <c r="BT296" s="12"/>
      <c r="BU296" s="12"/>
      <c r="BV296" s="12"/>
      <c r="BW296" s="12"/>
      <c r="BX296" s="12"/>
      <c r="BY296" s="12"/>
      <c r="BZ296" s="12"/>
      <c r="CA296" s="12"/>
      <c r="CB296" s="12"/>
      <c r="CC296" s="12"/>
      <c r="CD296" s="12"/>
      <c r="CE296" s="12"/>
      <c r="CF296" s="12"/>
      <c r="CG296" s="12"/>
      <c r="CH296" s="12"/>
      <c r="CI296" s="12"/>
      <c r="CJ296" s="12"/>
      <c r="CK296" s="12"/>
      <c r="CL296" s="12"/>
      <c r="CM296" s="12"/>
      <c r="CN296" s="12"/>
      <c r="CO296" s="12"/>
      <c r="CP296" s="12"/>
      <c r="CQ296" s="12"/>
      <c r="CR296" s="12"/>
      <c r="CS296" s="12"/>
      <c r="CT296" s="12"/>
      <c r="CU296" s="12"/>
      <c r="CV296" s="12"/>
      <c r="CW296" s="12"/>
      <c r="CX296" s="12"/>
      <c r="CY296" s="12"/>
      <c r="CZ296" s="12"/>
      <c r="DA296" s="12"/>
      <c r="DB296" s="12"/>
      <c r="DC296" s="12"/>
      <c r="DD296" s="12"/>
      <c r="DE296" s="12"/>
    </row>
    <row r="297" spans="1:109" s="72" customFormat="1" ht="173.25" x14ac:dyDescent="0.25">
      <c r="A297" s="5">
        <f t="shared" si="151"/>
        <v>294</v>
      </c>
      <c r="B297" s="15">
        <v>126388</v>
      </c>
      <c r="C297" s="5">
        <v>494</v>
      </c>
      <c r="D297" s="134" t="s">
        <v>1988</v>
      </c>
      <c r="E297" s="8" t="s">
        <v>1130</v>
      </c>
      <c r="F297" s="8" t="s">
        <v>1157</v>
      </c>
      <c r="G297" s="5" t="s">
        <v>1158</v>
      </c>
      <c r="H297" s="5" t="s">
        <v>151</v>
      </c>
      <c r="I297" s="74" t="s">
        <v>1159</v>
      </c>
      <c r="J297" s="2">
        <v>43531</v>
      </c>
      <c r="K297" s="2">
        <v>44354</v>
      </c>
      <c r="L297" s="16">
        <f t="shared" si="169"/>
        <v>83.300001414159638</v>
      </c>
      <c r="M297" s="5">
        <v>3</v>
      </c>
      <c r="N297" s="5" t="s">
        <v>1160</v>
      </c>
      <c r="O297" s="5" t="s">
        <v>1160</v>
      </c>
      <c r="P297" s="5" t="s">
        <v>275</v>
      </c>
      <c r="Q297" s="5" t="s">
        <v>34</v>
      </c>
      <c r="R297" s="1">
        <f t="shared" si="170"/>
        <v>2043977.2</v>
      </c>
      <c r="S297" s="9">
        <v>2043977.2</v>
      </c>
      <c r="T297" s="9">
        <v>0</v>
      </c>
      <c r="U297" s="1">
        <f t="shared" si="171"/>
        <v>360701.81</v>
      </c>
      <c r="V297" s="53">
        <v>360701.81</v>
      </c>
      <c r="W297" s="53">
        <v>0</v>
      </c>
      <c r="X297" s="1">
        <f t="shared" si="172"/>
        <v>0</v>
      </c>
      <c r="Y297" s="9">
        <v>0</v>
      </c>
      <c r="Z297" s="9">
        <v>0</v>
      </c>
      <c r="AA297" s="9">
        <f t="shared" si="173"/>
        <v>49075.09</v>
      </c>
      <c r="AB297" s="9">
        <v>49075.09</v>
      </c>
      <c r="AC297" s="9">
        <v>0</v>
      </c>
      <c r="AD297" s="44">
        <f t="shared" si="150"/>
        <v>2453754.0999999996</v>
      </c>
      <c r="AE297" s="9">
        <v>0</v>
      </c>
      <c r="AF297" s="9">
        <f t="shared" si="174"/>
        <v>2453754.0999999996</v>
      </c>
      <c r="AG297" s="59" t="s">
        <v>966</v>
      </c>
      <c r="AH297" s="13" t="s">
        <v>2111</v>
      </c>
      <c r="AI297" s="160">
        <f>977058.3-20264.24+135094.98+54047.52-25686.26+171241.85+74985.72+121676.73-18717.97+270523.91</f>
        <v>1739960.54</v>
      </c>
      <c r="AJ297" s="1">
        <f>20492.1+14114.96+30257.86+15716.19+49417.45+20264.24+9537.82+25686.26+13232.76+21472.38+18717.97+25718.38</f>
        <v>264628.37</v>
      </c>
    </row>
    <row r="298" spans="1:109" s="72" customFormat="1" ht="204.75" x14ac:dyDescent="0.25">
      <c r="A298" s="5">
        <f t="shared" si="151"/>
        <v>295</v>
      </c>
      <c r="B298" s="15">
        <v>121858</v>
      </c>
      <c r="C298" s="6">
        <v>50</v>
      </c>
      <c r="D298" s="5" t="s">
        <v>143</v>
      </c>
      <c r="E298" s="17" t="s">
        <v>110</v>
      </c>
      <c r="F298" s="8" t="s">
        <v>388</v>
      </c>
      <c r="G298" s="3" t="s">
        <v>2098</v>
      </c>
      <c r="H298" s="5" t="s">
        <v>296</v>
      </c>
      <c r="I298" s="41" t="s">
        <v>389</v>
      </c>
      <c r="J298" s="2">
        <v>43229</v>
      </c>
      <c r="K298" s="2">
        <v>44874</v>
      </c>
      <c r="L298" s="16">
        <f t="shared" si="169"/>
        <v>83.983863012341516</v>
      </c>
      <c r="M298" s="5" t="s">
        <v>273</v>
      </c>
      <c r="N298" s="5" t="s">
        <v>307</v>
      </c>
      <c r="O298" s="5" t="s">
        <v>307</v>
      </c>
      <c r="P298" s="3" t="s">
        <v>138</v>
      </c>
      <c r="Q298" s="5" t="s">
        <v>34</v>
      </c>
      <c r="R298" s="9">
        <f t="shared" si="170"/>
        <v>9622258.7983895056</v>
      </c>
      <c r="S298" s="9">
        <v>7759513.3626215449</v>
      </c>
      <c r="T298" s="9">
        <v>1862745.4357679603</v>
      </c>
      <c r="U298" s="9">
        <f t="shared" si="171"/>
        <v>0</v>
      </c>
      <c r="V298" s="53">
        <v>0</v>
      </c>
      <c r="W298" s="53">
        <v>0</v>
      </c>
      <c r="X298" s="9">
        <f t="shared" si="172"/>
        <v>1835012.2216104972</v>
      </c>
      <c r="Y298" s="4">
        <v>1369325.8891101095</v>
      </c>
      <c r="Z298" s="9">
        <v>465686.33250038774</v>
      </c>
      <c r="AA298" s="9">
        <f t="shared" si="173"/>
        <v>0</v>
      </c>
      <c r="AB298" s="9">
        <v>0</v>
      </c>
      <c r="AC298" s="9">
        <v>0</v>
      </c>
      <c r="AD298" s="44">
        <f t="shared" si="150"/>
        <v>11457271.020000003</v>
      </c>
      <c r="AE298" s="9">
        <v>0</v>
      </c>
      <c r="AF298" s="9">
        <f t="shared" si="174"/>
        <v>11457271.020000003</v>
      </c>
      <c r="AG298" s="59" t="s">
        <v>515</v>
      </c>
      <c r="AH298" s="13" t="s">
        <v>2186</v>
      </c>
      <c r="AI298" s="160">
        <f>758641.61+55509.97+186093.97+162888.38+33585.15+36431.36</f>
        <v>1233150.44</v>
      </c>
      <c r="AJ298" s="1">
        <v>0</v>
      </c>
      <c r="AK298" s="12"/>
      <c r="AL298" s="12"/>
      <c r="AM298" s="12"/>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c r="BJ298" s="12"/>
      <c r="BK298" s="12"/>
      <c r="BL298" s="12"/>
      <c r="BM298" s="12"/>
      <c r="BN298" s="12"/>
      <c r="BO298" s="12"/>
      <c r="BP298" s="12"/>
      <c r="BQ298" s="12"/>
      <c r="BR298" s="12"/>
      <c r="BS298" s="12"/>
      <c r="BT298" s="12"/>
      <c r="BU298" s="12"/>
      <c r="BV298" s="12"/>
      <c r="BW298" s="12"/>
      <c r="BX298" s="12"/>
      <c r="BY298" s="12"/>
      <c r="BZ298" s="12"/>
      <c r="CA298" s="12"/>
      <c r="CB298" s="12"/>
      <c r="CC298" s="12"/>
      <c r="CD298" s="12"/>
      <c r="CE298" s="12"/>
      <c r="CF298" s="12"/>
      <c r="CG298" s="12"/>
      <c r="CH298" s="12"/>
      <c r="CI298" s="12"/>
      <c r="CJ298" s="12"/>
      <c r="CK298" s="12"/>
      <c r="CL298" s="12"/>
      <c r="CM298" s="12"/>
      <c r="CN298" s="12"/>
      <c r="CO298" s="12"/>
      <c r="CP298" s="12"/>
      <c r="CQ298" s="12"/>
      <c r="CR298" s="12"/>
      <c r="CS298" s="12"/>
      <c r="CT298" s="12"/>
      <c r="CU298" s="12"/>
      <c r="CV298" s="12"/>
      <c r="CW298" s="12"/>
      <c r="CX298" s="12"/>
      <c r="CY298" s="12"/>
      <c r="CZ298" s="12"/>
      <c r="DA298" s="12"/>
      <c r="DB298" s="12"/>
      <c r="DC298" s="12"/>
      <c r="DD298" s="12"/>
      <c r="DE298" s="12"/>
    </row>
    <row r="299" spans="1:109" ht="173.25" x14ac:dyDescent="0.25">
      <c r="A299" s="5">
        <f t="shared" si="151"/>
        <v>296</v>
      </c>
      <c r="B299" s="15">
        <v>120194</v>
      </c>
      <c r="C299" s="6">
        <v>52</v>
      </c>
      <c r="D299" s="5" t="s">
        <v>143</v>
      </c>
      <c r="E299" s="24" t="s">
        <v>110</v>
      </c>
      <c r="F299" s="8" t="s">
        <v>118</v>
      </c>
      <c r="G299" s="5" t="s">
        <v>117</v>
      </c>
      <c r="H299" s="5" t="s">
        <v>151</v>
      </c>
      <c r="I299" s="74" t="s">
        <v>119</v>
      </c>
      <c r="J299" s="2">
        <v>42963</v>
      </c>
      <c r="K299" s="2">
        <v>44212</v>
      </c>
      <c r="L299" s="16">
        <f t="shared" si="169"/>
        <v>83.983862831024851</v>
      </c>
      <c r="M299" s="5" t="s">
        <v>136</v>
      </c>
      <c r="N299" s="5" t="s">
        <v>262</v>
      </c>
      <c r="O299" s="5" t="s">
        <v>262</v>
      </c>
      <c r="P299" s="3" t="s">
        <v>138</v>
      </c>
      <c r="Q299" s="5" t="s">
        <v>34</v>
      </c>
      <c r="R299" s="9">
        <f t="shared" si="170"/>
        <v>12243037.969999999</v>
      </c>
      <c r="S299" s="9">
        <v>9872943.4499999993</v>
      </c>
      <c r="T299" s="9">
        <v>2370094.52</v>
      </c>
      <c r="U299" s="9">
        <f t="shared" si="171"/>
        <v>0</v>
      </c>
      <c r="V299" s="53">
        <v>0</v>
      </c>
      <c r="W299" s="53">
        <v>0</v>
      </c>
      <c r="X299" s="9">
        <f t="shared" si="172"/>
        <v>2334807.77</v>
      </c>
      <c r="Y299" s="9">
        <v>1742284.14</v>
      </c>
      <c r="Z299" s="9">
        <v>592523.63</v>
      </c>
      <c r="AA299" s="9">
        <f t="shared" si="173"/>
        <v>0</v>
      </c>
      <c r="AB299" s="9">
        <v>0</v>
      </c>
      <c r="AC299" s="9">
        <v>0</v>
      </c>
      <c r="AD299" s="44">
        <f t="shared" si="150"/>
        <v>14577845.739999998</v>
      </c>
      <c r="AE299" s="9">
        <v>0</v>
      </c>
      <c r="AF299" s="9">
        <f t="shared" si="174"/>
        <v>14577845.739999998</v>
      </c>
      <c r="AG299" s="59" t="s">
        <v>966</v>
      </c>
      <c r="AH299" s="50" t="s">
        <v>1414</v>
      </c>
      <c r="AI299" s="160">
        <f>2619250.29+2687296.53+82985.27+2490702.85+40178.04</f>
        <v>7920412.9799999995</v>
      </c>
      <c r="AJ299" s="160">
        <v>0</v>
      </c>
      <c r="AK299" s="173"/>
      <c r="AL299" s="173"/>
      <c r="AM299" s="173"/>
      <c r="AN299" s="173"/>
      <c r="AO299" s="173"/>
      <c r="AP299" s="173"/>
      <c r="AQ299" s="173"/>
      <c r="AR299" s="173"/>
      <c r="AS299" s="173"/>
      <c r="AT299" s="173"/>
      <c r="AU299" s="173"/>
      <c r="AV299" s="173"/>
      <c r="AW299" s="173"/>
      <c r="AX299" s="173"/>
      <c r="AY299" s="173"/>
      <c r="AZ299" s="173"/>
      <c r="BA299" s="173"/>
      <c r="BB299" s="173"/>
      <c r="BC299" s="173"/>
      <c r="BD299" s="173"/>
      <c r="BE299" s="173"/>
      <c r="BF299" s="173"/>
      <c r="BG299" s="173"/>
      <c r="BH299" s="173"/>
      <c r="BI299" s="173"/>
      <c r="BJ299" s="173"/>
      <c r="BK299" s="173"/>
      <c r="BL299" s="173"/>
      <c r="BM299" s="173"/>
      <c r="BN299" s="173"/>
      <c r="BO299" s="173"/>
      <c r="BP299" s="173"/>
      <c r="BQ299" s="173"/>
      <c r="BR299" s="173"/>
      <c r="BS299" s="173"/>
      <c r="BT299" s="173"/>
      <c r="BU299" s="173"/>
      <c r="BV299" s="173"/>
      <c r="BW299" s="173"/>
      <c r="BX299" s="173"/>
      <c r="BY299" s="173"/>
      <c r="BZ299" s="173"/>
      <c r="CA299" s="173"/>
      <c r="CB299" s="173"/>
      <c r="CC299" s="173"/>
      <c r="CD299" s="173"/>
      <c r="CE299" s="173"/>
      <c r="CF299" s="173"/>
      <c r="CG299" s="173"/>
      <c r="CH299" s="173"/>
      <c r="CI299" s="173"/>
      <c r="CJ299" s="173"/>
      <c r="CK299" s="173"/>
      <c r="CL299" s="173"/>
      <c r="CM299" s="173"/>
      <c r="CN299" s="173"/>
      <c r="CO299" s="173"/>
      <c r="CP299" s="173"/>
      <c r="CQ299" s="173"/>
      <c r="CR299" s="173"/>
      <c r="CS299" s="173"/>
      <c r="CT299" s="173"/>
      <c r="CU299" s="173"/>
      <c r="CV299" s="173"/>
      <c r="CW299" s="173"/>
      <c r="CX299" s="173"/>
      <c r="CY299" s="173"/>
      <c r="CZ299" s="173"/>
      <c r="DA299" s="173"/>
      <c r="DB299" s="173"/>
      <c r="DC299" s="173"/>
      <c r="DD299" s="173"/>
      <c r="DE299" s="173"/>
    </row>
    <row r="300" spans="1:109" ht="141.75" x14ac:dyDescent="0.25">
      <c r="A300" s="5">
        <f t="shared" si="151"/>
        <v>297</v>
      </c>
      <c r="B300" s="15">
        <v>119689</v>
      </c>
      <c r="C300" s="5">
        <v>53</v>
      </c>
      <c r="D300" s="5" t="s">
        <v>145</v>
      </c>
      <c r="E300" s="24" t="s">
        <v>123</v>
      </c>
      <c r="F300" s="8" t="s">
        <v>95</v>
      </c>
      <c r="G300" s="5" t="s">
        <v>94</v>
      </c>
      <c r="H300" s="5" t="s">
        <v>151</v>
      </c>
      <c r="I300" s="74" t="s">
        <v>96</v>
      </c>
      <c r="J300" s="2">
        <v>42943</v>
      </c>
      <c r="K300" s="2">
        <v>44557</v>
      </c>
      <c r="L300" s="16">
        <f t="shared" si="169"/>
        <v>83.983862837568367</v>
      </c>
      <c r="M300" s="5" t="s">
        <v>136</v>
      </c>
      <c r="N300" s="5" t="s">
        <v>262</v>
      </c>
      <c r="O300" s="5" t="s">
        <v>262</v>
      </c>
      <c r="P300" s="3" t="s">
        <v>138</v>
      </c>
      <c r="Q300" s="5" t="s">
        <v>34</v>
      </c>
      <c r="R300" s="9">
        <f t="shared" si="170"/>
        <v>39276554.340000004</v>
      </c>
      <c r="S300" s="9">
        <v>31673119.100000001</v>
      </c>
      <c r="T300" s="9">
        <v>7603435.2400000002</v>
      </c>
      <c r="U300" s="9">
        <f t="shared" si="171"/>
        <v>0</v>
      </c>
      <c r="V300" s="53">
        <v>0</v>
      </c>
      <c r="W300" s="53">
        <v>0</v>
      </c>
      <c r="X300" s="9">
        <f t="shared" si="172"/>
        <v>7490232.7699999996</v>
      </c>
      <c r="Y300" s="9">
        <v>5589373.96</v>
      </c>
      <c r="Z300" s="9">
        <v>1900858.81</v>
      </c>
      <c r="AA300" s="9">
        <f t="shared" si="173"/>
        <v>0</v>
      </c>
      <c r="AB300" s="9">
        <v>0</v>
      </c>
      <c r="AC300" s="9">
        <v>0</v>
      </c>
      <c r="AD300" s="44">
        <f t="shared" si="150"/>
        <v>46766787.109999999</v>
      </c>
      <c r="AE300" s="9">
        <v>8017329.8399999999</v>
      </c>
      <c r="AF300" s="9">
        <f t="shared" si="174"/>
        <v>54784116.950000003</v>
      </c>
      <c r="AG300" s="59" t="s">
        <v>515</v>
      </c>
      <c r="AH300" s="13" t="s">
        <v>2159</v>
      </c>
      <c r="AI300" s="160">
        <f>893011.08+57943.42+89664.62+27536822.34+524337.27+55114.41+71307.34</f>
        <v>29228200.48</v>
      </c>
      <c r="AJ300" s="1">
        <v>0</v>
      </c>
    </row>
    <row r="301" spans="1:109" ht="409.5" x14ac:dyDescent="0.25">
      <c r="A301" s="5">
        <f t="shared" si="151"/>
        <v>298</v>
      </c>
      <c r="B301" s="78">
        <v>125819</v>
      </c>
      <c r="C301" s="6">
        <v>497</v>
      </c>
      <c r="D301" s="134" t="s">
        <v>1988</v>
      </c>
      <c r="E301" s="8" t="s">
        <v>1130</v>
      </c>
      <c r="F301" s="55" t="s">
        <v>1240</v>
      </c>
      <c r="G301" s="5" t="s">
        <v>1238</v>
      </c>
      <c r="H301" s="5" t="s">
        <v>151</v>
      </c>
      <c r="I301" s="174" t="s">
        <v>1242</v>
      </c>
      <c r="J301" s="2">
        <v>43608</v>
      </c>
      <c r="K301" s="2">
        <v>44553</v>
      </c>
      <c r="L301" s="16">
        <f t="shared" si="169"/>
        <v>83.30000063911281</v>
      </c>
      <c r="M301" s="6" t="s">
        <v>1244</v>
      </c>
      <c r="N301" s="5" t="s">
        <v>1243</v>
      </c>
      <c r="O301" s="5" t="s">
        <v>1243</v>
      </c>
      <c r="P301" s="5" t="s">
        <v>275</v>
      </c>
      <c r="Q301" s="5" t="s">
        <v>34</v>
      </c>
      <c r="R301" s="1">
        <f t="shared" si="170"/>
        <v>1444133.16</v>
      </c>
      <c r="S301" s="131">
        <v>1444133.16</v>
      </c>
      <c r="T301" s="54">
        <v>0</v>
      </c>
      <c r="U301" s="1">
        <f t="shared" si="171"/>
        <v>254847.02</v>
      </c>
      <c r="V301" s="71">
        <v>254847.02</v>
      </c>
      <c r="W301" s="71">
        <v>0</v>
      </c>
      <c r="X301" s="1">
        <f t="shared" si="172"/>
        <v>0</v>
      </c>
      <c r="Y301" s="54">
        <v>0</v>
      </c>
      <c r="Z301" s="54">
        <v>0</v>
      </c>
      <c r="AA301" s="9">
        <f t="shared" si="173"/>
        <v>34673.06</v>
      </c>
      <c r="AB301" s="131">
        <v>34673.06</v>
      </c>
      <c r="AC301" s="54">
        <v>0</v>
      </c>
      <c r="AD301" s="44">
        <f t="shared" si="150"/>
        <v>1733653.24</v>
      </c>
      <c r="AE301" s="11">
        <v>0</v>
      </c>
      <c r="AF301" s="9">
        <f t="shared" si="174"/>
        <v>1733653.24</v>
      </c>
      <c r="AG301" s="59" t="s">
        <v>515</v>
      </c>
      <c r="AH301" s="59" t="s">
        <v>2179</v>
      </c>
      <c r="AI301" s="160">
        <v>876419.52999999991</v>
      </c>
      <c r="AJ301" s="1">
        <v>124068.47000000002</v>
      </c>
    </row>
    <row r="302" spans="1:109" ht="409.5" x14ac:dyDescent="0.25">
      <c r="A302" s="5">
        <f t="shared" si="151"/>
        <v>299</v>
      </c>
      <c r="B302" s="78">
        <v>126526</v>
      </c>
      <c r="C302" s="6">
        <v>498</v>
      </c>
      <c r="D302" s="134" t="s">
        <v>1988</v>
      </c>
      <c r="E302" s="8" t="s">
        <v>1130</v>
      </c>
      <c r="F302" s="55" t="s">
        <v>1241</v>
      </c>
      <c r="G302" s="5" t="s">
        <v>1239</v>
      </c>
      <c r="H302" s="5" t="s">
        <v>151</v>
      </c>
      <c r="I302" s="174" t="s">
        <v>1245</v>
      </c>
      <c r="J302" s="2">
        <v>43608</v>
      </c>
      <c r="K302" s="2">
        <v>44704</v>
      </c>
      <c r="L302" s="16">
        <f t="shared" si="169"/>
        <v>83.30000063911281</v>
      </c>
      <c r="M302" s="6" t="s">
        <v>1244</v>
      </c>
      <c r="N302" s="5" t="s">
        <v>1243</v>
      </c>
      <c r="O302" s="5" t="s">
        <v>1243</v>
      </c>
      <c r="P302" s="5" t="s">
        <v>275</v>
      </c>
      <c r="Q302" s="5" t="s">
        <v>34</v>
      </c>
      <c r="R302" s="1">
        <f t="shared" si="170"/>
        <v>1444133.16</v>
      </c>
      <c r="S302" s="131">
        <v>1444133.16</v>
      </c>
      <c r="T302" s="54">
        <v>0</v>
      </c>
      <c r="U302" s="1">
        <f t="shared" si="171"/>
        <v>254847.02</v>
      </c>
      <c r="V302" s="71">
        <v>254847.02</v>
      </c>
      <c r="W302" s="71">
        <v>0</v>
      </c>
      <c r="X302" s="1">
        <f t="shared" si="172"/>
        <v>0</v>
      </c>
      <c r="Y302" s="54">
        <v>0</v>
      </c>
      <c r="Z302" s="54">
        <v>0</v>
      </c>
      <c r="AA302" s="9">
        <f t="shared" si="173"/>
        <v>34673.06</v>
      </c>
      <c r="AB302" s="131">
        <v>34673.06</v>
      </c>
      <c r="AC302" s="54">
        <v>0</v>
      </c>
      <c r="AD302" s="44">
        <f t="shared" si="150"/>
        <v>1733653.24</v>
      </c>
      <c r="AE302" s="11">
        <v>0</v>
      </c>
      <c r="AF302" s="9">
        <f t="shared" si="174"/>
        <v>1733653.24</v>
      </c>
      <c r="AG302" s="59" t="s">
        <v>515</v>
      </c>
      <c r="AH302" s="59" t="s">
        <v>2179</v>
      </c>
      <c r="AI302" s="160">
        <v>790001.63</v>
      </c>
      <c r="AJ302" s="1">
        <f>21800.36+70103.02+16914.85</f>
        <v>108818.23000000001</v>
      </c>
    </row>
    <row r="303" spans="1:109" ht="173.25" x14ac:dyDescent="0.25">
      <c r="A303" s="5">
        <f t="shared" si="151"/>
        <v>300</v>
      </c>
      <c r="B303" s="78">
        <v>126480</v>
      </c>
      <c r="C303" s="78">
        <v>495</v>
      </c>
      <c r="D303" s="134" t="s">
        <v>1988</v>
      </c>
      <c r="E303" s="8" t="s">
        <v>1130</v>
      </c>
      <c r="F303" s="8" t="s">
        <v>1189</v>
      </c>
      <c r="G303" s="5" t="s">
        <v>1190</v>
      </c>
      <c r="H303" s="5" t="s">
        <v>151</v>
      </c>
      <c r="I303" s="174" t="s">
        <v>1191</v>
      </c>
      <c r="J303" s="2">
        <v>43553</v>
      </c>
      <c r="K303" s="2">
        <v>43980</v>
      </c>
      <c r="L303" s="16">
        <f>R303/AD303*100</f>
        <v>83.300002424250337</v>
      </c>
      <c r="M303" s="6">
        <v>6</v>
      </c>
      <c r="N303" s="175" t="s">
        <v>182</v>
      </c>
      <c r="O303" s="175" t="s">
        <v>182</v>
      </c>
      <c r="P303" s="5" t="s">
        <v>275</v>
      </c>
      <c r="Q303" s="5" t="s">
        <v>34</v>
      </c>
      <c r="R303" s="1">
        <f>S303+T303</f>
        <v>876896.26</v>
      </c>
      <c r="S303" s="131">
        <v>876896.26</v>
      </c>
      <c r="T303" s="54">
        <v>0</v>
      </c>
      <c r="U303" s="1">
        <f>V303+W303</f>
        <v>154746.38</v>
      </c>
      <c r="V303" s="71">
        <v>154746.38</v>
      </c>
      <c r="W303" s="71">
        <v>0</v>
      </c>
      <c r="X303" s="1">
        <f>Y303+Z303</f>
        <v>0</v>
      </c>
      <c r="Y303" s="54">
        <v>0</v>
      </c>
      <c r="Z303" s="54">
        <v>0</v>
      </c>
      <c r="AA303" s="9">
        <f>AB303+AC303</f>
        <v>21053.919999999998</v>
      </c>
      <c r="AB303" s="131">
        <v>21053.919999999998</v>
      </c>
      <c r="AC303" s="54">
        <v>0</v>
      </c>
      <c r="AD303" s="44">
        <f t="shared" si="150"/>
        <v>1052696.56</v>
      </c>
      <c r="AE303" s="10">
        <v>10640</v>
      </c>
      <c r="AF303" s="9">
        <f>AD303+AE303</f>
        <v>1063336.56</v>
      </c>
      <c r="AG303" s="59" t="s">
        <v>966</v>
      </c>
      <c r="AH303" s="59" t="s">
        <v>1699</v>
      </c>
      <c r="AI303" s="1">
        <f>758406.35-27875.87</f>
        <v>730530.48</v>
      </c>
      <c r="AJ303" s="1">
        <f>115306.95+13610.14</f>
        <v>128917.09</v>
      </c>
    </row>
    <row r="304" spans="1:109" s="72" customFormat="1" ht="283.5" x14ac:dyDescent="0.25">
      <c r="A304" s="5">
        <f t="shared" si="151"/>
        <v>301</v>
      </c>
      <c r="B304" s="15">
        <v>119193</v>
      </c>
      <c r="C304" s="6">
        <v>2</v>
      </c>
      <c r="D304" s="5" t="s">
        <v>143</v>
      </c>
      <c r="E304" s="17" t="s">
        <v>107</v>
      </c>
      <c r="F304" s="8" t="s">
        <v>35</v>
      </c>
      <c r="G304" s="3" t="s">
        <v>1591</v>
      </c>
      <c r="H304" s="6" t="s">
        <v>151</v>
      </c>
      <c r="I304" s="74" t="s">
        <v>36</v>
      </c>
      <c r="J304" s="2">
        <v>42459</v>
      </c>
      <c r="K304" s="2">
        <v>43373</v>
      </c>
      <c r="L304" s="16">
        <f t="shared" ref="L304:L368" si="175">R304/AD304*100</f>
        <v>83.983862816086358</v>
      </c>
      <c r="M304" s="5" t="s">
        <v>136</v>
      </c>
      <c r="N304" s="5" t="s">
        <v>262</v>
      </c>
      <c r="O304" s="5" t="s">
        <v>262</v>
      </c>
      <c r="P304" s="3" t="s">
        <v>138</v>
      </c>
      <c r="Q304" s="5" t="s">
        <v>34</v>
      </c>
      <c r="R304" s="9">
        <f t="shared" ref="R304:R336" si="176">S304+T304</f>
        <v>11141147.18</v>
      </c>
      <c r="S304" s="9">
        <v>8984364.5299999993</v>
      </c>
      <c r="T304" s="9">
        <v>2156782.65</v>
      </c>
      <c r="U304" s="9">
        <f t="shared" ref="U304:U311" si="177">V304+W304</f>
        <v>0</v>
      </c>
      <c r="V304" s="53">
        <v>0</v>
      </c>
      <c r="W304" s="53">
        <v>0</v>
      </c>
      <c r="X304" s="9">
        <f t="shared" ref="X304:X336" si="178">Y304+Z304</f>
        <v>2124671.7600000002</v>
      </c>
      <c r="Y304" s="9">
        <v>1585476.09</v>
      </c>
      <c r="Z304" s="9">
        <v>539195.67000000004</v>
      </c>
      <c r="AA304" s="9">
        <f t="shared" ref="AA304:AA336" si="179">AB304+AC304</f>
        <v>0</v>
      </c>
      <c r="AB304" s="9">
        <v>0</v>
      </c>
      <c r="AC304" s="9">
        <v>0</v>
      </c>
      <c r="AD304" s="44">
        <f t="shared" si="150"/>
        <v>13265818.939999999</v>
      </c>
      <c r="AE304" s="9">
        <v>0</v>
      </c>
      <c r="AF304" s="9">
        <f t="shared" ref="AF304:AF336" si="180">AD304+AE304</f>
        <v>13265818.939999999</v>
      </c>
      <c r="AG304" s="49" t="s">
        <v>966</v>
      </c>
      <c r="AH304" s="13" t="s">
        <v>276</v>
      </c>
      <c r="AI304" s="160">
        <v>11115534.15</v>
      </c>
      <c r="AJ304" s="1">
        <v>0</v>
      </c>
      <c r="AK304" s="12"/>
    </row>
    <row r="305" spans="1:37" ht="141.75" x14ac:dyDescent="0.25">
      <c r="A305" s="5">
        <f t="shared" si="151"/>
        <v>302</v>
      </c>
      <c r="B305" s="15">
        <v>118575</v>
      </c>
      <c r="C305" s="5">
        <v>7</v>
      </c>
      <c r="D305" s="5" t="s">
        <v>143</v>
      </c>
      <c r="E305" s="24" t="s">
        <v>107</v>
      </c>
      <c r="F305" s="8" t="s">
        <v>45</v>
      </c>
      <c r="G305" s="62" t="s">
        <v>2095</v>
      </c>
      <c r="H305" s="5" t="s">
        <v>151</v>
      </c>
      <c r="I305" s="74" t="s">
        <v>46</v>
      </c>
      <c r="J305" s="2">
        <v>42592</v>
      </c>
      <c r="K305" s="2">
        <v>44783</v>
      </c>
      <c r="L305" s="16">
        <f>R305/AD305*100</f>
        <v>83.983862823517285</v>
      </c>
      <c r="M305" s="5" t="s">
        <v>136</v>
      </c>
      <c r="N305" s="5" t="s">
        <v>262</v>
      </c>
      <c r="O305" s="5" t="s">
        <v>262</v>
      </c>
      <c r="P305" s="3" t="s">
        <v>138</v>
      </c>
      <c r="Q305" s="5" t="s">
        <v>34</v>
      </c>
      <c r="R305" s="9">
        <f>S305+T305</f>
        <v>8244072.25</v>
      </c>
      <c r="S305" s="9">
        <v>6648125.9800000004</v>
      </c>
      <c r="T305" s="9">
        <v>1595946.27</v>
      </c>
      <c r="U305" s="9">
        <f>V305+W305</f>
        <v>0</v>
      </c>
      <c r="V305" s="53">
        <v>0</v>
      </c>
      <c r="W305" s="53">
        <v>0</v>
      </c>
      <c r="X305" s="9">
        <f>Y305+Z305</f>
        <v>1572185.27</v>
      </c>
      <c r="Y305" s="9">
        <v>1173198.73</v>
      </c>
      <c r="Z305" s="9">
        <v>398986.54</v>
      </c>
      <c r="AA305" s="9">
        <f>AB305+AC305</f>
        <v>0</v>
      </c>
      <c r="AB305" s="9">
        <v>0</v>
      </c>
      <c r="AC305" s="9">
        <v>0</v>
      </c>
      <c r="AD305" s="44">
        <f t="shared" si="150"/>
        <v>9816257.5199999996</v>
      </c>
      <c r="AE305" s="9">
        <v>0</v>
      </c>
      <c r="AF305" s="9">
        <f>AD305+AE305</f>
        <v>9816257.5199999996</v>
      </c>
      <c r="AG305" s="59" t="s">
        <v>515</v>
      </c>
      <c r="AH305" s="13" t="s">
        <v>2202</v>
      </c>
      <c r="AI305" s="1">
        <f>2526006.82+91434.08+29139.88</f>
        <v>2646580.7799999998</v>
      </c>
      <c r="AJ305" s="1">
        <v>0</v>
      </c>
    </row>
    <row r="306" spans="1:37" ht="204.75" x14ac:dyDescent="0.25">
      <c r="A306" s="5">
        <f t="shared" si="151"/>
        <v>303</v>
      </c>
      <c r="B306" s="15">
        <v>117842</v>
      </c>
      <c r="C306" s="6">
        <v>3</v>
      </c>
      <c r="D306" s="5" t="s">
        <v>143</v>
      </c>
      <c r="E306" s="24" t="s">
        <v>107</v>
      </c>
      <c r="F306" s="8" t="s">
        <v>37</v>
      </c>
      <c r="G306" s="5" t="s">
        <v>1592</v>
      </c>
      <c r="H306" s="5" t="s">
        <v>162</v>
      </c>
      <c r="I306" s="74" t="s">
        <v>38</v>
      </c>
      <c r="J306" s="2">
        <v>42534</v>
      </c>
      <c r="K306" s="2">
        <v>43585</v>
      </c>
      <c r="L306" s="16">
        <f t="shared" si="175"/>
        <v>83.983864495221582</v>
      </c>
      <c r="M306" s="5" t="s">
        <v>136</v>
      </c>
      <c r="N306" s="5" t="s">
        <v>262</v>
      </c>
      <c r="O306" s="5" t="s">
        <v>262</v>
      </c>
      <c r="P306" s="3" t="s">
        <v>138</v>
      </c>
      <c r="Q306" s="5" t="s">
        <v>34</v>
      </c>
      <c r="R306" s="9">
        <f t="shared" si="176"/>
        <v>15396417.879999999</v>
      </c>
      <c r="S306" s="9">
        <v>12415869.539999999</v>
      </c>
      <c r="T306" s="9">
        <v>2980548.34</v>
      </c>
      <c r="U306" s="9">
        <f t="shared" si="177"/>
        <v>0</v>
      </c>
      <c r="V306" s="53">
        <v>0</v>
      </c>
      <c r="W306" s="53">
        <v>0</v>
      </c>
      <c r="X306" s="9">
        <f t="shared" si="178"/>
        <v>2936172.52</v>
      </c>
      <c r="Y306" s="9">
        <v>2191035.59</v>
      </c>
      <c r="Z306" s="9">
        <v>745136.93</v>
      </c>
      <c r="AA306" s="9">
        <f t="shared" si="179"/>
        <v>0</v>
      </c>
      <c r="AB306" s="9">
        <v>0</v>
      </c>
      <c r="AC306" s="9">
        <v>0</v>
      </c>
      <c r="AD306" s="44">
        <f t="shared" si="150"/>
        <v>18332590.399999999</v>
      </c>
      <c r="AE306" s="9">
        <v>0</v>
      </c>
      <c r="AF306" s="9">
        <f t="shared" si="180"/>
        <v>18332590.399999999</v>
      </c>
      <c r="AG306" s="49" t="s">
        <v>966</v>
      </c>
      <c r="AH306" s="13" t="s">
        <v>1083</v>
      </c>
      <c r="AI306" s="1">
        <v>12217325.540000001</v>
      </c>
      <c r="AJ306" s="169">
        <v>0</v>
      </c>
    </row>
    <row r="307" spans="1:37" ht="204.75" x14ac:dyDescent="0.25">
      <c r="A307" s="5">
        <f t="shared" si="151"/>
        <v>304</v>
      </c>
      <c r="B307" s="15">
        <v>118291</v>
      </c>
      <c r="C307" s="6">
        <v>4</v>
      </c>
      <c r="D307" s="5" t="s">
        <v>143</v>
      </c>
      <c r="E307" s="24" t="s">
        <v>107</v>
      </c>
      <c r="F307" s="8" t="s">
        <v>39</v>
      </c>
      <c r="G307" s="5" t="s">
        <v>1593</v>
      </c>
      <c r="H307" s="5" t="s">
        <v>161</v>
      </c>
      <c r="I307" s="74" t="s">
        <v>40</v>
      </c>
      <c r="J307" s="2">
        <v>42459</v>
      </c>
      <c r="K307" s="2">
        <v>43220</v>
      </c>
      <c r="L307" s="16">
        <f t="shared" si="175"/>
        <v>83.983862772799696</v>
      </c>
      <c r="M307" s="5" t="s">
        <v>136</v>
      </c>
      <c r="N307" s="5" t="s">
        <v>262</v>
      </c>
      <c r="O307" s="5" t="s">
        <v>262</v>
      </c>
      <c r="P307" s="3" t="s">
        <v>138</v>
      </c>
      <c r="Q307" s="5" t="s">
        <v>34</v>
      </c>
      <c r="R307" s="9">
        <f t="shared" si="176"/>
        <v>9512414.3200000003</v>
      </c>
      <c r="S307" s="9">
        <v>7670933.3799999999</v>
      </c>
      <c r="T307" s="9">
        <v>1841480.94</v>
      </c>
      <c r="U307" s="9">
        <f t="shared" si="177"/>
        <v>0</v>
      </c>
      <c r="V307" s="53">
        <v>0</v>
      </c>
      <c r="W307" s="53">
        <v>0</v>
      </c>
      <c r="X307" s="9">
        <f t="shared" si="178"/>
        <v>1814064.3699999999</v>
      </c>
      <c r="Y307" s="9">
        <v>1353694.13</v>
      </c>
      <c r="Z307" s="9">
        <v>460370.24</v>
      </c>
      <c r="AA307" s="9">
        <f t="shared" si="179"/>
        <v>0</v>
      </c>
      <c r="AB307" s="9">
        <v>0</v>
      </c>
      <c r="AC307" s="9">
        <v>0</v>
      </c>
      <c r="AD307" s="44">
        <f t="shared" si="150"/>
        <v>11326478.689999999</v>
      </c>
      <c r="AE307" s="9">
        <v>0</v>
      </c>
      <c r="AF307" s="9">
        <f t="shared" si="180"/>
        <v>11326478.689999999</v>
      </c>
      <c r="AG307" s="49" t="s">
        <v>966</v>
      </c>
      <c r="AH307" s="13" t="s">
        <v>173</v>
      </c>
      <c r="AI307" s="1">
        <v>8671071.8500000015</v>
      </c>
      <c r="AJ307" s="169">
        <v>0</v>
      </c>
    </row>
    <row r="308" spans="1:37" ht="141.75" x14ac:dyDescent="0.25">
      <c r="A308" s="5">
        <f t="shared" si="151"/>
        <v>305</v>
      </c>
      <c r="B308" s="15">
        <v>118957</v>
      </c>
      <c r="C308" s="6">
        <v>5</v>
      </c>
      <c r="D308" s="5" t="s">
        <v>143</v>
      </c>
      <c r="E308" s="24" t="s">
        <v>107</v>
      </c>
      <c r="F308" s="8" t="s">
        <v>41</v>
      </c>
      <c r="G308" s="3" t="s">
        <v>1594</v>
      </c>
      <c r="H308" s="5" t="s">
        <v>162</v>
      </c>
      <c r="I308" s="74" t="s">
        <v>42</v>
      </c>
      <c r="J308" s="2">
        <v>42900</v>
      </c>
      <c r="K308" s="2">
        <v>43904</v>
      </c>
      <c r="L308" s="16">
        <f t="shared" si="175"/>
        <v>83.983863090563631</v>
      </c>
      <c r="M308" s="5" t="s">
        <v>136</v>
      </c>
      <c r="N308" s="5" t="s">
        <v>262</v>
      </c>
      <c r="O308" s="5" t="s">
        <v>262</v>
      </c>
      <c r="P308" s="3" t="s">
        <v>138</v>
      </c>
      <c r="Q308" s="5" t="s">
        <v>34</v>
      </c>
      <c r="R308" s="9">
        <f t="shared" si="176"/>
        <v>4555318.21</v>
      </c>
      <c r="S308" s="9">
        <v>3673467.24</v>
      </c>
      <c r="T308" s="9">
        <v>881850.97</v>
      </c>
      <c r="U308" s="9">
        <f t="shared" si="177"/>
        <v>0</v>
      </c>
      <c r="V308" s="53">
        <v>0</v>
      </c>
      <c r="W308" s="53">
        <v>0</v>
      </c>
      <c r="X308" s="9">
        <f t="shared" si="178"/>
        <v>868721.65</v>
      </c>
      <c r="Y308" s="9">
        <v>648258.93000000005</v>
      </c>
      <c r="Z308" s="9">
        <v>220462.72</v>
      </c>
      <c r="AA308" s="9">
        <f t="shared" si="179"/>
        <v>0</v>
      </c>
      <c r="AB308" s="9">
        <v>0</v>
      </c>
      <c r="AC308" s="9">
        <v>0</v>
      </c>
      <c r="AD308" s="44">
        <f t="shared" si="150"/>
        <v>5424039.8600000003</v>
      </c>
      <c r="AE308" s="9">
        <v>0</v>
      </c>
      <c r="AF308" s="9">
        <f t="shared" si="180"/>
        <v>5424039.8600000003</v>
      </c>
      <c r="AG308" s="59" t="s">
        <v>966</v>
      </c>
      <c r="AH308" s="13" t="s">
        <v>1659</v>
      </c>
      <c r="AI308" s="1">
        <f>3853955.63+273692.26</f>
        <v>4127647.8899999997</v>
      </c>
      <c r="AJ308" s="169">
        <v>0</v>
      </c>
    </row>
    <row r="309" spans="1:37" ht="141.75" x14ac:dyDescent="0.25">
      <c r="A309" s="5">
        <f t="shared" si="151"/>
        <v>306</v>
      </c>
      <c r="B309" s="15">
        <v>118448</v>
      </c>
      <c r="C309" s="6">
        <v>6</v>
      </c>
      <c r="D309" s="5" t="s">
        <v>143</v>
      </c>
      <c r="E309" s="24" t="s">
        <v>107</v>
      </c>
      <c r="F309" s="8" t="s">
        <v>43</v>
      </c>
      <c r="G309" s="5" t="s">
        <v>1592</v>
      </c>
      <c r="H309" s="5" t="s">
        <v>151</v>
      </c>
      <c r="I309" s="74" t="s">
        <v>44</v>
      </c>
      <c r="J309" s="2">
        <v>42458</v>
      </c>
      <c r="K309" s="2">
        <v>43706</v>
      </c>
      <c r="L309" s="16">
        <f t="shared" si="175"/>
        <v>83.983862365752103</v>
      </c>
      <c r="M309" s="5" t="s">
        <v>136</v>
      </c>
      <c r="N309" s="5" t="s">
        <v>262</v>
      </c>
      <c r="O309" s="5" t="s">
        <v>262</v>
      </c>
      <c r="P309" s="3" t="s">
        <v>138</v>
      </c>
      <c r="Q309" s="5" t="s">
        <v>34</v>
      </c>
      <c r="R309" s="9">
        <f t="shared" si="176"/>
        <v>15459786.27</v>
      </c>
      <c r="S309" s="9">
        <v>12466970.77</v>
      </c>
      <c r="T309" s="9">
        <v>2992815.5</v>
      </c>
      <c r="U309" s="9">
        <f t="shared" si="177"/>
        <v>0</v>
      </c>
      <c r="V309" s="53">
        <v>0</v>
      </c>
      <c r="W309" s="53">
        <v>0</v>
      </c>
      <c r="X309" s="9">
        <f t="shared" si="178"/>
        <v>2948257.6500000004</v>
      </c>
      <c r="Y309" s="9">
        <v>2200053.66</v>
      </c>
      <c r="Z309" s="9">
        <v>748203.99</v>
      </c>
      <c r="AA309" s="9">
        <f t="shared" si="179"/>
        <v>0</v>
      </c>
      <c r="AB309" s="9">
        <v>0</v>
      </c>
      <c r="AC309" s="9">
        <v>0</v>
      </c>
      <c r="AD309" s="44">
        <f t="shared" si="150"/>
        <v>18408043.920000002</v>
      </c>
      <c r="AE309" s="9">
        <v>0</v>
      </c>
      <c r="AF309" s="9">
        <f t="shared" si="180"/>
        <v>18408043.920000002</v>
      </c>
      <c r="AG309" s="49" t="s">
        <v>966</v>
      </c>
      <c r="AH309" s="13" t="s">
        <v>1237</v>
      </c>
      <c r="AI309" s="1">
        <v>12495255.649999997</v>
      </c>
      <c r="AJ309" s="169">
        <v>0</v>
      </c>
      <c r="AK309" s="72"/>
    </row>
    <row r="310" spans="1:37" ht="141.75" x14ac:dyDescent="0.25">
      <c r="A310" s="5">
        <f t="shared" si="151"/>
        <v>307</v>
      </c>
      <c r="B310" s="15">
        <v>119240</v>
      </c>
      <c r="C310" s="5">
        <v>54</v>
      </c>
      <c r="D310" s="5" t="s">
        <v>145</v>
      </c>
      <c r="E310" s="24" t="s">
        <v>123</v>
      </c>
      <c r="F310" s="8" t="s">
        <v>97</v>
      </c>
      <c r="G310" s="5" t="s">
        <v>94</v>
      </c>
      <c r="H310" s="5" t="s">
        <v>151</v>
      </c>
      <c r="I310" s="74" t="s">
        <v>98</v>
      </c>
      <c r="J310" s="2">
        <v>42943</v>
      </c>
      <c r="K310" s="2">
        <v>44254</v>
      </c>
      <c r="L310" s="16">
        <f t="shared" si="175"/>
        <v>83.983862702386219</v>
      </c>
      <c r="M310" s="5" t="s">
        <v>136</v>
      </c>
      <c r="N310" s="5" t="s">
        <v>262</v>
      </c>
      <c r="O310" s="5" t="s">
        <v>262</v>
      </c>
      <c r="P310" s="3" t="s">
        <v>138</v>
      </c>
      <c r="Q310" s="5" t="s">
        <v>34</v>
      </c>
      <c r="R310" s="9">
        <f t="shared" si="176"/>
        <v>11805482.9</v>
      </c>
      <c r="S310" s="9">
        <v>9520093.4299999997</v>
      </c>
      <c r="T310" s="9">
        <v>2285389.4700000002</v>
      </c>
      <c r="U310" s="9">
        <f t="shared" si="177"/>
        <v>0</v>
      </c>
      <c r="V310" s="53">
        <v>0</v>
      </c>
      <c r="W310" s="53">
        <v>0</v>
      </c>
      <c r="X310" s="9">
        <f t="shared" si="178"/>
        <v>2251363.88</v>
      </c>
      <c r="Y310" s="9">
        <v>1680016.48</v>
      </c>
      <c r="Z310" s="9">
        <v>571347.4</v>
      </c>
      <c r="AA310" s="9">
        <f t="shared" si="179"/>
        <v>0</v>
      </c>
      <c r="AB310" s="9">
        <v>0</v>
      </c>
      <c r="AC310" s="9">
        <v>0</v>
      </c>
      <c r="AD310" s="44">
        <f t="shared" si="150"/>
        <v>14056846.780000001</v>
      </c>
      <c r="AE310" s="9">
        <v>216877.5</v>
      </c>
      <c r="AF310" s="9">
        <f t="shared" si="180"/>
        <v>14273724.280000001</v>
      </c>
      <c r="AG310" s="59" t="s">
        <v>966</v>
      </c>
      <c r="AH310" s="13" t="s">
        <v>1903</v>
      </c>
      <c r="AI310" s="1">
        <f>10551997.58+45332.4+60208.97+567096.84+164236.95</f>
        <v>11388872.74</v>
      </c>
      <c r="AJ310" s="169">
        <v>0</v>
      </c>
    </row>
    <row r="311" spans="1:37" ht="236.25" x14ac:dyDescent="0.25">
      <c r="A311" s="5">
        <f t="shared" si="151"/>
        <v>308</v>
      </c>
      <c r="B311" s="15">
        <v>122100</v>
      </c>
      <c r="C311" s="6">
        <v>8</v>
      </c>
      <c r="D311" s="5" t="s">
        <v>143</v>
      </c>
      <c r="E311" s="24" t="s">
        <v>107</v>
      </c>
      <c r="F311" s="8" t="s">
        <v>47</v>
      </c>
      <c r="G311" s="5" t="s">
        <v>2097</v>
      </c>
      <c r="H311" s="5" t="s">
        <v>151</v>
      </c>
      <c r="I311" s="74" t="s">
        <v>48</v>
      </c>
      <c r="J311" s="2">
        <v>42661</v>
      </c>
      <c r="K311" s="2">
        <v>43756</v>
      </c>
      <c r="L311" s="16">
        <f t="shared" si="175"/>
        <v>83.983862943976007</v>
      </c>
      <c r="M311" s="5" t="s">
        <v>136</v>
      </c>
      <c r="N311" s="5" t="s">
        <v>262</v>
      </c>
      <c r="O311" s="5" t="s">
        <v>262</v>
      </c>
      <c r="P311" s="3" t="s">
        <v>138</v>
      </c>
      <c r="Q311" s="5" t="s">
        <v>34</v>
      </c>
      <c r="R311" s="9">
        <f t="shared" si="176"/>
        <v>1681184.87</v>
      </c>
      <c r="S311" s="9">
        <v>1355729.12</v>
      </c>
      <c r="T311" s="9">
        <v>325455.75</v>
      </c>
      <c r="U311" s="9">
        <f t="shared" si="177"/>
        <v>0</v>
      </c>
      <c r="V311" s="53">
        <v>0</v>
      </c>
      <c r="W311" s="53">
        <v>0</v>
      </c>
      <c r="X311" s="9">
        <f t="shared" si="178"/>
        <v>320610.25</v>
      </c>
      <c r="Y311" s="9">
        <v>239246.31</v>
      </c>
      <c r="Z311" s="9">
        <v>81363.94</v>
      </c>
      <c r="AA311" s="9">
        <f t="shared" si="179"/>
        <v>0</v>
      </c>
      <c r="AB311" s="9">
        <v>0</v>
      </c>
      <c r="AC311" s="9">
        <v>0</v>
      </c>
      <c r="AD311" s="44">
        <f t="shared" si="150"/>
        <v>2001795.12</v>
      </c>
      <c r="AE311" s="9">
        <v>0</v>
      </c>
      <c r="AF311" s="9">
        <f t="shared" si="180"/>
        <v>2001795.12</v>
      </c>
      <c r="AG311" s="49" t="s">
        <v>966</v>
      </c>
      <c r="AH311" s="13" t="s">
        <v>1222</v>
      </c>
      <c r="AI311" s="1">
        <v>1110336.8299999998</v>
      </c>
      <c r="AJ311" s="169">
        <v>0</v>
      </c>
    </row>
    <row r="312" spans="1:37" ht="173.25" x14ac:dyDescent="0.25">
      <c r="A312" s="5">
        <f t="shared" si="151"/>
        <v>309</v>
      </c>
      <c r="B312" s="15">
        <v>120313</v>
      </c>
      <c r="C312" s="6">
        <v>9</v>
      </c>
      <c r="D312" s="5" t="s">
        <v>143</v>
      </c>
      <c r="E312" s="24" t="s">
        <v>107</v>
      </c>
      <c r="F312" s="8" t="s">
        <v>49</v>
      </c>
      <c r="G312" s="3" t="s">
        <v>2098</v>
      </c>
      <c r="H312" s="5" t="s">
        <v>164</v>
      </c>
      <c r="I312" s="74" t="s">
        <v>50</v>
      </c>
      <c r="J312" s="2">
        <v>42538</v>
      </c>
      <c r="K312" s="2">
        <v>43633</v>
      </c>
      <c r="L312" s="16">
        <f t="shared" si="175"/>
        <v>83.983862848864632</v>
      </c>
      <c r="M312" s="5" t="s">
        <v>136</v>
      </c>
      <c r="N312" s="5" t="s">
        <v>262</v>
      </c>
      <c r="O312" s="5" t="s">
        <v>262</v>
      </c>
      <c r="P312" s="3" t="s">
        <v>138</v>
      </c>
      <c r="Q312" s="5" t="s">
        <v>34</v>
      </c>
      <c r="R312" s="9">
        <f t="shared" si="176"/>
        <v>30189820.119999997</v>
      </c>
      <c r="S312" s="9">
        <v>24345459.629999999</v>
      </c>
      <c r="T312" s="9">
        <v>5844360.4900000002</v>
      </c>
      <c r="U312" s="9">
        <v>1966327.81</v>
      </c>
      <c r="V312" s="53">
        <v>1453132.81</v>
      </c>
      <c r="W312" s="53">
        <v>513195</v>
      </c>
      <c r="X312" s="9">
        <f t="shared" si="178"/>
        <v>3791019.8899999997</v>
      </c>
      <c r="Y312" s="9">
        <v>2843124.76</v>
      </c>
      <c r="Z312" s="9">
        <v>947895.13</v>
      </c>
      <c r="AA312" s="9">
        <f t="shared" si="179"/>
        <v>0</v>
      </c>
      <c r="AB312" s="9">
        <v>0</v>
      </c>
      <c r="AC312" s="9">
        <v>0</v>
      </c>
      <c r="AD312" s="44">
        <f t="shared" si="150"/>
        <v>35947167.819999993</v>
      </c>
      <c r="AE312" s="9">
        <v>0</v>
      </c>
      <c r="AF312" s="9">
        <f t="shared" si="180"/>
        <v>35947167.819999993</v>
      </c>
      <c r="AG312" s="49" t="s">
        <v>966</v>
      </c>
      <c r="AH312" s="13" t="s">
        <v>1132</v>
      </c>
      <c r="AI312" s="1">
        <v>26274093.779999994</v>
      </c>
      <c r="AJ312" s="169">
        <v>1669405.63</v>
      </c>
    </row>
    <row r="313" spans="1:37" ht="330.75" x14ac:dyDescent="0.25">
      <c r="A313" s="5">
        <f t="shared" si="151"/>
        <v>310</v>
      </c>
      <c r="B313" s="15">
        <v>121644</v>
      </c>
      <c r="C313" s="6">
        <v>10</v>
      </c>
      <c r="D313" s="5" t="s">
        <v>143</v>
      </c>
      <c r="E313" s="24" t="s">
        <v>107</v>
      </c>
      <c r="F313" s="8" t="s">
        <v>482</v>
      </c>
      <c r="G313" s="5" t="s">
        <v>2097</v>
      </c>
      <c r="H313" s="5" t="s">
        <v>151</v>
      </c>
      <c r="I313" s="74" t="s">
        <v>51</v>
      </c>
      <c r="J313" s="2">
        <v>42538</v>
      </c>
      <c r="K313" s="2">
        <v>43298</v>
      </c>
      <c r="L313" s="16">
        <f t="shared" si="175"/>
        <v>83.983862739322618</v>
      </c>
      <c r="M313" s="5" t="s">
        <v>136</v>
      </c>
      <c r="N313" s="5" t="s">
        <v>262</v>
      </c>
      <c r="O313" s="5" t="s">
        <v>262</v>
      </c>
      <c r="P313" s="3" t="s">
        <v>138</v>
      </c>
      <c r="Q313" s="5" t="s">
        <v>34</v>
      </c>
      <c r="R313" s="9">
        <f t="shared" si="176"/>
        <v>2777962.48</v>
      </c>
      <c r="S313" s="9">
        <v>2240184.71</v>
      </c>
      <c r="T313" s="9">
        <v>537777.77</v>
      </c>
      <c r="U313" s="9">
        <f t="shared" ref="U313:U344" si="181">V313+W313</f>
        <v>0</v>
      </c>
      <c r="V313" s="53">
        <v>0</v>
      </c>
      <c r="W313" s="53">
        <v>0</v>
      </c>
      <c r="X313" s="9">
        <f t="shared" si="178"/>
        <v>529771.16</v>
      </c>
      <c r="Y313" s="9">
        <v>395326.72000000003</v>
      </c>
      <c r="Z313" s="9">
        <v>134444.44</v>
      </c>
      <c r="AA313" s="9">
        <f t="shared" si="179"/>
        <v>0</v>
      </c>
      <c r="AB313" s="9">
        <v>0</v>
      </c>
      <c r="AC313" s="9">
        <v>0</v>
      </c>
      <c r="AD313" s="44">
        <f t="shared" si="150"/>
        <v>3307733.64</v>
      </c>
      <c r="AE313" s="9">
        <v>192499.20000000001</v>
      </c>
      <c r="AF313" s="9">
        <f t="shared" si="180"/>
        <v>3500232.8400000003</v>
      </c>
      <c r="AG313" s="49" t="s">
        <v>966</v>
      </c>
      <c r="AH313" s="13" t="s">
        <v>195</v>
      </c>
      <c r="AI313" s="1">
        <v>2635526.38</v>
      </c>
      <c r="AJ313" s="169">
        <v>0</v>
      </c>
    </row>
    <row r="314" spans="1:37" ht="252" x14ac:dyDescent="0.25">
      <c r="A314" s="5">
        <f t="shared" si="151"/>
        <v>311</v>
      </c>
      <c r="B314" s="15">
        <v>118305</v>
      </c>
      <c r="C314" s="6">
        <v>11</v>
      </c>
      <c r="D314" s="5" t="s">
        <v>143</v>
      </c>
      <c r="E314" s="24" t="s">
        <v>107</v>
      </c>
      <c r="F314" s="8" t="s">
        <v>53</v>
      </c>
      <c r="G314" s="5" t="s">
        <v>52</v>
      </c>
      <c r="H314" s="5" t="s">
        <v>164</v>
      </c>
      <c r="I314" s="74" t="s">
        <v>54</v>
      </c>
      <c r="J314" s="2">
        <v>42467</v>
      </c>
      <c r="K314" s="2">
        <v>43562</v>
      </c>
      <c r="L314" s="16">
        <f t="shared" si="175"/>
        <v>83.98386392846011</v>
      </c>
      <c r="M314" s="5" t="s">
        <v>136</v>
      </c>
      <c r="N314" s="5" t="s">
        <v>262</v>
      </c>
      <c r="O314" s="5" t="s">
        <v>262</v>
      </c>
      <c r="P314" s="3" t="s">
        <v>138</v>
      </c>
      <c r="Q314" s="5" t="s">
        <v>34</v>
      </c>
      <c r="R314" s="9">
        <f t="shared" si="176"/>
        <v>13566063.25</v>
      </c>
      <c r="S314" s="9">
        <v>10939848.08</v>
      </c>
      <c r="T314" s="9">
        <v>2626215.17</v>
      </c>
      <c r="U314" s="9">
        <f t="shared" si="181"/>
        <v>0</v>
      </c>
      <c r="V314" s="53">
        <v>0</v>
      </c>
      <c r="W314" s="53">
        <v>0</v>
      </c>
      <c r="X314" s="9">
        <f t="shared" si="178"/>
        <v>2587115.0099999998</v>
      </c>
      <c r="Y314" s="9">
        <v>1930561.24</v>
      </c>
      <c r="Z314" s="9">
        <v>656553.77</v>
      </c>
      <c r="AA314" s="9">
        <f t="shared" si="179"/>
        <v>0</v>
      </c>
      <c r="AB314" s="9">
        <v>0</v>
      </c>
      <c r="AC314" s="9">
        <v>0</v>
      </c>
      <c r="AD314" s="44">
        <f t="shared" si="150"/>
        <v>16153178.26</v>
      </c>
      <c r="AE314" s="9">
        <v>0</v>
      </c>
      <c r="AF314" s="9">
        <f t="shared" si="180"/>
        <v>16153178.26</v>
      </c>
      <c r="AG314" s="49" t="s">
        <v>966</v>
      </c>
      <c r="AH314" s="13" t="s">
        <v>992</v>
      </c>
      <c r="AI314" s="1">
        <v>12427497.709999997</v>
      </c>
      <c r="AJ314" s="169">
        <v>0</v>
      </c>
    </row>
    <row r="315" spans="1:37" ht="157.5" x14ac:dyDescent="0.25">
      <c r="A315" s="5">
        <f t="shared" si="151"/>
        <v>312</v>
      </c>
      <c r="B315" s="15">
        <v>118349</v>
      </c>
      <c r="C315" s="6">
        <v>13</v>
      </c>
      <c r="D315" s="5" t="s">
        <v>143</v>
      </c>
      <c r="E315" s="24" t="s">
        <v>107</v>
      </c>
      <c r="F315" s="8" t="s">
        <v>56</v>
      </c>
      <c r="G315" s="5" t="s">
        <v>55</v>
      </c>
      <c r="H315" s="5" t="s">
        <v>162</v>
      </c>
      <c r="I315" s="74" t="s">
        <v>57</v>
      </c>
      <c r="J315" s="2">
        <v>42663</v>
      </c>
      <c r="K315" s="2">
        <v>44915</v>
      </c>
      <c r="L315" s="16">
        <f t="shared" si="175"/>
        <v>83.983862819250106</v>
      </c>
      <c r="M315" s="5" t="s">
        <v>136</v>
      </c>
      <c r="N315" s="5" t="s">
        <v>262</v>
      </c>
      <c r="O315" s="5" t="s">
        <v>262</v>
      </c>
      <c r="P315" s="3" t="s">
        <v>138</v>
      </c>
      <c r="Q315" s="5" t="s">
        <v>34</v>
      </c>
      <c r="R315" s="9">
        <f t="shared" si="176"/>
        <v>8904385.9900000002</v>
      </c>
      <c r="S315" s="9">
        <v>7180611.5199999996</v>
      </c>
      <c r="T315" s="9">
        <v>1723774.47</v>
      </c>
      <c r="U315" s="9">
        <f t="shared" si="181"/>
        <v>0</v>
      </c>
      <c r="V315" s="53">
        <v>0</v>
      </c>
      <c r="W315" s="53">
        <v>0</v>
      </c>
      <c r="X315" s="9">
        <f t="shared" si="178"/>
        <v>1698110.3599999999</v>
      </c>
      <c r="Y315" s="9">
        <v>1267166.72</v>
      </c>
      <c r="Z315" s="9">
        <v>430943.64</v>
      </c>
      <c r="AA315" s="9">
        <f t="shared" si="179"/>
        <v>0</v>
      </c>
      <c r="AB315" s="9">
        <v>0</v>
      </c>
      <c r="AC315" s="9">
        <v>0</v>
      </c>
      <c r="AD315" s="44">
        <f t="shared" si="150"/>
        <v>10602496.35</v>
      </c>
      <c r="AE315" s="9">
        <v>0</v>
      </c>
      <c r="AF315" s="9">
        <f t="shared" si="180"/>
        <v>10602496.35</v>
      </c>
      <c r="AG315" s="59" t="s">
        <v>515</v>
      </c>
      <c r="AH315" s="13" t="s">
        <v>2193</v>
      </c>
      <c r="AI315" s="1">
        <f>3218564.52+133092.52+172302.6</f>
        <v>3523959.64</v>
      </c>
      <c r="AJ315" s="169">
        <v>0</v>
      </c>
    </row>
    <row r="316" spans="1:37" ht="362.25" x14ac:dyDescent="0.25">
      <c r="A316" s="5">
        <f t="shared" si="151"/>
        <v>313</v>
      </c>
      <c r="B316" s="15">
        <v>120068</v>
      </c>
      <c r="C316" s="6">
        <v>55</v>
      </c>
      <c r="D316" s="5" t="s">
        <v>145</v>
      </c>
      <c r="E316" s="24" t="s">
        <v>123</v>
      </c>
      <c r="F316" s="8" t="s">
        <v>100</v>
      </c>
      <c r="G316" s="5" t="s">
        <v>99</v>
      </c>
      <c r="H316" s="5" t="s">
        <v>157</v>
      </c>
      <c r="I316" s="74" t="s">
        <v>101</v>
      </c>
      <c r="J316" s="2">
        <v>43060</v>
      </c>
      <c r="K316" s="2">
        <v>44186</v>
      </c>
      <c r="L316" s="16">
        <f t="shared" si="175"/>
        <v>83.983862867470734</v>
      </c>
      <c r="M316" s="5" t="s">
        <v>136</v>
      </c>
      <c r="N316" s="5" t="s">
        <v>262</v>
      </c>
      <c r="O316" s="5" t="s">
        <v>262</v>
      </c>
      <c r="P316" s="5" t="s">
        <v>138</v>
      </c>
      <c r="Q316" s="5" t="s">
        <v>34</v>
      </c>
      <c r="R316" s="9">
        <f t="shared" si="176"/>
        <v>8678209.1799999997</v>
      </c>
      <c r="S316" s="9">
        <v>6998219.6100000003</v>
      </c>
      <c r="T316" s="9">
        <v>1679989.57</v>
      </c>
      <c r="U316" s="9">
        <f t="shared" si="181"/>
        <v>0</v>
      </c>
      <c r="V316" s="53">
        <v>0</v>
      </c>
      <c r="W316" s="53">
        <v>0</v>
      </c>
      <c r="X316" s="9">
        <f t="shared" si="178"/>
        <v>1654977.3199999998</v>
      </c>
      <c r="Y316" s="9">
        <v>1234979.93</v>
      </c>
      <c r="Z316" s="9">
        <v>419997.39</v>
      </c>
      <c r="AA316" s="9">
        <f t="shared" si="179"/>
        <v>0</v>
      </c>
      <c r="AB316" s="9">
        <v>0</v>
      </c>
      <c r="AC316" s="9">
        <v>0</v>
      </c>
      <c r="AD316" s="44">
        <f t="shared" si="150"/>
        <v>10333186.5</v>
      </c>
      <c r="AE316" s="9">
        <v>0</v>
      </c>
      <c r="AF316" s="9">
        <f t="shared" si="180"/>
        <v>10333186.5</v>
      </c>
      <c r="AG316" s="59" t="s">
        <v>966</v>
      </c>
      <c r="AH316" s="13" t="s">
        <v>1647</v>
      </c>
      <c r="AI316" s="1">
        <f>1310147.31+3031843.03+2328598.7+128384.45</f>
        <v>6798973.4900000002</v>
      </c>
      <c r="AJ316" s="169">
        <v>0</v>
      </c>
    </row>
    <row r="317" spans="1:37" ht="220.5" x14ac:dyDescent="0.25">
      <c r="A317" s="5">
        <f t="shared" si="151"/>
        <v>314</v>
      </c>
      <c r="B317" s="15">
        <v>117846</v>
      </c>
      <c r="C317" s="5">
        <v>16</v>
      </c>
      <c r="D317" s="5" t="s">
        <v>143</v>
      </c>
      <c r="E317" s="24" t="s">
        <v>107</v>
      </c>
      <c r="F317" s="8" t="s">
        <v>108</v>
      </c>
      <c r="G317" s="5" t="s">
        <v>2204</v>
      </c>
      <c r="H317" s="5" t="s">
        <v>166</v>
      </c>
      <c r="I317" s="74" t="s">
        <v>109</v>
      </c>
      <c r="J317" s="2">
        <v>42884</v>
      </c>
      <c r="K317" s="2">
        <v>44406</v>
      </c>
      <c r="L317" s="16">
        <f t="shared" si="175"/>
        <v>83.983862369886609</v>
      </c>
      <c r="M317" s="5" t="s">
        <v>136</v>
      </c>
      <c r="N317" s="5" t="s">
        <v>262</v>
      </c>
      <c r="O317" s="5" t="s">
        <v>262</v>
      </c>
      <c r="P317" s="3" t="s">
        <v>138</v>
      </c>
      <c r="Q317" s="5" t="s">
        <v>34</v>
      </c>
      <c r="R317" s="9">
        <f t="shared" si="176"/>
        <v>12294746.960000001</v>
      </c>
      <c r="S317" s="9">
        <v>9914642.3000000007</v>
      </c>
      <c r="T317" s="9">
        <v>2380104.66</v>
      </c>
      <c r="U317" s="9">
        <f t="shared" si="181"/>
        <v>0</v>
      </c>
      <c r="V317" s="53">
        <v>0</v>
      </c>
      <c r="W317" s="53">
        <v>0</v>
      </c>
      <c r="X317" s="9">
        <f t="shared" si="178"/>
        <v>2344669.0099999998</v>
      </c>
      <c r="Y317" s="9">
        <v>1749642.76</v>
      </c>
      <c r="Z317" s="9">
        <v>595026.25</v>
      </c>
      <c r="AA317" s="9">
        <f t="shared" si="179"/>
        <v>0</v>
      </c>
      <c r="AB317" s="9">
        <v>0</v>
      </c>
      <c r="AC317" s="9">
        <v>0</v>
      </c>
      <c r="AD317" s="44">
        <f t="shared" si="150"/>
        <v>14639415.970000001</v>
      </c>
      <c r="AE317" s="9">
        <v>0</v>
      </c>
      <c r="AF317" s="9">
        <f t="shared" si="180"/>
        <v>14639415.970000001</v>
      </c>
      <c r="AG317" s="59" t="s">
        <v>1690</v>
      </c>
      <c r="AH317" s="13" t="s">
        <v>2065</v>
      </c>
      <c r="AI317" s="1">
        <f>7066989.6+1435399.58+120715.89+409904.19+253858.38</f>
        <v>9286867.6400000006</v>
      </c>
      <c r="AJ317" s="169">
        <v>0</v>
      </c>
    </row>
    <row r="318" spans="1:37" ht="157.5" x14ac:dyDescent="0.25">
      <c r="A318" s="5">
        <f t="shared" si="151"/>
        <v>315</v>
      </c>
      <c r="B318" s="15">
        <v>117841</v>
      </c>
      <c r="C318" s="5">
        <v>17</v>
      </c>
      <c r="D318" s="5" t="s">
        <v>143</v>
      </c>
      <c r="E318" s="24" t="s">
        <v>107</v>
      </c>
      <c r="F318" s="8" t="s">
        <v>60</v>
      </c>
      <c r="G318" s="5" t="s">
        <v>1592</v>
      </c>
      <c r="H318" s="5" t="s">
        <v>151</v>
      </c>
      <c r="I318" s="74" t="s">
        <v>599</v>
      </c>
      <c r="J318" s="2">
        <v>42482</v>
      </c>
      <c r="K318" s="2">
        <v>43760</v>
      </c>
      <c r="L318" s="16">
        <f t="shared" si="175"/>
        <v>83.983862907570995</v>
      </c>
      <c r="M318" s="5" t="s">
        <v>136</v>
      </c>
      <c r="N318" s="5" t="s">
        <v>262</v>
      </c>
      <c r="O318" s="5" t="s">
        <v>262</v>
      </c>
      <c r="P318" s="3" t="s">
        <v>138</v>
      </c>
      <c r="Q318" s="5" t="s">
        <v>34</v>
      </c>
      <c r="R318" s="9">
        <f t="shared" si="176"/>
        <v>9778588.4399999995</v>
      </c>
      <c r="S318" s="9">
        <v>7885579.6299999999</v>
      </c>
      <c r="T318" s="9">
        <v>1893008.81</v>
      </c>
      <c r="U318" s="9">
        <f t="shared" si="181"/>
        <v>0</v>
      </c>
      <c r="V318" s="53">
        <v>0</v>
      </c>
      <c r="W318" s="53">
        <v>0</v>
      </c>
      <c r="X318" s="9">
        <f t="shared" si="178"/>
        <v>1864825.07</v>
      </c>
      <c r="Y318" s="9">
        <v>1391572.85</v>
      </c>
      <c r="Z318" s="9">
        <v>473252.22</v>
      </c>
      <c r="AA318" s="9">
        <f t="shared" si="179"/>
        <v>0</v>
      </c>
      <c r="AB318" s="9">
        <v>0</v>
      </c>
      <c r="AC318" s="9">
        <v>0</v>
      </c>
      <c r="AD318" s="44">
        <f t="shared" si="150"/>
        <v>11643413.51</v>
      </c>
      <c r="AE318" s="9">
        <v>0</v>
      </c>
      <c r="AF318" s="9">
        <f t="shared" si="180"/>
        <v>11643413.51</v>
      </c>
      <c r="AG318" s="49" t="s">
        <v>966</v>
      </c>
      <c r="AH318" s="13" t="s">
        <v>598</v>
      </c>
      <c r="AI318" s="1">
        <v>7520803.0899999999</v>
      </c>
      <c r="AJ318" s="169">
        <v>0</v>
      </c>
    </row>
    <row r="319" spans="1:37" ht="157.5" x14ac:dyDescent="0.25">
      <c r="A319" s="5">
        <f t="shared" si="151"/>
        <v>316</v>
      </c>
      <c r="B319" s="15">
        <v>119195</v>
      </c>
      <c r="C319" s="6">
        <v>18</v>
      </c>
      <c r="D319" s="5" t="s">
        <v>143</v>
      </c>
      <c r="E319" s="24" t="s">
        <v>107</v>
      </c>
      <c r="F319" s="8" t="s">
        <v>61</v>
      </c>
      <c r="G319" s="3" t="s">
        <v>2131</v>
      </c>
      <c r="H319" s="5" t="s">
        <v>151</v>
      </c>
      <c r="I319" s="74" t="s">
        <v>62</v>
      </c>
      <c r="J319" s="2">
        <v>42464</v>
      </c>
      <c r="K319" s="2">
        <v>43528</v>
      </c>
      <c r="L319" s="16">
        <f t="shared" si="175"/>
        <v>83.983863126060598</v>
      </c>
      <c r="M319" s="5" t="s">
        <v>136</v>
      </c>
      <c r="N319" s="5" t="s">
        <v>262</v>
      </c>
      <c r="O319" s="5" t="s">
        <v>262</v>
      </c>
      <c r="P319" s="3" t="s">
        <v>138</v>
      </c>
      <c r="Q319" s="5" t="s">
        <v>34</v>
      </c>
      <c r="R319" s="9">
        <f t="shared" si="176"/>
        <v>3168878.46</v>
      </c>
      <c r="S319" s="9">
        <v>2555424.39</v>
      </c>
      <c r="T319" s="9">
        <v>613454.06999999995</v>
      </c>
      <c r="U319" s="9">
        <f t="shared" si="181"/>
        <v>0</v>
      </c>
      <c r="V319" s="53">
        <v>0</v>
      </c>
      <c r="W319" s="53">
        <v>0</v>
      </c>
      <c r="X319" s="9">
        <f t="shared" si="178"/>
        <v>604320.75</v>
      </c>
      <c r="Y319" s="9">
        <v>450957.23</v>
      </c>
      <c r="Z319" s="9">
        <v>153363.51999999999</v>
      </c>
      <c r="AA319" s="9">
        <f t="shared" si="179"/>
        <v>0</v>
      </c>
      <c r="AB319" s="9">
        <v>0</v>
      </c>
      <c r="AC319" s="9">
        <v>0</v>
      </c>
      <c r="AD319" s="44">
        <f t="shared" si="150"/>
        <v>3773199.21</v>
      </c>
      <c r="AE319" s="9">
        <v>0</v>
      </c>
      <c r="AF319" s="9">
        <f t="shared" si="180"/>
        <v>3773199.21</v>
      </c>
      <c r="AG319" s="49" t="s">
        <v>966</v>
      </c>
      <c r="AH319" s="13" t="s">
        <v>1417</v>
      </c>
      <c r="AI319" s="1">
        <v>2945136.28</v>
      </c>
      <c r="AJ319" s="169">
        <v>0</v>
      </c>
    </row>
    <row r="320" spans="1:37" ht="189" x14ac:dyDescent="0.25">
      <c r="A320" s="5">
        <f t="shared" si="151"/>
        <v>317</v>
      </c>
      <c r="B320" s="15">
        <v>118157</v>
      </c>
      <c r="C320" s="6">
        <v>19</v>
      </c>
      <c r="D320" s="5" t="s">
        <v>143</v>
      </c>
      <c r="E320" s="24" t="s">
        <v>107</v>
      </c>
      <c r="F320" s="8" t="s">
        <v>63</v>
      </c>
      <c r="G320" s="5" t="s">
        <v>1649</v>
      </c>
      <c r="H320" s="5" t="s">
        <v>151</v>
      </c>
      <c r="I320" s="74" t="s">
        <v>64</v>
      </c>
      <c r="J320" s="2">
        <v>42446</v>
      </c>
      <c r="K320" s="2">
        <v>43541</v>
      </c>
      <c r="L320" s="16">
        <f t="shared" si="175"/>
        <v>83.983862865891041</v>
      </c>
      <c r="M320" s="5" t="s">
        <v>136</v>
      </c>
      <c r="N320" s="5" t="s">
        <v>262</v>
      </c>
      <c r="O320" s="5" t="s">
        <v>262</v>
      </c>
      <c r="P320" s="3" t="s">
        <v>138</v>
      </c>
      <c r="Q320" s="5" t="s">
        <v>34</v>
      </c>
      <c r="R320" s="9">
        <f t="shared" si="176"/>
        <v>3627735.48</v>
      </c>
      <c r="S320" s="9">
        <v>2925452.6</v>
      </c>
      <c r="T320" s="9">
        <v>702282.88</v>
      </c>
      <c r="U320" s="9">
        <f t="shared" si="181"/>
        <v>0</v>
      </c>
      <c r="V320" s="53">
        <v>0</v>
      </c>
      <c r="W320" s="53">
        <v>0</v>
      </c>
      <c r="X320" s="9">
        <f t="shared" si="178"/>
        <v>691827.06</v>
      </c>
      <c r="Y320" s="9">
        <v>516256.34</v>
      </c>
      <c r="Z320" s="9">
        <v>175570.72</v>
      </c>
      <c r="AA320" s="9">
        <f t="shared" si="179"/>
        <v>0</v>
      </c>
      <c r="AB320" s="9">
        <v>0</v>
      </c>
      <c r="AC320" s="9">
        <v>0</v>
      </c>
      <c r="AD320" s="44">
        <f t="shared" si="150"/>
        <v>4319562.54</v>
      </c>
      <c r="AE320" s="9">
        <v>0</v>
      </c>
      <c r="AF320" s="9">
        <f t="shared" si="180"/>
        <v>4319562.54</v>
      </c>
      <c r="AG320" s="49" t="s">
        <v>966</v>
      </c>
      <c r="AH320" s="13" t="s">
        <v>633</v>
      </c>
      <c r="AI320" s="1">
        <v>2216294.58</v>
      </c>
      <c r="AJ320" s="169">
        <v>0</v>
      </c>
    </row>
    <row r="321" spans="1:109" ht="141.75" x14ac:dyDescent="0.25">
      <c r="A321" s="5">
        <f t="shared" si="151"/>
        <v>318</v>
      </c>
      <c r="B321" s="15">
        <v>119988</v>
      </c>
      <c r="C321" s="6">
        <v>62</v>
      </c>
      <c r="D321" s="8" t="s">
        <v>1986</v>
      </c>
      <c r="E321" s="24" t="s">
        <v>129</v>
      </c>
      <c r="F321" s="8" t="s">
        <v>131</v>
      </c>
      <c r="G321" s="5" t="s">
        <v>99</v>
      </c>
      <c r="H321" s="3" t="s">
        <v>171</v>
      </c>
      <c r="I321" s="74" t="s">
        <v>132</v>
      </c>
      <c r="J321" s="2">
        <v>43060</v>
      </c>
      <c r="K321" s="2">
        <v>44276</v>
      </c>
      <c r="L321" s="16">
        <f t="shared" si="175"/>
        <v>83.983862758059558</v>
      </c>
      <c r="M321" s="5" t="s">
        <v>136</v>
      </c>
      <c r="N321" s="5" t="s">
        <v>262</v>
      </c>
      <c r="O321" s="5" t="s">
        <v>262</v>
      </c>
      <c r="P321" s="3" t="s">
        <v>138</v>
      </c>
      <c r="Q321" s="5" t="s">
        <v>34</v>
      </c>
      <c r="R321" s="9">
        <f t="shared" si="176"/>
        <v>2116755.06</v>
      </c>
      <c r="S321" s="9">
        <v>1706978.54</v>
      </c>
      <c r="T321" s="9">
        <v>409776.52</v>
      </c>
      <c r="U321" s="9">
        <f t="shared" si="181"/>
        <v>0</v>
      </c>
      <c r="V321" s="53">
        <v>0</v>
      </c>
      <c r="W321" s="53">
        <v>0</v>
      </c>
      <c r="X321" s="9">
        <f t="shared" si="178"/>
        <v>403675.64</v>
      </c>
      <c r="Y321" s="9">
        <v>301231.5</v>
      </c>
      <c r="Z321" s="9">
        <v>102444.14</v>
      </c>
      <c r="AA321" s="9">
        <f t="shared" si="179"/>
        <v>0</v>
      </c>
      <c r="AB321" s="9">
        <v>0</v>
      </c>
      <c r="AC321" s="9">
        <v>0</v>
      </c>
      <c r="AD321" s="44">
        <f t="shared" si="150"/>
        <v>2520430.7000000002</v>
      </c>
      <c r="AE321" s="9"/>
      <c r="AF321" s="9">
        <f t="shared" si="180"/>
        <v>2520430.7000000002</v>
      </c>
      <c r="AG321" s="59" t="s">
        <v>966</v>
      </c>
      <c r="AH321" s="13" t="s">
        <v>2104</v>
      </c>
      <c r="AI321" s="1">
        <f>438530.17+107239.86+867004.39+29421.22+76833.49+304177.28</f>
        <v>1823206.41</v>
      </c>
      <c r="AJ321" s="169">
        <v>0</v>
      </c>
    </row>
    <row r="322" spans="1:109" ht="409.5" x14ac:dyDescent="0.25">
      <c r="A322" s="5">
        <f t="shared" si="151"/>
        <v>319</v>
      </c>
      <c r="B322" s="15">
        <v>118158</v>
      </c>
      <c r="C322" s="6">
        <v>21</v>
      </c>
      <c r="D322" s="5" t="s">
        <v>143</v>
      </c>
      <c r="E322" s="24" t="s">
        <v>107</v>
      </c>
      <c r="F322" s="8" t="s">
        <v>67</v>
      </c>
      <c r="G322" s="5" t="s">
        <v>1649</v>
      </c>
      <c r="H322" s="5" t="s">
        <v>376</v>
      </c>
      <c r="I322" s="74" t="s">
        <v>68</v>
      </c>
      <c r="J322" s="2">
        <v>42516</v>
      </c>
      <c r="K322" s="2">
        <v>43703</v>
      </c>
      <c r="L322" s="16">
        <f t="shared" si="175"/>
        <v>83.983862895923082</v>
      </c>
      <c r="M322" s="5" t="s">
        <v>136</v>
      </c>
      <c r="N322" s="5" t="s">
        <v>262</v>
      </c>
      <c r="O322" s="5" t="s">
        <v>262</v>
      </c>
      <c r="P322" s="3" t="s">
        <v>138</v>
      </c>
      <c r="Q322" s="5" t="s">
        <v>34</v>
      </c>
      <c r="R322" s="9">
        <f t="shared" si="176"/>
        <v>11413787.699999999</v>
      </c>
      <c r="S322" s="9">
        <v>9204225.3699999992</v>
      </c>
      <c r="T322" s="9">
        <v>2209562.33</v>
      </c>
      <c r="U322" s="9">
        <f t="shared" si="181"/>
        <v>0</v>
      </c>
      <c r="V322" s="53">
        <v>0</v>
      </c>
      <c r="W322" s="53">
        <v>0</v>
      </c>
      <c r="X322" s="9">
        <f t="shared" si="178"/>
        <v>2176665.64</v>
      </c>
      <c r="Y322" s="9">
        <v>1624275.04</v>
      </c>
      <c r="Z322" s="9">
        <v>552390.6</v>
      </c>
      <c r="AA322" s="9">
        <f t="shared" si="179"/>
        <v>0</v>
      </c>
      <c r="AB322" s="9">
        <v>0</v>
      </c>
      <c r="AC322" s="9">
        <v>0</v>
      </c>
      <c r="AD322" s="44">
        <f t="shared" si="150"/>
        <v>13590453.34</v>
      </c>
      <c r="AE322" s="9">
        <v>16355.96</v>
      </c>
      <c r="AF322" s="9">
        <f t="shared" si="180"/>
        <v>13606809.300000001</v>
      </c>
      <c r="AG322" s="49" t="s">
        <v>966</v>
      </c>
      <c r="AH322" s="13" t="s">
        <v>1223</v>
      </c>
      <c r="AI322" s="1">
        <v>9335165.3400000017</v>
      </c>
      <c r="AJ322" s="169">
        <v>0</v>
      </c>
      <c r="AK322" s="72"/>
    </row>
    <row r="323" spans="1:109" ht="204.75" x14ac:dyDescent="0.25">
      <c r="A323" s="5">
        <f t="shared" si="151"/>
        <v>320</v>
      </c>
      <c r="B323" s="15">
        <v>118159</v>
      </c>
      <c r="C323" s="6">
        <v>22</v>
      </c>
      <c r="D323" s="5" t="s">
        <v>143</v>
      </c>
      <c r="E323" s="24" t="s">
        <v>107</v>
      </c>
      <c r="F323" s="8" t="s">
        <v>69</v>
      </c>
      <c r="G323" s="5" t="s">
        <v>1649</v>
      </c>
      <c r="H323" s="5" t="s">
        <v>158</v>
      </c>
      <c r="I323" s="74" t="s">
        <v>70</v>
      </c>
      <c r="J323" s="2">
        <v>42446</v>
      </c>
      <c r="K323" s="2">
        <v>43176</v>
      </c>
      <c r="L323" s="16">
        <f t="shared" si="175"/>
        <v>83.983862881462997</v>
      </c>
      <c r="M323" s="5" t="s">
        <v>136</v>
      </c>
      <c r="N323" s="5" t="s">
        <v>262</v>
      </c>
      <c r="O323" s="5" t="s">
        <v>262</v>
      </c>
      <c r="P323" s="3" t="s">
        <v>138</v>
      </c>
      <c r="Q323" s="5" t="s">
        <v>34</v>
      </c>
      <c r="R323" s="9">
        <f t="shared" si="176"/>
        <v>13490539.449999999</v>
      </c>
      <c r="S323" s="9">
        <v>10878944.699999999</v>
      </c>
      <c r="T323" s="9">
        <v>2611594.75</v>
      </c>
      <c r="U323" s="9">
        <f t="shared" si="181"/>
        <v>0</v>
      </c>
      <c r="V323" s="53">
        <v>0</v>
      </c>
      <c r="W323" s="53">
        <v>0</v>
      </c>
      <c r="X323" s="9">
        <f t="shared" si="178"/>
        <v>2572712.4500000002</v>
      </c>
      <c r="Y323" s="9">
        <v>1919813.76</v>
      </c>
      <c r="Z323" s="9">
        <v>652898.68999999994</v>
      </c>
      <c r="AA323" s="9">
        <f t="shared" si="179"/>
        <v>0</v>
      </c>
      <c r="AB323" s="9">
        <v>0</v>
      </c>
      <c r="AC323" s="9">
        <v>0</v>
      </c>
      <c r="AD323" s="44">
        <f t="shared" si="150"/>
        <v>16063251.899999999</v>
      </c>
      <c r="AE323" s="9">
        <v>0</v>
      </c>
      <c r="AF323" s="9">
        <f t="shared" si="180"/>
        <v>16063251.899999999</v>
      </c>
      <c r="AG323" s="49" t="s">
        <v>966</v>
      </c>
      <c r="AH323" s="13" t="s">
        <v>172</v>
      </c>
      <c r="AI323" s="1">
        <v>12372517.5</v>
      </c>
      <c r="AJ323" s="169">
        <v>0</v>
      </c>
    </row>
    <row r="324" spans="1:109" ht="283.5" x14ac:dyDescent="0.25">
      <c r="A324" s="5">
        <f t="shared" si="151"/>
        <v>321</v>
      </c>
      <c r="B324" s="15">
        <v>118427</v>
      </c>
      <c r="C324" s="6">
        <v>23</v>
      </c>
      <c r="D324" s="5" t="s">
        <v>143</v>
      </c>
      <c r="E324" s="24" t="s">
        <v>107</v>
      </c>
      <c r="F324" s="8" t="s">
        <v>72</v>
      </c>
      <c r="G324" s="5" t="s">
        <v>71</v>
      </c>
      <c r="H324" s="5" t="s">
        <v>151</v>
      </c>
      <c r="I324" s="74" t="s">
        <v>73</v>
      </c>
      <c r="J324" s="2">
        <v>42459</v>
      </c>
      <c r="K324" s="2">
        <v>43524</v>
      </c>
      <c r="L324" s="16">
        <f t="shared" si="175"/>
        <v>83.983862468884851</v>
      </c>
      <c r="M324" s="5" t="s">
        <v>136</v>
      </c>
      <c r="N324" s="5" t="s">
        <v>262</v>
      </c>
      <c r="O324" s="5" t="s">
        <v>262</v>
      </c>
      <c r="P324" s="3" t="s">
        <v>138</v>
      </c>
      <c r="Q324" s="5" t="s">
        <v>34</v>
      </c>
      <c r="R324" s="9">
        <f t="shared" si="176"/>
        <v>6252507.0099999998</v>
      </c>
      <c r="S324" s="9">
        <v>5042102.18</v>
      </c>
      <c r="T324" s="9">
        <v>1210404.83</v>
      </c>
      <c r="U324" s="9">
        <f t="shared" si="181"/>
        <v>0</v>
      </c>
      <c r="V324" s="53">
        <v>0</v>
      </c>
      <c r="W324" s="53">
        <v>0</v>
      </c>
      <c r="X324" s="9">
        <f t="shared" si="178"/>
        <v>1192383.98</v>
      </c>
      <c r="Y324" s="9">
        <v>889782.73</v>
      </c>
      <c r="Z324" s="9">
        <v>302601.25</v>
      </c>
      <c r="AA324" s="9">
        <f t="shared" si="179"/>
        <v>0</v>
      </c>
      <c r="AB324" s="9">
        <v>0</v>
      </c>
      <c r="AC324" s="9">
        <v>0</v>
      </c>
      <c r="AD324" s="44">
        <f t="shared" si="150"/>
        <v>7444890.9900000002</v>
      </c>
      <c r="AE324" s="9">
        <v>0</v>
      </c>
      <c r="AF324" s="9">
        <f t="shared" si="180"/>
        <v>7444890.9900000002</v>
      </c>
      <c r="AG324" s="49" t="s">
        <v>966</v>
      </c>
      <c r="AH324" s="176" t="s">
        <v>1113</v>
      </c>
      <c r="AI324" s="1">
        <v>6243692.5199999996</v>
      </c>
      <c r="AJ324" s="169">
        <v>0</v>
      </c>
    </row>
    <row r="325" spans="1:109" ht="141.75" x14ac:dyDescent="0.25">
      <c r="A325" s="5">
        <f t="shared" si="151"/>
        <v>322</v>
      </c>
      <c r="B325" s="15">
        <v>118584</v>
      </c>
      <c r="C325" s="6">
        <v>24</v>
      </c>
      <c r="D325" s="5" t="s">
        <v>143</v>
      </c>
      <c r="E325" s="24" t="s">
        <v>107</v>
      </c>
      <c r="F325" s="8" t="s">
        <v>75</v>
      </c>
      <c r="G325" s="5" t="s">
        <v>74</v>
      </c>
      <c r="H325" s="5" t="s">
        <v>151</v>
      </c>
      <c r="I325" s="74" t="s">
        <v>76</v>
      </c>
      <c r="J325" s="2">
        <v>42454</v>
      </c>
      <c r="K325" s="2">
        <v>43610</v>
      </c>
      <c r="L325" s="16">
        <f t="shared" si="175"/>
        <v>83.983862869823341</v>
      </c>
      <c r="M325" s="5" t="s">
        <v>136</v>
      </c>
      <c r="N325" s="5" t="s">
        <v>262</v>
      </c>
      <c r="O325" s="5" t="s">
        <v>262</v>
      </c>
      <c r="P325" s="3" t="s">
        <v>138</v>
      </c>
      <c r="Q325" s="5" t="s">
        <v>34</v>
      </c>
      <c r="R325" s="9">
        <f t="shared" si="176"/>
        <v>2984368.02</v>
      </c>
      <c r="S325" s="9">
        <v>2406632.79</v>
      </c>
      <c r="T325" s="9">
        <v>577735.23</v>
      </c>
      <c r="U325" s="9">
        <f t="shared" si="181"/>
        <v>0</v>
      </c>
      <c r="V325" s="53">
        <v>0</v>
      </c>
      <c r="W325" s="53">
        <v>0</v>
      </c>
      <c r="X325" s="9">
        <f t="shared" si="178"/>
        <v>569133.71</v>
      </c>
      <c r="Y325" s="9">
        <v>424699.9</v>
      </c>
      <c r="Z325" s="9">
        <v>144433.81</v>
      </c>
      <c r="AA325" s="9">
        <f t="shared" si="179"/>
        <v>0</v>
      </c>
      <c r="AB325" s="9">
        <v>0</v>
      </c>
      <c r="AC325" s="9">
        <v>0</v>
      </c>
      <c r="AD325" s="44">
        <f t="shared" ref="AD325:AD388" si="182">R325+U325+X325+AA325</f>
        <v>3553501.73</v>
      </c>
      <c r="AE325" s="9"/>
      <c r="AF325" s="9">
        <f t="shared" si="180"/>
        <v>3553501.73</v>
      </c>
      <c r="AG325" s="49" t="s">
        <v>966</v>
      </c>
      <c r="AH325" s="13" t="s">
        <v>1114</v>
      </c>
      <c r="AI325" s="1">
        <v>2743197.24</v>
      </c>
      <c r="AJ325" s="169">
        <v>0</v>
      </c>
    </row>
    <row r="326" spans="1:109" ht="141.75" x14ac:dyDescent="0.25">
      <c r="A326" s="5">
        <f t="shared" ref="A326:A389" si="183">A325+1</f>
        <v>323</v>
      </c>
      <c r="B326" s="15">
        <v>117835</v>
      </c>
      <c r="C326" s="6">
        <v>25</v>
      </c>
      <c r="D326" s="5" t="s">
        <v>143</v>
      </c>
      <c r="E326" s="24" t="s">
        <v>107</v>
      </c>
      <c r="F326" s="8" t="s">
        <v>77</v>
      </c>
      <c r="G326" s="5" t="s">
        <v>71</v>
      </c>
      <c r="H326" s="5" t="s">
        <v>169</v>
      </c>
      <c r="I326" s="74" t="s">
        <v>78</v>
      </c>
      <c r="J326" s="2">
        <v>42459</v>
      </c>
      <c r="K326" s="2">
        <v>43464</v>
      </c>
      <c r="L326" s="16">
        <f t="shared" si="175"/>
        <v>83.983862877433253</v>
      </c>
      <c r="M326" s="5" t="s">
        <v>136</v>
      </c>
      <c r="N326" s="5" t="s">
        <v>262</v>
      </c>
      <c r="O326" s="5" t="s">
        <v>262</v>
      </c>
      <c r="P326" s="3" t="s">
        <v>138</v>
      </c>
      <c r="Q326" s="5" t="s">
        <v>34</v>
      </c>
      <c r="R326" s="9">
        <f t="shared" si="176"/>
        <v>11174376.890000001</v>
      </c>
      <c r="S326" s="9">
        <v>9011161.3900000006</v>
      </c>
      <c r="T326" s="9">
        <v>2163215.5</v>
      </c>
      <c r="U326" s="9">
        <f t="shared" si="181"/>
        <v>0</v>
      </c>
      <c r="V326" s="53">
        <v>0</v>
      </c>
      <c r="W326" s="53">
        <v>0</v>
      </c>
      <c r="X326" s="9">
        <f t="shared" si="178"/>
        <v>2131008.8199999998</v>
      </c>
      <c r="Y326" s="9">
        <v>1590204.95</v>
      </c>
      <c r="Z326" s="9">
        <v>540803.87</v>
      </c>
      <c r="AA326" s="9">
        <f t="shared" si="179"/>
        <v>0</v>
      </c>
      <c r="AB326" s="9">
        <v>0</v>
      </c>
      <c r="AC326" s="9">
        <v>0</v>
      </c>
      <c r="AD326" s="44">
        <f t="shared" si="182"/>
        <v>13305385.710000001</v>
      </c>
      <c r="AE326" s="9">
        <v>0</v>
      </c>
      <c r="AF326" s="9">
        <f t="shared" si="180"/>
        <v>13305385.710000001</v>
      </c>
      <c r="AG326" s="49" t="s">
        <v>966</v>
      </c>
      <c r="AH326" s="176" t="s">
        <v>959</v>
      </c>
      <c r="AI326" s="1">
        <v>11126144.500000002</v>
      </c>
      <c r="AJ326" s="169">
        <v>0</v>
      </c>
    </row>
    <row r="327" spans="1:109" ht="189" x14ac:dyDescent="0.25">
      <c r="A327" s="5">
        <f t="shared" si="183"/>
        <v>324</v>
      </c>
      <c r="B327" s="15">
        <v>118419</v>
      </c>
      <c r="C327" s="6">
        <v>26</v>
      </c>
      <c r="D327" s="5" t="s">
        <v>143</v>
      </c>
      <c r="E327" s="24" t="s">
        <v>107</v>
      </c>
      <c r="F327" s="8" t="s">
        <v>79</v>
      </c>
      <c r="G327" s="5" t="s">
        <v>71</v>
      </c>
      <c r="H327" s="5" t="s">
        <v>151</v>
      </c>
      <c r="I327" s="74" t="s">
        <v>80</v>
      </c>
      <c r="J327" s="2">
        <v>42458</v>
      </c>
      <c r="K327" s="2">
        <v>43553</v>
      </c>
      <c r="L327" s="16">
        <f t="shared" si="175"/>
        <v>83.983862783018438</v>
      </c>
      <c r="M327" s="5" t="s">
        <v>136</v>
      </c>
      <c r="N327" s="5" t="s">
        <v>262</v>
      </c>
      <c r="O327" s="5" t="s">
        <v>262</v>
      </c>
      <c r="P327" s="3" t="s">
        <v>138</v>
      </c>
      <c r="Q327" s="5" t="s">
        <v>34</v>
      </c>
      <c r="R327" s="9">
        <f t="shared" si="176"/>
        <v>3637178.37</v>
      </c>
      <c r="S327" s="9">
        <v>2933067.47</v>
      </c>
      <c r="T327" s="9">
        <v>704110.9</v>
      </c>
      <c r="U327" s="9">
        <f t="shared" si="181"/>
        <v>0</v>
      </c>
      <c r="V327" s="53">
        <v>0</v>
      </c>
      <c r="W327" s="53">
        <v>0</v>
      </c>
      <c r="X327" s="9">
        <f t="shared" si="178"/>
        <v>693627.87</v>
      </c>
      <c r="Y327" s="9">
        <v>517600.14</v>
      </c>
      <c r="Z327" s="9">
        <v>176027.73</v>
      </c>
      <c r="AA327" s="9">
        <f t="shared" si="179"/>
        <v>0</v>
      </c>
      <c r="AB327" s="9">
        <v>0</v>
      </c>
      <c r="AC327" s="9">
        <v>0</v>
      </c>
      <c r="AD327" s="44">
        <f t="shared" si="182"/>
        <v>4330806.24</v>
      </c>
      <c r="AE327" s="9">
        <v>0</v>
      </c>
      <c r="AF327" s="9">
        <f t="shared" si="180"/>
        <v>4330806.24</v>
      </c>
      <c r="AG327" s="49" t="s">
        <v>966</v>
      </c>
      <c r="AH327" s="13" t="s">
        <v>152</v>
      </c>
      <c r="AI327" s="1">
        <v>3290066.13</v>
      </c>
      <c r="AJ327" s="169">
        <v>0</v>
      </c>
    </row>
    <row r="328" spans="1:109" ht="220.5" x14ac:dyDescent="0.25">
      <c r="A328" s="5">
        <f t="shared" si="183"/>
        <v>325</v>
      </c>
      <c r="B328" s="15">
        <v>118319</v>
      </c>
      <c r="C328" s="6">
        <v>27</v>
      </c>
      <c r="D328" s="5" t="s">
        <v>143</v>
      </c>
      <c r="E328" s="24" t="s">
        <v>107</v>
      </c>
      <c r="F328" s="8" t="s">
        <v>1409</v>
      </c>
      <c r="G328" s="5" t="s">
        <v>1592</v>
      </c>
      <c r="H328" s="5" t="s">
        <v>163</v>
      </c>
      <c r="I328" s="74" t="s">
        <v>1410</v>
      </c>
      <c r="J328" s="2">
        <v>42585</v>
      </c>
      <c r="K328" s="2">
        <v>43680</v>
      </c>
      <c r="L328" s="16">
        <f t="shared" si="175"/>
        <v>83.983862824473448</v>
      </c>
      <c r="M328" s="5" t="s">
        <v>136</v>
      </c>
      <c r="N328" s="5" t="s">
        <v>262</v>
      </c>
      <c r="O328" s="5" t="s">
        <v>262</v>
      </c>
      <c r="P328" s="3" t="s">
        <v>138</v>
      </c>
      <c r="Q328" s="5" t="s">
        <v>34</v>
      </c>
      <c r="R328" s="9">
        <f t="shared" si="176"/>
        <v>17052953.060000002</v>
      </c>
      <c r="S328" s="9">
        <v>13751720.9</v>
      </c>
      <c r="T328" s="9">
        <v>3301232.16</v>
      </c>
      <c r="U328" s="9">
        <f t="shared" si="181"/>
        <v>0</v>
      </c>
      <c r="V328" s="53">
        <v>0</v>
      </c>
      <c r="W328" s="53">
        <v>0</v>
      </c>
      <c r="X328" s="9">
        <f t="shared" si="178"/>
        <v>3252082.32</v>
      </c>
      <c r="Y328" s="9">
        <v>2426774.2799999998</v>
      </c>
      <c r="Z328" s="9">
        <v>825308.04</v>
      </c>
      <c r="AA328" s="9">
        <f t="shared" si="179"/>
        <v>0</v>
      </c>
      <c r="AB328" s="9">
        <v>0</v>
      </c>
      <c r="AC328" s="9">
        <v>0</v>
      </c>
      <c r="AD328" s="44">
        <f t="shared" si="182"/>
        <v>20305035.380000003</v>
      </c>
      <c r="AE328" s="9">
        <v>0</v>
      </c>
      <c r="AF328" s="9">
        <f t="shared" si="180"/>
        <v>20305035.380000003</v>
      </c>
      <c r="AG328" s="49" t="s">
        <v>966</v>
      </c>
      <c r="AH328" s="13" t="s">
        <v>395</v>
      </c>
      <c r="AI328" s="1">
        <v>15213087.200000001</v>
      </c>
      <c r="AJ328" s="169">
        <v>0</v>
      </c>
    </row>
    <row r="329" spans="1:109" ht="220.5" x14ac:dyDescent="0.25">
      <c r="A329" s="5">
        <f t="shared" si="183"/>
        <v>326</v>
      </c>
      <c r="B329" s="15">
        <v>117834</v>
      </c>
      <c r="C329" s="6">
        <v>28</v>
      </c>
      <c r="D329" s="5" t="s">
        <v>143</v>
      </c>
      <c r="E329" s="24" t="s">
        <v>107</v>
      </c>
      <c r="F329" s="8" t="s">
        <v>81</v>
      </c>
      <c r="G329" s="5" t="s">
        <v>71</v>
      </c>
      <c r="H329" s="5" t="s">
        <v>165</v>
      </c>
      <c r="I329" s="74" t="s">
        <v>82</v>
      </c>
      <c r="J329" s="2">
        <v>42515</v>
      </c>
      <c r="K329" s="2">
        <v>44129</v>
      </c>
      <c r="L329" s="16">
        <f t="shared" si="175"/>
        <v>83.983862816553938</v>
      </c>
      <c r="M329" s="5" t="s">
        <v>136</v>
      </c>
      <c r="N329" s="5" t="s">
        <v>262</v>
      </c>
      <c r="O329" s="5" t="s">
        <v>262</v>
      </c>
      <c r="P329" s="3" t="s">
        <v>138</v>
      </c>
      <c r="Q329" s="5" t="s">
        <v>34</v>
      </c>
      <c r="R329" s="9">
        <f t="shared" si="176"/>
        <v>36908560.93</v>
      </c>
      <c r="S329" s="9">
        <v>29763538.75</v>
      </c>
      <c r="T329" s="9">
        <v>7145022.1799999997</v>
      </c>
      <c r="U329" s="9">
        <f t="shared" si="181"/>
        <v>0</v>
      </c>
      <c r="V329" s="53">
        <v>0</v>
      </c>
      <c r="W329" s="53">
        <v>0</v>
      </c>
      <c r="X329" s="9">
        <f t="shared" si="178"/>
        <v>7038644.75</v>
      </c>
      <c r="Y329" s="9">
        <v>5252389.17</v>
      </c>
      <c r="Z329" s="9">
        <v>1786255.58</v>
      </c>
      <c r="AA329" s="9">
        <f t="shared" si="179"/>
        <v>0</v>
      </c>
      <c r="AB329" s="9">
        <v>0</v>
      </c>
      <c r="AC329" s="9">
        <v>0</v>
      </c>
      <c r="AD329" s="44">
        <f t="shared" si="182"/>
        <v>43947205.68</v>
      </c>
      <c r="AE329" s="9">
        <v>0</v>
      </c>
      <c r="AF329" s="9">
        <f t="shared" si="180"/>
        <v>43947205.68</v>
      </c>
      <c r="AG329" s="59" t="s">
        <v>966</v>
      </c>
      <c r="AH329" s="13" t="s">
        <v>1955</v>
      </c>
      <c r="AI329" s="1">
        <f>23206973.77+90624.06+102769.12+61292.35+13166305.98</f>
        <v>36627965.280000001</v>
      </c>
      <c r="AJ329" s="169">
        <v>0</v>
      </c>
    </row>
    <row r="330" spans="1:109" ht="236.25" x14ac:dyDescent="0.25">
      <c r="A330" s="5">
        <f t="shared" si="183"/>
        <v>327</v>
      </c>
      <c r="B330" s="15">
        <v>119993</v>
      </c>
      <c r="C330" s="6">
        <v>29</v>
      </c>
      <c r="D330" s="5" t="s">
        <v>143</v>
      </c>
      <c r="E330" s="24" t="s">
        <v>107</v>
      </c>
      <c r="F330" s="8" t="s">
        <v>84</v>
      </c>
      <c r="G330" s="5" t="s">
        <v>83</v>
      </c>
      <c r="H330" s="5" t="s">
        <v>170</v>
      </c>
      <c r="I330" s="74" t="s">
        <v>85</v>
      </c>
      <c r="J330" s="2">
        <v>42569</v>
      </c>
      <c r="K330" s="2">
        <v>44030</v>
      </c>
      <c r="L330" s="16">
        <f t="shared" si="175"/>
        <v>83.98386282616714</v>
      </c>
      <c r="M330" s="5" t="s">
        <v>136</v>
      </c>
      <c r="N330" s="5" t="s">
        <v>262</v>
      </c>
      <c r="O330" s="5" t="s">
        <v>262</v>
      </c>
      <c r="P330" s="3" t="s">
        <v>138</v>
      </c>
      <c r="Q330" s="5" t="s">
        <v>34</v>
      </c>
      <c r="R330" s="9">
        <f t="shared" si="176"/>
        <v>35912411.909999996</v>
      </c>
      <c r="S330" s="9">
        <v>28960231.329999998</v>
      </c>
      <c r="T330" s="9">
        <v>6952180.5800000001</v>
      </c>
      <c r="U330" s="9">
        <f t="shared" si="181"/>
        <v>0</v>
      </c>
      <c r="V330" s="53">
        <v>0</v>
      </c>
      <c r="W330" s="53">
        <v>0</v>
      </c>
      <c r="X330" s="9">
        <f t="shared" si="178"/>
        <v>6848674.209999999</v>
      </c>
      <c r="Y330" s="9">
        <v>5110629.0599999996</v>
      </c>
      <c r="Z330" s="9">
        <v>1738045.15</v>
      </c>
      <c r="AA330" s="9">
        <f t="shared" si="179"/>
        <v>0</v>
      </c>
      <c r="AB330" s="9">
        <v>0</v>
      </c>
      <c r="AC330" s="9">
        <v>0</v>
      </c>
      <c r="AD330" s="44">
        <f t="shared" si="182"/>
        <v>42761086.119999997</v>
      </c>
      <c r="AE330" s="9">
        <v>0</v>
      </c>
      <c r="AF330" s="9">
        <f t="shared" si="180"/>
        <v>42761086.119999997</v>
      </c>
      <c r="AG330" s="59" t="s">
        <v>966</v>
      </c>
      <c r="AH330" s="176" t="s">
        <v>155</v>
      </c>
      <c r="AI330" s="1">
        <v>28176.63</v>
      </c>
      <c r="AJ330" s="169">
        <v>0</v>
      </c>
    </row>
    <row r="331" spans="1:109" ht="409.5" x14ac:dyDescent="0.25">
      <c r="A331" s="5">
        <f t="shared" si="183"/>
        <v>328</v>
      </c>
      <c r="B331" s="15">
        <v>118292</v>
      </c>
      <c r="C331" s="6">
        <v>30</v>
      </c>
      <c r="D331" s="5" t="s">
        <v>143</v>
      </c>
      <c r="E331" s="24" t="s">
        <v>107</v>
      </c>
      <c r="F331" s="8" t="s">
        <v>86</v>
      </c>
      <c r="G331" s="5" t="s">
        <v>1962</v>
      </c>
      <c r="H331" s="5" t="s">
        <v>160</v>
      </c>
      <c r="I331" s="74" t="s">
        <v>87</v>
      </c>
      <c r="J331" s="2">
        <v>42446</v>
      </c>
      <c r="K331" s="2">
        <v>43237</v>
      </c>
      <c r="L331" s="16">
        <f t="shared" si="175"/>
        <v>83.983862811384185</v>
      </c>
      <c r="M331" s="5" t="s">
        <v>136</v>
      </c>
      <c r="N331" s="5" t="s">
        <v>262</v>
      </c>
      <c r="O331" s="5" t="s">
        <v>262</v>
      </c>
      <c r="P331" s="3" t="s">
        <v>138</v>
      </c>
      <c r="Q331" s="5" t="s">
        <v>34</v>
      </c>
      <c r="R331" s="9">
        <f t="shared" si="176"/>
        <v>23983572.759999998</v>
      </c>
      <c r="S331" s="9">
        <v>19340661.859999999</v>
      </c>
      <c r="T331" s="9">
        <v>4642910.9000000004</v>
      </c>
      <c r="U331" s="9">
        <f t="shared" si="181"/>
        <v>0</v>
      </c>
      <c r="V331" s="53">
        <v>0</v>
      </c>
      <c r="W331" s="53">
        <v>0</v>
      </c>
      <c r="X331" s="9">
        <f t="shared" si="178"/>
        <v>4573785.71</v>
      </c>
      <c r="Y331" s="9">
        <v>3413057.98</v>
      </c>
      <c r="Z331" s="9">
        <v>1160727.73</v>
      </c>
      <c r="AA331" s="9">
        <f t="shared" si="179"/>
        <v>0</v>
      </c>
      <c r="AB331" s="9">
        <v>0</v>
      </c>
      <c r="AC331" s="9">
        <v>0</v>
      </c>
      <c r="AD331" s="44">
        <f t="shared" si="182"/>
        <v>28557358.469999999</v>
      </c>
      <c r="AE331" s="9">
        <v>54654.13</v>
      </c>
      <c r="AF331" s="9">
        <f t="shared" si="180"/>
        <v>28612012.599999998</v>
      </c>
      <c r="AG331" s="49" t="s">
        <v>966</v>
      </c>
      <c r="AH331" s="13" t="s">
        <v>401</v>
      </c>
      <c r="AI331" s="1">
        <v>20408812.109999996</v>
      </c>
      <c r="AJ331" s="169">
        <v>0</v>
      </c>
    </row>
    <row r="332" spans="1:109" ht="141.75" x14ac:dyDescent="0.25">
      <c r="A332" s="5">
        <f t="shared" si="183"/>
        <v>329</v>
      </c>
      <c r="B332" s="15">
        <v>120208</v>
      </c>
      <c r="C332" s="5">
        <v>47</v>
      </c>
      <c r="D332" s="5" t="s">
        <v>143</v>
      </c>
      <c r="E332" s="24" t="s">
        <v>110</v>
      </c>
      <c r="F332" s="8" t="s">
        <v>600</v>
      </c>
      <c r="G332" s="3" t="s">
        <v>2098</v>
      </c>
      <c r="H332" s="5" t="s">
        <v>151</v>
      </c>
      <c r="I332" s="74" t="s">
        <v>602</v>
      </c>
      <c r="J332" s="2">
        <v>42914</v>
      </c>
      <c r="K332" s="2">
        <v>44528</v>
      </c>
      <c r="L332" s="16">
        <f t="shared" si="175"/>
        <v>83.983862845530723</v>
      </c>
      <c r="M332" s="5" t="s">
        <v>136</v>
      </c>
      <c r="N332" s="5" t="s">
        <v>262</v>
      </c>
      <c r="O332" s="5" t="s">
        <v>262</v>
      </c>
      <c r="P332" s="3" t="s">
        <v>138</v>
      </c>
      <c r="Q332" s="5" t="s">
        <v>34</v>
      </c>
      <c r="R332" s="9">
        <f t="shared" si="176"/>
        <v>6033904.6100000003</v>
      </c>
      <c r="S332" s="9">
        <v>4865818.3600000003</v>
      </c>
      <c r="T332" s="9">
        <v>1168086.25</v>
      </c>
      <c r="U332" s="9">
        <f t="shared" si="181"/>
        <v>0</v>
      </c>
      <c r="V332" s="53">
        <v>0</v>
      </c>
      <c r="W332" s="53">
        <v>0</v>
      </c>
      <c r="X332" s="9">
        <f t="shared" si="178"/>
        <v>1150695.3899999999</v>
      </c>
      <c r="Y332" s="9">
        <v>858673.83</v>
      </c>
      <c r="Z332" s="9">
        <v>292021.56</v>
      </c>
      <c r="AA332" s="9">
        <f t="shared" si="179"/>
        <v>0</v>
      </c>
      <c r="AB332" s="9">
        <v>0</v>
      </c>
      <c r="AC332" s="9">
        <v>0</v>
      </c>
      <c r="AD332" s="44">
        <f t="shared" si="182"/>
        <v>7184600</v>
      </c>
      <c r="AE332" s="9">
        <v>0</v>
      </c>
      <c r="AF332" s="9">
        <f t="shared" si="180"/>
        <v>7184600</v>
      </c>
      <c r="AG332" s="59" t="s">
        <v>515</v>
      </c>
      <c r="AH332" s="13" t="s">
        <v>2187</v>
      </c>
      <c r="AI332" s="1">
        <f>1069040.51+48010.21+146560.3+232128.61+452279.37+109842.49+80964.25+98209.55+206280.33</f>
        <v>2443315.62</v>
      </c>
      <c r="AJ332" s="169">
        <v>0</v>
      </c>
    </row>
    <row r="333" spans="1:109" ht="189" x14ac:dyDescent="0.25">
      <c r="A333" s="5">
        <f t="shared" si="183"/>
        <v>330</v>
      </c>
      <c r="B333" s="15">
        <v>119991</v>
      </c>
      <c r="C333" s="5">
        <v>48</v>
      </c>
      <c r="D333" s="5" t="s">
        <v>143</v>
      </c>
      <c r="E333" s="24" t="s">
        <v>110</v>
      </c>
      <c r="F333" s="8" t="s">
        <v>111</v>
      </c>
      <c r="G333" s="5" t="s">
        <v>83</v>
      </c>
      <c r="H333" s="5" t="s">
        <v>151</v>
      </c>
      <c r="I333" s="74" t="s">
        <v>112</v>
      </c>
      <c r="J333" s="2">
        <v>43004</v>
      </c>
      <c r="K333" s="2">
        <v>43916</v>
      </c>
      <c r="L333" s="16">
        <f t="shared" si="175"/>
        <v>83.9838628091575</v>
      </c>
      <c r="M333" s="5" t="s">
        <v>136</v>
      </c>
      <c r="N333" s="5" t="s">
        <v>262</v>
      </c>
      <c r="O333" s="5" t="s">
        <v>262</v>
      </c>
      <c r="P333" s="3" t="s">
        <v>138</v>
      </c>
      <c r="Q333" s="5" t="s">
        <v>34</v>
      </c>
      <c r="R333" s="9">
        <f t="shared" si="176"/>
        <v>12597407.540000001</v>
      </c>
      <c r="S333" s="9">
        <v>10158711.630000001</v>
      </c>
      <c r="T333" s="9">
        <v>2438695.91</v>
      </c>
      <c r="U333" s="9">
        <f t="shared" si="181"/>
        <v>0</v>
      </c>
      <c r="V333" s="53">
        <v>0</v>
      </c>
      <c r="W333" s="53">
        <v>0</v>
      </c>
      <c r="X333" s="9">
        <f t="shared" si="178"/>
        <v>2402387.7999999998</v>
      </c>
      <c r="Y333" s="9">
        <v>1792713.82</v>
      </c>
      <c r="Z333" s="9">
        <v>609673.98</v>
      </c>
      <c r="AA333" s="9">
        <f t="shared" si="179"/>
        <v>0</v>
      </c>
      <c r="AB333" s="9">
        <v>0</v>
      </c>
      <c r="AC333" s="9">
        <v>0</v>
      </c>
      <c r="AD333" s="44">
        <f t="shared" si="182"/>
        <v>14999795.34</v>
      </c>
      <c r="AE333" s="9">
        <v>2999990</v>
      </c>
      <c r="AF333" s="9">
        <f t="shared" si="180"/>
        <v>17999785.34</v>
      </c>
      <c r="AG333" s="59" t="s">
        <v>966</v>
      </c>
      <c r="AH333" s="50" t="s">
        <v>151</v>
      </c>
      <c r="AI333" s="1">
        <v>0</v>
      </c>
      <c r="AJ333" s="177">
        <v>0</v>
      </c>
    </row>
    <row r="334" spans="1:109" s="173" customFormat="1" ht="252" x14ac:dyDescent="0.25">
      <c r="A334" s="5">
        <f t="shared" si="183"/>
        <v>331</v>
      </c>
      <c r="B334" s="15">
        <v>119992</v>
      </c>
      <c r="C334" s="5">
        <v>49</v>
      </c>
      <c r="D334" s="5" t="s">
        <v>143</v>
      </c>
      <c r="E334" s="24" t="s">
        <v>110</v>
      </c>
      <c r="F334" s="8" t="s">
        <v>113</v>
      </c>
      <c r="G334" s="5" t="s">
        <v>83</v>
      </c>
      <c r="H334" s="5" t="s">
        <v>151</v>
      </c>
      <c r="I334" s="74" t="s">
        <v>114</v>
      </c>
      <c r="J334" s="2">
        <v>43004</v>
      </c>
      <c r="K334" s="2">
        <v>43916</v>
      </c>
      <c r="L334" s="16">
        <f t="shared" si="175"/>
        <v>83.98386278575461</v>
      </c>
      <c r="M334" s="5" t="s">
        <v>136</v>
      </c>
      <c r="N334" s="5" t="s">
        <v>262</v>
      </c>
      <c r="O334" s="5" t="s">
        <v>262</v>
      </c>
      <c r="P334" s="3" t="s">
        <v>138</v>
      </c>
      <c r="Q334" s="5" t="s">
        <v>34</v>
      </c>
      <c r="R334" s="9">
        <f t="shared" si="176"/>
        <v>11755282.280000001</v>
      </c>
      <c r="S334" s="9">
        <v>9479610.9800000004</v>
      </c>
      <c r="T334" s="9">
        <v>2275671.2999999998</v>
      </c>
      <c r="U334" s="9">
        <f t="shared" si="181"/>
        <v>0</v>
      </c>
      <c r="V334" s="53">
        <v>0</v>
      </c>
      <c r="W334" s="53">
        <v>0</v>
      </c>
      <c r="X334" s="9">
        <f t="shared" si="178"/>
        <v>2241790.36</v>
      </c>
      <c r="Y334" s="9">
        <v>1672872.53</v>
      </c>
      <c r="Z334" s="9">
        <v>568917.82999999996</v>
      </c>
      <c r="AA334" s="9">
        <f t="shared" si="179"/>
        <v>0</v>
      </c>
      <c r="AB334" s="9">
        <v>0</v>
      </c>
      <c r="AC334" s="9">
        <v>0</v>
      </c>
      <c r="AD334" s="44">
        <f t="shared" si="182"/>
        <v>13997072.640000001</v>
      </c>
      <c r="AE334" s="9">
        <v>0</v>
      </c>
      <c r="AF334" s="9">
        <f t="shared" si="180"/>
        <v>13997072.640000001</v>
      </c>
      <c r="AG334" s="59" t="s">
        <v>966</v>
      </c>
      <c r="AH334" s="50" t="s">
        <v>151</v>
      </c>
      <c r="AI334" s="1">
        <v>0</v>
      </c>
      <c r="AJ334" s="177">
        <v>0</v>
      </c>
    </row>
    <row r="335" spans="1:109" s="173" customFormat="1" ht="173.25" x14ac:dyDescent="0.25">
      <c r="A335" s="5">
        <f t="shared" si="183"/>
        <v>332</v>
      </c>
      <c r="B335" s="15">
        <v>119731</v>
      </c>
      <c r="C335" s="5">
        <v>51</v>
      </c>
      <c r="D335" s="5" t="s">
        <v>143</v>
      </c>
      <c r="E335" s="24" t="s">
        <v>110</v>
      </c>
      <c r="F335" s="8" t="s">
        <v>115</v>
      </c>
      <c r="G335" s="5" t="s">
        <v>55</v>
      </c>
      <c r="H335" s="5" t="s">
        <v>151</v>
      </c>
      <c r="I335" s="74" t="s">
        <v>116</v>
      </c>
      <c r="J335" s="2">
        <v>42956</v>
      </c>
      <c r="K335" s="2">
        <v>44782</v>
      </c>
      <c r="L335" s="16">
        <f t="shared" si="175"/>
        <v>83.983862780427785</v>
      </c>
      <c r="M335" s="5" t="s">
        <v>136</v>
      </c>
      <c r="N335" s="5" t="s">
        <v>262</v>
      </c>
      <c r="O335" s="5" t="s">
        <v>262</v>
      </c>
      <c r="P335" s="3" t="s">
        <v>138</v>
      </c>
      <c r="Q335" s="5" t="s">
        <v>34</v>
      </c>
      <c r="R335" s="9">
        <f t="shared" si="176"/>
        <v>10449475.91</v>
      </c>
      <c r="S335" s="9">
        <v>8426591.9100000001</v>
      </c>
      <c r="T335" s="9">
        <v>2022884</v>
      </c>
      <c r="U335" s="9">
        <f t="shared" si="181"/>
        <v>0</v>
      </c>
      <c r="V335" s="53">
        <v>0</v>
      </c>
      <c r="W335" s="53">
        <v>0</v>
      </c>
      <c r="X335" s="9">
        <f t="shared" si="178"/>
        <v>1992766.64</v>
      </c>
      <c r="Y335" s="9">
        <v>1487045.64</v>
      </c>
      <c r="Z335" s="9">
        <v>505721</v>
      </c>
      <c r="AA335" s="9">
        <f t="shared" si="179"/>
        <v>0</v>
      </c>
      <c r="AB335" s="9">
        <v>0</v>
      </c>
      <c r="AC335" s="9">
        <v>0</v>
      </c>
      <c r="AD335" s="44">
        <f t="shared" si="182"/>
        <v>12442242.550000001</v>
      </c>
      <c r="AE335" s="9">
        <v>0</v>
      </c>
      <c r="AF335" s="9">
        <f t="shared" si="180"/>
        <v>12442242.550000001</v>
      </c>
      <c r="AG335" s="59" t="s">
        <v>515</v>
      </c>
      <c r="AH335" s="13" t="s">
        <v>2109</v>
      </c>
      <c r="AI335" s="1">
        <f>751571.65+520506.47+372497.42+168509.52+160669.36+74116.93</f>
        <v>2047871.3499999999</v>
      </c>
      <c r="AJ335" s="177">
        <v>0</v>
      </c>
    </row>
    <row r="336" spans="1:109" s="173" customFormat="1" ht="220.5" x14ac:dyDescent="0.25">
      <c r="A336" s="5">
        <f t="shared" si="183"/>
        <v>333</v>
      </c>
      <c r="B336" s="15">
        <v>119741</v>
      </c>
      <c r="C336" s="6">
        <v>63</v>
      </c>
      <c r="D336" s="8" t="s">
        <v>1986</v>
      </c>
      <c r="E336" s="24" t="s">
        <v>129</v>
      </c>
      <c r="F336" s="8" t="s">
        <v>134</v>
      </c>
      <c r="G336" s="5" t="s">
        <v>133</v>
      </c>
      <c r="H336" s="5" t="s">
        <v>151</v>
      </c>
      <c r="I336" s="74" t="s">
        <v>135</v>
      </c>
      <c r="J336" s="2">
        <v>43063</v>
      </c>
      <c r="K336" s="2">
        <v>44189</v>
      </c>
      <c r="L336" s="16">
        <f t="shared" si="175"/>
        <v>83.983863432139401</v>
      </c>
      <c r="M336" s="5" t="s">
        <v>136</v>
      </c>
      <c r="N336" s="5" t="s">
        <v>262</v>
      </c>
      <c r="O336" s="5" t="s">
        <v>262</v>
      </c>
      <c r="P336" s="3" t="s">
        <v>138</v>
      </c>
      <c r="Q336" s="5" t="s">
        <v>34</v>
      </c>
      <c r="R336" s="9">
        <f t="shared" si="176"/>
        <v>2142489.5299999998</v>
      </c>
      <c r="S336" s="9">
        <v>1727731.1199999994</v>
      </c>
      <c r="T336" s="9">
        <v>414758.41000000021</v>
      </c>
      <c r="U336" s="9">
        <f t="shared" si="181"/>
        <v>0</v>
      </c>
      <c r="V336" s="53">
        <v>0</v>
      </c>
      <c r="W336" s="53">
        <v>0</v>
      </c>
      <c r="X336" s="9">
        <f t="shared" si="178"/>
        <v>408583.31</v>
      </c>
      <c r="Y336" s="9">
        <v>304893.74</v>
      </c>
      <c r="Z336" s="9">
        <v>103689.57</v>
      </c>
      <c r="AA336" s="9">
        <f t="shared" si="179"/>
        <v>0</v>
      </c>
      <c r="AB336" s="9">
        <v>0</v>
      </c>
      <c r="AC336" s="9">
        <v>0</v>
      </c>
      <c r="AD336" s="44">
        <f t="shared" si="182"/>
        <v>2551072.84</v>
      </c>
      <c r="AE336" s="9">
        <v>0</v>
      </c>
      <c r="AF336" s="9">
        <f t="shared" si="180"/>
        <v>2551072.84</v>
      </c>
      <c r="AG336" s="59" t="s">
        <v>966</v>
      </c>
      <c r="AH336" s="13" t="s">
        <v>2033</v>
      </c>
      <c r="AI336" s="1">
        <f>1030343.44+458119.11+71702.9</f>
        <v>1560165.4499999997</v>
      </c>
      <c r="AJ336" s="177">
        <v>0</v>
      </c>
      <c r="AK336" s="12"/>
      <c r="AL336" s="12"/>
      <c r="AM336" s="12"/>
      <c r="AN336" s="12"/>
      <c r="AO336" s="12"/>
      <c r="AP336" s="12"/>
      <c r="AQ336" s="12"/>
      <c r="AR336" s="12"/>
      <c r="AS336" s="12"/>
      <c r="AT336" s="12"/>
      <c r="AU336" s="12"/>
      <c r="AV336" s="12"/>
      <c r="AW336" s="12"/>
      <c r="AX336" s="12"/>
      <c r="AY336" s="12"/>
      <c r="AZ336" s="12"/>
      <c r="BA336" s="12"/>
      <c r="BB336" s="12"/>
      <c r="BC336" s="12"/>
      <c r="BD336" s="12"/>
      <c r="BE336" s="12"/>
      <c r="BF336" s="12"/>
      <c r="BG336" s="12"/>
      <c r="BH336" s="12"/>
      <c r="BI336" s="12"/>
      <c r="BJ336" s="12"/>
      <c r="BK336" s="12"/>
      <c r="BL336" s="12"/>
      <c r="BM336" s="12"/>
      <c r="BN336" s="12"/>
      <c r="BO336" s="12"/>
      <c r="BP336" s="12"/>
      <c r="BQ336" s="12"/>
      <c r="BR336" s="12"/>
      <c r="BS336" s="12"/>
      <c r="BT336" s="12"/>
      <c r="BU336" s="12"/>
      <c r="BV336" s="12"/>
      <c r="BW336" s="12"/>
      <c r="BX336" s="12"/>
      <c r="BY336" s="12"/>
      <c r="BZ336" s="12"/>
      <c r="CA336" s="12"/>
      <c r="CB336" s="12"/>
      <c r="CC336" s="12"/>
      <c r="CD336" s="12"/>
      <c r="CE336" s="12"/>
      <c r="CF336" s="12"/>
      <c r="CG336" s="12"/>
      <c r="CH336" s="12"/>
      <c r="CI336" s="12"/>
      <c r="CJ336" s="12"/>
      <c r="CK336" s="12"/>
      <c r="CL336" s="12"/>
      <c r="CM336" s="12"/>
      <c r="CN336" s="12"/>
      <c r="CO336" s="12"/>
      <c r="CP336" s="12"/>
      <c r="CQ336" s="12"/>
      <c r="CR336" s="12"/>
      <c r="CS336" s="12"/>
      <c r="CT336" s="12"/>
      <c r="CU336" s="12"/>
      <c r="CV336" s="12"/>
      <c r="CW336" s="12"/>
      <c r="CX336" s="12"/>
      <c r="CY336" s="12"/>
      <c r="CZ336" s="12"/>
      <c r="DA336" s="12"/>
      <c r="DB336" s="12"/>
      <c r="DC336" s="12"/>
      <c r="DD336" s="12"/>
      <c r="DE336" s="12"/>
    </row>
    <row r="337" spans="1:36" s="173" customFormat="1" ht="267.75" x14ac:dyDescent="0.25">
      <c r="A337" s="5">
        <f t="shared" si="183"/>
        <v>334</v>
      </c>
      <c r="B337" s="15">
        <v>119983</v>
      </c>
      <c r="C337" s="6">
        <v>58</v>
      </c>
      <c r="D337" s="5" t="s">
        <v>143</v>
      </c>
      <c r="E337" s="24" t="s">
        <v>110</v>
      </c>
      <c r="F337" s="8" t="s">
        <v>120</v>
      </c>
      <c r="G337" s="5" t="s">
        <v>1649</v>
      </c>
      <c r="H337" s="5" t="s">
        <v>159</v>
      </c>
      <c r="I337" s="74" t="s">
        <v>121</v>
      </c>
      <c r="J337" s="2">
        <v>42963</v>
      </c>
      <c r="K337" s="2">
        <v>44424</v>
      </c>
      <c r="L337" s="16">
        <f t="shared" si="175"/>
        <v>83.983862872994763</v>
      </c>
      <c r="M337" s="5" t="s">
        <v>136</v>
      </c>
      <c r="N337" s="5" t="s">
        <v>262</v>
      </c>
      <c r="O337" s="5" t="s">
        <v>262</v>
      </c>
      <c r="P337" s="3" t="s">
        <v>138</v>
      </c>
      <c r="Q337" s="5" t="s">
        <v>34</v>
      </c>
      <c r="R337" s="9">
        <f t="shared" ref="R337:R368" si="184">S337+T337</f>
        <v>8062160.4699999997</v>
      </c>
      <c r="S337" s="9">
        <v>6501430</v>
      </c>
      <c r="T337" s="9">
        <v>1560730.47</v>
      </c>
      <c r="U337" s="9">
        <f t="shared" si="181"/>
        <v>0</v>
      </c>
      <c r="V337" s="53">
        <v>0</v>
      </c>
      <c r="W337" s="53">
        <v>0</v>
      </c>
      <c r="X337" s="9">
        <f t="shared" ref="X337:X368" si="185">Y337+Z337</f>
        <v>1537493.79</v>
      </c>
      <c r="Y337" s="9">
        <v>1147311.17</v>
      </c>
      <c r="Z337" s="9">
        <v>390182.62</v>
      </c>
      <c r="AA337" s="9">
        <f t="shared" ref="AA337:AA368" si="186">AB337+AC337</f>
        <v>0</v>
      </c>
      <c r="AB337" s="9">
        <v>0</v>
      </c>
      <c r="AC337" s="9">
        <v>0</v>
      </c>
      <c r="AD337" s="44">
        <f t="shared" si="182"/>
        <v>9599654.2599999998</v>
      </c>
      <c r="AE337" s="9">
        <v>655333</v>
      </c>
      <c r="AF337" s="9">
        <f t="shared" ref="AF337:AF368" si="187">AD337+AE337</f>
        <v>10254987.26</v>
      </c>
      <c r="AG337" s="59" t="s">
        <v>515</v>
      </c>
      <c r="AH337" s="13" t="s">
        <v>1957</v>
      </c>
      <c r="AI337" s="1">
        <f>27068+159937+61959.1+719797.57+221414.47+187753.57+107980.58+122867.55</f>
        <v>1608777.84</v>
      </c>
      <c r="AJ337" s="177">
        <v>0</v>
      </c>
    </row>
    <row r="338" spans="1:36" ht="267.75" x14ac:dyDescent="0.25">
      <c r="A338" s="5">
        <f t="shared" si="183"/>
        <v>335</v>
      </c>
      <c r="B338" s="15">
        <v>119957</v>
      </c>
      <c r="C338" s="6">
        <v>136</v>
      </c>
      <c r="D338" s="5" t="s">
        <v>146</v>
      </c>
      <c r="E338" s="24" t="s">
        <v>126</v>
      </c>
      <c r="F338" s="8" t="s">
        <v>127</v>
      </c>
      <c r="G338" s="5" t="s">
        <v>74</v>
      </c>
      <c r="H338" s="5" t="s">
        <v>1609</v>
      </c>
      <c r="I338" s="74" t="s">
        <v>128</v>
      </c>
      <c r="J338" s="2">
        <v>43047</v>
      </c>
      <c r="K338" s="2">
        <v>44689</v>
      </c>
      <c r="L338" s="16">
        <f t="shared" si="175"/>
        <v>83.983862817182768</v>
      </c>
      <c r="M338" s="5" t="s">
        <v>136</v>
      </c>
      <c r="N338" s="5" t="s">
        <v>262</v>
      </c>
      <c r="O338" s="5" t="s">
        <v>262</v>
      </c>
      <c r="P338" s="3" t="s">
        <v>138</v>
      </c>
      <c r="Q338" s="5" t="s">
        <v>34</v>
      </c>
      <c r="R338" s="9">
        <f t="shared" si="184"/>
        <v>30125053.869999997</v>
      </c>
      <c r="S338" s="9">
        <v>24293231.27</v>
      </c>
      <c r="T338" s="9">
        <v>5831822.5999999996</v>
      </c>
      <c r="U338" s="9">
        <f t="shared" si="181"/>
        <v>0</v>
      </c>
      <c r="V338" s="53">
        <v>0</v>
      </c>
      <c r="W338" s="53">
        <v>0</v>
      </c>
      <c r="X338" s="9">
        <f t="shared" si="185"/>
        <v>5744996.4699999997</v>
      </c>
      <c r="Y338" s="9">
        <v>4287040.8499999996</v>
      </c>
      <c r="Z338" s="9">
        <v>1457955.62</v>
      </c>
      <c r="AA338" s="9">
        <f t="shared" si="186"/>
        <v>0</v>
      </c>
      <c r="AB338" s="9">
        <v>0</v>
      </c>
      <c r="AC338" s="9">
        <v>0</v>
      </c>
      <c r="AD338" s="44">
        <f t="shared" si="182"/>
        <v>35870050.339999996</v>
      </c>
      <c r="AE338" s="9">
        <v>0</v>
      </c>
      <c r="AF338" s="9">
        <f t="shared" si="187"/>
        <v>35870050.339999996</v>
      </c>
      <c r="AG338" s="59" t="s">
        <v>515</v>
      </c>
      <c r="AH338" s="13" t="s">
        <v>2194</v>
      </c>
      <c r="AI338" s="1">
        <f>2761684.65+10585240.81+72837.53+264408.01+275499.82+1926939.26+6815712.67+179426.49+175361.67</f>
        <v>23057110.91</v>
      </c>
      <c r="AJ338" s="177">
        <v>0</v>
      </c>
    </row>
    <row r="339" spans="1:36" ht="141.75" x14ac:dyDescent="0.25">
      <c r="A339" s="5">
        <f t="shared" si="183"/>
        <v>336</v>
      </c>
      <c r="B339" s="15">
        <v>110215</v>
      </c>
      <c r="C339" s="6">
        <v>139</v>
      </c>
      <c r="D339" s="5" t="s">
        <v>143</v>
      </c>
      <c r="E339" s="17" t="s">
        <v>271</v>
      </c>
      <c r="F339" s="3" t="s">
        <v>941</v>
      </c>
      <c r="G339" s="3" t="s">
        <v>942</v>
      </c>
      <c r="H339" s="5" t="s">
        <v>296</v>
      </c>
      <c r="I339" s="14" t="s">
        <v>943</v>
      </c>
      <c r="J339" s="2">
        <v>43357</v>
      </c>
      <c r="K339" s="2">
        <v>43844</v>
      </c>
      <c r="L339" s="16">
        <f t="shared" si="175"/>
        <v>82.304183894733001</v>
      </c>
      <c r="M339" s="5" t="s">
        <v>273</v>
      </c>
      <c r="N339" s="5" t="s">
        <v>944</v>
      </c>
      <c r="O339" s="5" t="s">
        <v>944</v>
      </c>
      <c r="P339" s="3" t="s">
        <v>275</v>
      </c>
      <c r="Q339" s="18" t="s">
        <v>34</v>
      </c>
      <c r="R339" s="9">
        <f t="shared" si="184"/>
        <v>799287.37</v>
      </c>
      <c r="S339" s="9">
        <v>644555.61</v>
      </c>
      <c r="T339" s="9">
        <v>154731.76</v>
      </c>
      <c r="U339" s="9">
        <f t="shared" si="181"/>
        <v>152428.06</v>
      </c>
      <c r="V339" s="53">
        <v>113745.12</v>
      </c>
      <c r="W339" s="53">
        <v>38682.94</v>
      </c>
      <c r="X339" s="9">
        <f t="shared" si="185"/>
        <v>0</v>
      </c>
      <c r="Y339" s="9">
        <v>0</v>
      </c>
      <c r="Z339" s="9">
        <v>0</v>
      </c>
      <c r="AA339" s="9">
        <f t="shared" si="186"/>
        <v>19422.77</v>
      </c>
      <c r="AB339" s="9">
        <v>15475.55</v>
      </c>
      <c r="AC339" s="9">
        <v>3947.22</v>
      </c>
      <c r="AD339" s="44">
        <f t="shared" si="182"/>
        <v>971138.2</v>
      </c>
      <c r="AE339" s="9">
        <v>0</v>
      </c>
      <c r="AF339" s="9">
        <f t="shared" si="187"/>
        <v>971138.2</v>
      </c>
      <c r="AG339" s="59" t="s">
        <v>966</v>
      </c>
      <c r="AH339" s="13" t="s">
        <v>1398</v>
      </c>
      <c r="AI339" s="1">
        <f>97000-12225.11+76329.94+54447.72+71579.61+92674.11+104473.49+126688.56+96579.85-13634.34-3831.78</f>
        <v>690082.05</v>
      </c>
      <c r="AJ339" s="169">
        <f>12225.11+10383.44+13650.58+17673.4+19923.6+24160.13+18418.25+13634.34+1533.19</f>
        <v>131602.04</v>
      </c>
    </row>
    <row r="340" spans="1:36" ht="141.75" x14ac:dyDescent="0.25">
      <c r="A340" s="5">
        <f t="shared" si="183"/>
        <v>337</v>
      </c>
      <c r="B340" s="15">
        <v>111983</v>
      </c>
      <c r="C340" s="6">
        <v>238</v>
      </c>
      <c r="D340" s="5" t="s">
        <v>143</v>
      </c>
      <c r="E340" s="17" t="s">
        <v>271</v>
      </c>
      <c r="F340" s="17" t="s">
        <v>546</v>
      </c>
      <c r="G340" s="5" t="s">
        <v>547</v>
      </c>
      <c r="H340" s="5" t="s">
        <v>362</v>
      </c>
      <c r="I340" s="41" t="s">
        <v>548</v>
      </c>
      <c r="J340" s="2">
        <v>43270</v>
      </c>
      <c r="K340" s="2">
        <v>43880</v>
      </c>
      <c r="L340" s="16">
        <f t="shared" si="175"/>
        <v>82.304184684756876</v>
      </c>
      <c r="M340" s="5" t="s">
        <v>273</v>
      </c>
      <c r="N340" s="5" t="s">
        <v>262</v>
      </c>
      <c r="O340" s="5" t="s">
        <v>262</v>
      </c>
      <c r="P340" s="3" t="s">
        <v>275</v>
      </c>
      <c r="Q340" s="5" t="s">
        <v>34</v>
      </c>
      <c r="R340" s="9">
        <f t="shared" si="184"/>
        <v>768299.49</v>
      </c>
      <c r="S340" s="9">
        <v>619566.6</v>
      </c>
      <c r="T340" s="9">
        <v>148732.89000000001</v>
      </c>
      <c r="U340" s="9">
        <f t="shared" si="181"/>
        <v>146518.51</v>
      </c>
      <c r="V340" s="53">
        <v>109335.29</v>
      </c>
      <c r="W340" s="53">
        <v>37183.22</v>
      </c>
      <c r="X340" s="9">
        <f t="shared" si="185"/>
        <v>0</v>
      </c>
      <c r="Y340" s="9">
        <v>0</v>
      </c>
      <c r="Z340" s="9">
        <v>0</v>
      </c>
      <c r="AA340" s="9">
        <f t="shared" si="186"/>
        <v>18669.759999999998</v>
      </c>
      <c r="AB340" s="9">
        <v>14875.55</v>
      </c>
      <c r="AC340" s="9">
        <v>3794.21</v>
      </c>
      <c r="AD340" s="44">
        <f t="shared" si="182"/>
        <v>933487.76</v>
      </c>
      <c r="AE340" s="9">
        <v>0</v>
      </c>
      <c r="AF340" s="9">
        <f t="shared" si="187"/>
        <v>933487.76</v>
      </c>
      <c r="AG340" s="59" t="s">
        <v>966</v>
      </c>
      <c r="AH340" s="13" t="s">
        <v>1643</v>
      </c>
      <c r="AI340" s="1">
        <f>412300.12+97046.16+93000+18147.29+37314.74</f>
        <v>657808.31000000006</v>
      </c>
      <c r="AJ340" s="169">
        <f>11017.56+15316.94+17051+17506.62+36242.76+21196.3+7116.12</f>
        <v>125447.3</v>
      </c>
    </row>
    <row r="341" spans="1:36" ht="204.75" x14ac:dyDescent="0.25">
      <c r="A341" s="5">
        <f t="shared" si="183"/>
        <v>338</v>
      </c>
      <c r="B341" s="15">
        <v>115784</v>
      </c>
      <c r="C341" s="5">
        <v>388</v>
      </c>
      <c r="D341" s="29" t="s">
        <v>143</v>
      </c>
      <c r="E341" s="178" t="s">
        <v>385</v>
      </c>
      <c r="F341" s="17" t="s">
        <v>701</v>
      </c>
      <c r="G341" s="62" t="s">
        <v>2095</v>
      </c>
      <c r="H341" s="5" t="s">
        <v>296</v>
      </c>
      <c r="I341" s="14" t="s">
        <v>702</v>
      </c>
      <c r="J341" s="2">
        <v>43297</v>
      </c>
      <c r="K341" s="2">
        <v>44393</v>
      </c>
      <c r="L341" s="16">
        <f t="shared" si="175"/>
        <v>83.98386387291859</v>
      </c>
      <c r="M341" s="5" t="s">
        <v>273</v>
      </c>
      <c r="N341" s="5" t="s">
        <v>262</v>
      </c>
      <c r="O341" s="5" t="s">
        <v>262</v>
      </c>
      <c r="P341" s="3" t="s">
        <v>138</v>
      </c>
      <c r="Q341" s="5" t="s">
        <v>34</v>
      </c>
      <c r="R341" s="9">
        <f t="shared" si="184"/>
        <v>2474673.11</v>
      </c>
      <c r="S341" s="9">
        <v>1995608.26</v>
      </c>
      <c r="T341" s="9">
        <v>479064.85</v>
      </c>
      <c r="U341" s="9">
        <f t="shared" si="181"/>
        <v>0</v>
      </c>
      <c r="V341" s="53">
        <v>0</v>
      </c>
      <c r="W341" s="53">
        <v>0</v>
      </c>
      <c r="X341" s="9">
        <f t="shared" si="185"/>
        <v>471932.34</v>
      </c>
      <c r="Y341" s="9">
        <v>352166.13</v>
      </c>
      <c r="Z341" s="9">
        <v>119766.21</v>
      </c>
      <c r="AA341" s="9">
        <f t="shared" si="186"/>
        <v>0</v>
      </c>
      <c r="AB341" s="9">
        <v>0</v>
      </c>
      <c r="AC341" s="9">
        <v>0</v>
      </c>
      <c r="AD341" s="44">
        <f t="shared" si="182"/>
        <v>2946605.4499999997</v>
      </c>
      <c r="AE341" s="9">
        <v>0</v>
      </c>
      <c r="AF341" s="9">
        <f t="shared" si="187"/>
        <v>2946605.4499999997</v>
      </c>
      <c r="AG341" s="59" t="s">
        <v>515</v>
      </c>
      <c r="AH341" s="13" t="s">
        <v>1969</v>
      </c>
      <c r="AI341" s="1">
        <f>547571.35+72285.77+349506.55+195854.16</f>
        <v>1165217.8299999998</v>
      </c>
      <c r="AJ341" s="169">
        <v>0</v>
      </c>
    </row>
    <row r="342" spans="1:36" ht="141.75" x14ac:dyDescent="0.25">
      <c r="A342" s="5">
        <f t="shared" si="183"/>
        <v>339</v>
      </c>
      <c r="B342" s="15">
        <v>120082</v>
      </c>
      <c r="C342" s="6">
        <v>56</v>
      </c>
      <c r="D342" s="5" t="s">
        <v>145</v>
      </c>
      <c r="E342" s="24" t="s">
        <v>123</v>
      </c>
      <c r="F342" s="8" t="s">
        <v>124</v>
      </c>
      <c r="G342" s="5" t="s">
        <v>122</v>
      </c>
      <c r="H342" s="5" t="s">
        <v>167</v>
      </c>
      <c r="I342" s="74" t="s">
        <v>125</v>
      </c>
      <c r="J342" s="2">
        <v>43006</v>
      </c>
      <c r="K342" s="2">
        <v>44770</v>
      </c>
      <c r="L342" s="16">
        <f t="shared" si="175"/>
        <v>83.98386279749451</v>
      </c>
      <c r="M342" s="5" t="s">
        <v>136</v>
      </c>
      <c r="N342" s="5" t="s">
        <v>262</v>
      </c>
      <c r="O342" s="5" t="s">
        <v>262</v>
      </c>
      <c r="P342" s="3" t="s">
        <v>138</v>
      </c>
      <c r="Q342" s="5" t="s">
        <v>34</v>
      </c>
      <c r="R342" s="9">
        <f t="shared" si="184"/>
        <v>5145385.2700000005</v>
      </c>
      <c r="S342" s="9">
        <v>4149304.93</v>
      </c>
      <c r="T342" s="9">
        <v>996080.34</v>
      </c>
      <c r="U342" s="9">
        <f t="shared" si="181"/>
        <v>0</v>
      </c>
      <c r="V342" s="53">
        <v>0</v>
      </c>
      <c r="W342" s="53">
        <v>0</v>
      </c>
      <c r="X342" s="9">
        <f t="shared" si="185"/>
        <v>981250.37</v>
      </c>
      <c r="Y342" s="9">
        <v>732230.28</v>
      </c>
      <c r="Z342" s="9">
        <v>249020.09</v>
      </c>
      <c r="AA342" s="9">
        <f t="shared" si="186"/>
        <v>0</v>
      </c>
      <c r="AB342" s="9">
        <v>0</v>
      </c>
      <c r="AC342" s="9">
        <v>0</v>
      </c>
      <c r="AD342" s="44">
        <f t="shared" si="182"/>
        <v>6126635.6400000006</v>
      </c>
      <c r="AE342" s="9">
        <v>0</v>
      </c>
      <c r="AF342" s="9">
        <f t="shared" si="187"/>
        <v>6126635.6400000006</v>
      </c>
      <c r="AG342" s="59" t="s">
        <v>515</v>
      </c>
      <c r="AH342" s="50" t="s">
        <v>2178</v>
      </c>
      <c r="AI342" s="1">
        <f>15818.36+6578.46+48495.02+338393.1+955095.55+38821.54</f>
        <v>1403202.03</v>
      </c>
      <c r="AJ342" s="169">
        <v>0</v>
      </c>
    </row>
    <row r="343" spans="1:36" ht="141.75" x14ac:dyDescent="0.25">
      <c r="A343" s="5">
        <f t="shared" si="183"/>
        <v>340</v>
      </c>
      <c r="B343" s="15">
        <v>120126</v>
      </c>
      <c r="C343" s="6">
        <v>57</v>
      </c>
      <c r="D343" s="5" t="s">
        <v>145</v>
      </c>
      <c r="E343" s="24" t="s">
        <v>123</v>
      </c>
      <c r="F343" s="8" t="s">
        <v>102</v>
      </c>
      <c r="G343" s="5" t="s">
        <v>99</v>
      </c>
      <c r="H343" s="5" t="s">
        <v>151</v>
      </c>
      <c r="I343" s="74" t="s">
        <v>103</v>
      </c>
      <c r="J343" s="2">
        <v>43060</v>
      </c>
      <c r="K343" s="2">
        <v>44398</v>
      </c>
      <c r="L343" s="16">
        <f t="shared" si="175"/>
        <v>83.983863040591004</v>
      </c>
      <c r="M343" s="5" t="s">
        <v>136</v>
      </c>
      <c r="N343" s="5" t="s">
        <v>262</v>
      </c>
      <c r="O343" s="5" t="s">
        <v>262</v>
      </c>
      <c r="P343" s="3" t="s">
        <v>138</v>
      </c>
      <c r="Q343" s="5" t="s">
        <v>34</v>
      </c>
      <c r="R343" s="9">
        <f t="shared" si="184"/>
        <v>2709276.17</v>
      </c>
      <c r="S343" s="9">
        <v>2184795.1800000002</v>
      </c>
      <c r="T343" s="9">
        <v>524480.99</v>
      </c>
      <c r="U343" s="9">
        <f t="shared" si="181"/>
        <v>0</v>
      </c>
      <c r="V343" s="53">
        <v>0</v>
      </c>
      <c r="W343" s="53">
        <v>0</v>
      </c>
      <c r="X343" s="9">
        <f t="shared" si="185"/>
        <v>516672.33</v>
      </c>
      <c r="Y343" s="9">
        <v>385552.09</v>
      </c>
      <c r="Z343" s="9">
        <v>131120.24</v>
      </c>
      <c r="AA343" s="9">
        <f t="shared" si="186"/>
        <v>0</v>
      </c>
      <c r="AB343" s="9">
        <v>0</v>
      </c>
      <c r="AC343" s="9">
        <v>0</v>
      </c>
      <c r="AD343" s="44">
        <f t="shared" si="182"/>
        <v>3225948.5</v>
      </c>
      <c r="AE343" s="9">
        <v>0</v>
      </c>
      <c r="AF343" s="9">
        <f t="shared" si="187"/>
        <v>3225948.5</v>
      </c>
      <c r="AG343" s="59" t="s">
        <v>515</v>
      </c>
      <c r="AH343" s="179" t="s">
        <v>2149</v>
      </c>
      <c r="AI343" s="1">
        <f>159377.85+1198087.28</f>
        <v>1357465.1300000001</v>
      </c>
      <c r="AJ343" s="169">
        <v>0</v>
      </c>
    </row>
    <row r="344" spans="1:36" ht="362.25" x14ac:dyDescent="0.25">
      <c r="A344" s="5">
        <f t="shared" si="183"/>
        <v>341</v>
      </c>
      <c r="B344" s="15">
        <v>116172</v>
      </c>
      <c r="C344" s="6">
        <v>391</v>
      </c>
      <c r="D344" s="5" t="s">
        <v>143</v>
      </c>
      <c r="E344" s="17" t="s">
        <v>385</v>
      </c>
      <c r="F344" s="17" t="s">
        <v>396</v>
      </c>
      <c r="G344" s="3" t="s">
        <v>2042</v>
      </c>
      <c r="H344" s="3" t="s">
        <v>397</v>
      </c>
      <c r="I344" s="41" t="s">
        <v>463</v>
      </c>
      <c r="J344" s="2">
        <v>43230</v>
      </c>
      <c r="K344" s="2">
        <v>44540</v>
      </c>
      <c r="L344" s="16">
        <f t="shared" si="175"/>
        <v>83.983863294962376</v>
      </c>
      <c r="M344" s="5" t="s">
        <v>273</v>
      </c>
      <c r="N344" s="5" t="s">
        <v>307</v>
      </c>
      <c r="O344" s="5" t="s">
        <v>307</v>
      </c>
      <c r="P344" s="3" t="s">
        <v>138</v>
      </c>
      <c r="Q344" s="5" t="s">
        <v>34</v>
      </c>
      <c r="R344" s="9">
        <f t="shared" si="184"/>
        <v>6195493.8532512449</v>
      </c>
      <c r="S344" s="9">
        <v>4996126.0052711423</v>
      </c>
      <c r="T344" s="9">
        <v>1199367.8479801028</v>
      </c>
      <c r="U344" s="9">
        <f t="shared" si="181"/>
        <v>0</v>
      </c>
      <c r="V344" s="53">
        <v>0</v>
      </c>
      <c r="W344" s="53">
        <v>0</v>
      </c>
      <c r="X344" s="9">
        <f t="shared" si="185"/>
        <v>1181511.2167487564</v>
      </c>
      <c r="Y344" s="9">
        <v>881669.26776407822</v>
      </c>
      <c r="Z344" s="9">
        <v>299841.94898467819</v>
      </c>
      <c r="AA344" s="9">
        <f t="shared" si="186"/>
        <v>0</v>
      </c>
      <c r="AB344" s="9">
        <v>0</v>
      </c>
      <c r="AC344" s="9">
        <v>0</v>
      </c>
      <c r="AD344" s="44">
        <f t="shared" si="182"/>
        <v>7377005.0700000012</v>
      </c>
      <c r="AE344" s="9">
        <v>416388</v>
      </c>
      <c r="AF344" s="9">
        <f t="shared" si="187"/>
        <v>7793393.0700000012</v>
      </c>
      <c r="AG344" s="59" t="s">
        <v>515</v>
      </c>
      <c r="AH344" s="13" t="s">
        <v>2167</v>
      </c>
      <c r="AI344" s="1">
        <f>306350.64+37282.12+71590.36+880535.54</f>
        <v>1295758.6600000001</v>
      </c>
      <c r="AJ344" s="169">
        <v>0</v>
      </c>
    </row>
    <row r="345" spans="1:36" s="173" customFormat="1" ht="204.75" x14ac:dyDescent="0.25">
      <c r="A345" s="5">
        <f t="shared" si="183"/>
        <v>342</v>
      </c>
      <c r="B345" s="15">
        <v>118963</v>
      </c>
      <c r="C345" s="6">
        <v>34</v>
      </c>
      <c r="D345" s="8" t="s">
        <v>1986</v>
      </c>
      <c r="E345" s="24" t="s">
        <v>147</v>
      </c>
      <c r="F345" s="8" t="s">
        <v>88</v>
      </c>
      <c r="G345" s="5" t="s">
        <v>74</v>
      </c>
      <c r="H345" s="5" t="s">
        <v>484</v>
      </c>
      <c r="I345" s="74" t="s">
        <v>89</v>
      </c>
      <c r="J345" s="2">
        <v>42629</v>
      </c>
      <c r="K345" s="2">
        <v>43540</v>
      </c>
      <c r="L345" s="16">
        <f t="shared" si="175"/>
        <v>83.983862803496507</v>
      </c>
      <c r="M345" s="5" t="s">
        <v>136</v>
      </c>
      <c r="N345" s="5" t="s">
        <v>262</v>
      </c>
      <c r="O345" s="5" t="s">
        <v>262</v>
      </c>
      <c r="P345" s="3" t="s">
        <v>138</v>
      </c>
      <c r="Q345" s="5" t="s">
        <v>34</v>
      </c>
      <c r="R345" s="9">
        <f t="shared" si="184"/>
        <v>4117071.25</v>
      </c>
      <c r="S345" s="9">
        <v>3320059.26</v>
      </c>
      <c r="T345" s="9">
        <v>797011.99</v>
      </c>
      <c r="U345" s="9">
        <f t="shared" ref="U345:U376" si="188">V345+W345</f>
        <v>0</v>
      </c>
      <c r="V345" s="53">
        <v>0</v>
      </c>
      <c r="W345" s="53">
        <v>0</v>
      </c>
      <c r="X345" s="9">
        <f t="shared" si="185"/>
        <v>785145.81</v>
      </c>
      <c r="Y345" s="9">
        <v>585892.81000000006</v>
      </c>
      <c r="Z345" s="9">
        <v>199253</v>
      </c>
      <c r="AA345" s="9">
        <f t="shared" si="186"/>
        <v>0</v>
      </c>
      <c r="AB345" s="9">
        <v>0</v>
      </c>
      <c r="AC345" s="9">
        <v>0</v>
      </c>
      <c r="AD345" s="44">
        <f t="shared" si="182"/>
        <v>4902217.0600000005</v>
      </c>
      <c r="AE345" s="9">
        <v>0</v>
      </c>
      <c r="AF345" s="9">
        <f t="shared" si="187"/>
        <v>4902217.0600000005</v>
      </c>
      <c r="AG345" s="49" t="s">
        <v>966</v>
      </c>
      <c r="AH345" s="13" t="s">
        <v>153</v>
      </c>
      <c r="AI345" s="1">
        <f>1460741.83+228438.52+391513.86+234930.38+421082.6+869050.66+18896.37</f>
        <v>3624654.22</v>
      </c>
      <c r="AJ345" s="169">
        <v>0</v>
      </c>
    </row>
    <row r="346" spans="1:36" s="173" customFormat="1" ht="141.75" x14ac:dyDescent="0.25">
      <c r="A346" s="5">
        <f t="shared" si="183"/>
        <v>343</v>
      </c>
      <c r="B346" s="15">
        <v>118964</v>
      </c>
      <c r="C346" s="6">
        <v>35</v>
      </c>
      <c r="D346" s="8" t="s">
        <v>1986</v>
      </c>
      <c r="E346" s="24" t="s">
        <v>147</v>
      </c>
      <c r="F346" s="8" t="s">
        <v>90</v>
      </c>
      <c r="G346" s="5" t="s">
        <v>74</v>
      </c>
      <c r="H346" s="5" t="s">
        <v>755</v>
      </c>
      <c r="I346" s="74" t="s">
        <v>91</v>
      </c>
      <c r="J346" s="2">
        <v>42670</v>
      </c>
      <c r="K346" s="2">
        <v>43796</v>
      </c>
      <c r="L346" s="16">
        <f t="shared" si="175"/>
        <v>83.983860041638508</v>
      </c>
      <c r="M346" s="5" t="s">
        <v>136</v>
      </c>
      <c r="N346" s="5" t="s">
        <v>262</v>
      </c>
      <c r="O346" s="5" t="s">
        <v>262</v>
      </c>
      <c r="P346" s="3" t="s">
        <v>138</v>
      </c>
      <c r="Q346" s="5" t="s">
        <v>34</v>
      </c>
      <c r="R346" s="9">
        <f t="shared" si="184"/>
        <v>1279634.26</v>
      </c>
      <c r="S346" s="9">
        <v>1031913.55</v>
      </c>
      <c r="T346" s="9">
        <v>247720.71</v>
      </c>
      <c r="U346" s="9">
        <f t="shared" si="188"/>
        <v>0</v>
      </c>
      <c r="V346" s="53">
        <v>0</v>
      </c>
      <c r="W346" s="53">
        <v>0</v>
      </c>
      <c r="X346" s="9">
        <f t="shared" si="185"/>
        <v>244032.62</v>
      </c>
      <c r="Y346" s="9">
        <v>182102.42</v>
      </c>
      <c r="Z346" s="9">
        <v>61930.2</v>
      </c>
      <c r="AA346" s="9">
        <f t="shared" si="186"/>
        <v>0</v>
      </c>
      <c r="AB346" s="9">
        <v>0</v>
      </c>
      <c r="AC346" s="9">
        <v>0</v>
      </c>
      <c r="AD346" s="44">
        <f t="shared" si="182"/>
        <v>1523666.88</v>
      </c>
      <c r="AE346" s="9">
        <v>0</v>
      </c>
      <c r="AF346" s="9">
        <f t="shared" si="187"/>
        <v>1523666.88</v>
      </c>
      <c r="AG346" s="49" t="s">
        <v>966</v>
      </c>
      <c r="AH346" s="13" t="s">
        <v>1415</v>
      </c>
      <c r="AI346" s="1">
        <f>122689.41+119337.51+49801.59+108022.55+173686.44+582492.4</f>
        <v>1156029.8999999999</v>
      </c>
      <c r="AJ346" s="169">
        <v>0</v>
      </c>
    </row>
    <row r="347" spans="1:36" s="173" customFormat="1" ht="141.75" x14ac:dyDescent="0.25">
      <c r="A347" s="5">
        <f t="shared" si="183"/>
        <v>344</v>
      </c>
      <c r="B347" s="15">
        <v>119981</v>
      </c>
      <c r="C347" s="6">
        <v>36</v>
      </c>
      <c r="D347" s="8" t="s">
        <v>1986</v>
      </c>
      <c r="E347" s="24" t="s">
        <v>147</v>
      </c>
      <c r="F347" s="8" t="s">
        <v>92</v>
      </c>
      <c r="G347" s="5" t="s">
        <v>71</v>
      </c>
      <c r="H347" s="5" t="s">
        <v>151</v>
      </c>
      <c r="I347" s="74" t="s">
        <v>93</v>
      </c>
      <c r="J347" s="2">
        <v>42579</v>
      </c>
      <c r="K347" s="2">
        <v>43462</v>
      </c>
      <c r="L347" s="16">
        <f t="shared" si="175"/>
        <v>83.983863111728837</v>
      </c>
      <c r="M347" s="5" t="s">
        <v>136</v>
      </c>
      <c r="N347" s="5" t="s">
        <v>262</v>
      </c>
      <c r="O347" s="5" t="s">
        <v>262</v>
      </c>
      <c r="P347" s="3" t="s">
        <v>138</v>
      </c>
      <c r="Q347" s="5" t="s">
        <v>34</v>
      </c>
      <c r="R347" s="9">
        <f t="shared" si="184"/>
        <v>1627939.8599999999</v>
      </c>
      <c r="S347" s="9">
        <v>1312791.6599999999</v>
      </c>
      <c r="T347" s="9">
        <v>315148.2</v>
      </c>
      <c r="U347" s="9">
        <f t="shared" si="188"/>
        <v>0</v>
      </c>
      <c r="V347" s="53">
        <v>0</v>
      </c>
      <c r="W347" s="53">
        <v>0</v>
      </c>
      <c r="X347" s="9">
        <f t="shared" si="185"/>
        <v>310456.15999999997</v>
      </c>
      <c r="Y347" s="9">
        <v>231669.11</v>
      </c>
      <c r="Z347" s="9">
        <v>78787.05</v>
      </c>
      <c r="AA347" s="9">
        <f t="shared" si="186"/>
        <v>0</v>
      </c>
      <c r="AB347" s="9">
        <v>0</v>
      </c>
      <c r="AC347" s="9">
        <v>0</v>
      </c>
      <c r="AD347" s="44">
        <f t="shared" si="182"/>
        <v>1938396.0199999998</v>
      </c>
      <c r="AE347" s="9">
        <v>0</v>
      </c>
      <c r="AF347" s="9">
        <f t="shared" si="187"/>
        <v>1938396.0199999998</v>
      </c>
      <c r="AG347" s="49" t="s">
        <v>966</v>
      </c>
      <c r="AH347" s="13" t="s">
        <v>154</v>
      </c>
      <c r="AI347" s="1">
        <f>559604.06+125761.16+33457.13+622518.23+7475.79+33855.21+3996.8</f>
        <v>1386668.3800000001</v>
      </c>
      <c r="AJ347" s="169">
        <v>0</v>
      </c>
    </row>
    <row r="348" spans="1:36" s="173" customFormat="1" ht="157.5" x14ac:dyDescent="0.25">
      <c r="A348" s="5">
        <f t="shared" si="183"/>
        <v>345</v>
      </c>
      <c r="B348" s="15">
        <v>120414</v>
      </c>
      <c r="C348" s="6">
        <v>61</v>
      </c>
      <c r="D348" s="8" t="s">
        <v>1986</v>
      </c>
      <c r="E348" s="24" t="s">
        <v>129</v>
      </c>
      <c r="F348" s="8" t="s">
        <v>130</v>
      </c>
      <c r="G348" s="3" t="s">
        <v>2098</v>
      </c>
      <c r="H348" s="5" t="s">
        <v>151</v>
      </c>
      <c r="I348" s="74" t="s">
        <v>601</v>
      </c>
      <c r="J348" s="2">
        <v>42893</v>
      </c>
      <c r="K348" s="2">
        <v>44172</v>
      </c>
      <c r="L348" s="16">
        <f t="shared" si="175"/>
        <v>83.983863338887815</v>
      </c>
      <c r="M348" s="5" t="s">
        <v>136</v>
      </c>
      <c r="N348" s="5" t="s">
        <v>262</v>
      </c>
      <c r="O348" s="5" t="s">
        <v>262</v>
      </c>
      <c r="P348" s="3" t="s">
        <v>138</v>
      </c>
      <c r="Q348" s="5" t="s">
        <v>34</v>
      </c>
      <c r="R348" s="9">
        <f t="shared" si="184"/>
        <v>4817465.95</v>
      </c>
      <c r="S348" s="9">
        <v>3884866.57</v>
      </c>
      <c r="T348" s="9">
        <v>932599.38</v>
      </c>
      <c r="U348" s="9">
        <f t="shared" si="188"/>
        <v>0</v>
      </c>
      <c r="V348" s="53">
        <v>0</v>
      </c>
      <c r="W348" s="53">
        <v>0</v>
      </c>
      <c r="X348" s="9">
        <f t="shared" si="185"/>
        <v>918714.5</v>
      </c>
      <c r="Y348" s="9">
        <v>685564.65</v>
      </c>
      <c r="Z348" s="9">
        <v>233149.85</v>
      </c>
      <c r="AA348" s="9">
        <f t="shared" si="186"/>
        <v>0</v>
      </c>
      <c r="AB348" s="9">
        <v>0</v>
      </c>
      <c r="AC348" s="9">
        <v>0</v>
      </c>
      <c r="AD348" s="44">
        <f t="shared" si="182"/>
        <v>5736180.4500000002</v>
      </c>
      <c r="AE348" s="9">
        <v>0</v>
      </c>
      <c r="AF348" s="9">
        <f t="shared" si="187"/>
        <v>5736180.4500000002</v>
      </c>
      <c r="AG348" s="59" t="s">
        <v>966</v>
      </c>
      <c r="AH348" s="13" t="s">
        <v>1936</v>
      </c>
      <c r="AI348" s="1">
        <f>2217957.44+326592.36+100825.99</f>
        <v>2645375.79</v>
      </c>
      <c r="AJ348" s="1">
        <v>116391.22</v>
      </c>
    </row>
    <row r="349" spans="1:36" ht="267.75" x14ac:dyDescent="0.25">
      <c r="A349" s="5">
        <f t="shared" si="183"/>
        <v>346</v>
      </c>
      <c r="B349" s="15">
        <v>116103</v>
      </c>
      <c r="C349" s="6">
        <v>393</v>
      </c>
      <c r="D349" s="5" t="s">
        <v>143</v>
      </c>
      <c r="E349" s="17" t="s">
        <v>385</v>
      </c>
      <c r="F349" s="3" t="s">
        <v>1098</v>
      </c>
      <c r="G349" s="5" t="s">
        <v>1592</v>
      </c>
      <c r="H349" s="8" t="s">
        <v>1099</v>
      </c>
      <c r="I349" s="41" t="s">
        <v>1100</v>
      </c>
      <c r="J349" s="2">
        <v>43453</v>
      </c>
      <c r="K349" s="2">
        <v>44246</v>
      </c>
      <c r="L349" s="16">
        <f t="shared" si="175"/>
        <v>83.983863795592953</v>
      </c>
      <c r="M349" s="5" t="s">
        <v>273</v>
      </c>
      <c r="N349" s="5" t="s">
        <v>262</v>
      </c>
      <c r="O349" s="5" t="s">
        <v>262</v>
      </c>
      <c r="P349" s="3" t="s">
        <v>138</v>
      </c>
      <c r="Q349" s="5" t="s">
        <v>34</v>
      </c>
      <c r="R349" s="9">
        <f t="shared" si="184"/>
        <v>6662642.3999999994</v>
      </c>
      <c r="S349" s="9">
        <v>5372840.6399999997</v>
      </c>
      <c r="T349" s="9">
        <v>1289801.76</v>
      </c>
      <c r="U349" s="9">
        <f t="shared" si="188"/>
        <v>545363.42999999993</v>
      </c>
      <c r="V349" s="53">
        <v>403028.04</v>
      </c>
      <c r="W349" s="53">
        <v>142335.39000000001</v>
      </c>
      <c r="X349" s="9">
        <f t="shared" si="185"/>
        <v>725235.27</v>
      </c>
      <c r="Y349" s="9">
        <v>545120.19999999995</v>
      </c>
      <c r="Z349" s="9">
        <v>180115.07</v>
      </c>
      <c r="AA349" s="9">
        <f t="shared" si="186"/>
        <v>0</v>
      </c>
      <c r="AB349" s="9">
        <v>0</v>
      </c>
      <c r="AC349" s="9">
        <v>0</v>
      </c>
      <c r="AD349" s="44">
        <f t="shared" si="182"/>
        <v>7933241.0999999996</v>
      </c>
      <c r="AE349" s="10">
        <v>0</v>
      </c>
      <c r="AF349" s="9">
        <f t="shared" si="187"/>
        <v>7933241.0999999996</v>
      </c>
      <c r="AG349" s="59" t="s">
        <v>966</v>
      </c>
      <c r="AH349" s="13" t="s">
        <v>2021</v>
      </c>
      <c r="AI349" s="1">
        <f>389096.78-1942.82+576398.08+532462.27+389096.78+1131389.5+389096.78+586124.42+279664.04+865075.11+534997.11</f>
        <v>5671458.0500000007</v>
      </c>
      <c r="AJ349" s="1">
        <f>30580.48+37794.48+82045.63+142291.25+54004.36+72124.7+46874.39</f>
        <v>465715.29000000004</v>
      </c>
    </row>
    <row r="350" spans="1:36" ht="220.5" x14ac:dyDescent="0.25">
      <c r="A350" s="5">
        <f t="shared" si="183"/>
        <v>347</v>
      </c>
      <c r="B350" s="15">
        <v>116097</v>
      </c>
      <c r="C350" s="6">
        <v>394</v>
      </c>
      <c r="D350" s="29" t="s">
        <v>143</v>
      </c>
      <c r="E350" s="8" t="s">
        <v>385</v>
      </c>
      <c r="F350" s="14" t="s">
        <v>1976</v>
      </c>
      <c r="G350" s="5" t="s">
        <v>1649</v>
      </c>
      <c r="H350" s="5" t="s">
        <v>437</v>
      </c>
      <c r="I350" s="14" t="s">
        <v>632</v>
      </c>
      <c r="J350" s="2">
        <v>43284</v>
      </c>
      <c r="K350" s="2">
        <v>44623</v>
      </c>
      <c r="L350" s="16">
        <f t="shared" si="175"/>
        <v>83.983862774791262</v>
      </c>
      <c r="M350" s="5" t="s">
        <v>273</v>
      </c>
      <c r="N350" s="5" t="s">
        <v>262</v>
      </c>
      <c r="O350" s="5" t="s">
        <v>262</v>
      </c>
      <c r="P350" s="3" t="s">
        <v>138</v>
      </c>
      <c r="Q350" s="5" t="s">
        <v>34</v>
      </c>
      <c r="R350" s="9">
        <f t="shared" si="184"/>
        <v>6396515.5899999999</v>
      </c>
      <c r="S350" s="9">
        <v>5158232.53</v>
      </c>
      <c r="T350" s="9">
        <v>1238283.06</v>
      </c>
      <c r="U350" s="9">
        <f t="shared" si="188"/>
        <v>472527.32999999996</v>
      </c>
      <c r="V350" s="53">
        <v>349201.67</v>
      </c>
      <c r="W350" s="53">
        <v>123325.66</v>
      </c>
      <c r="X350" s="9">
        <f t="shared" si="185"/>
        <v>747319.77</v>
      </c>
      <c r="Y350" s="9">
        <v>561074.66</v>
      </c>
      <c r="Z350" s="9">
        <v>186245.11</v>
      </c>
      <c r="AA350" s="9">
        <f t="shared" si="186"/>
        <v>0</v>
      </c>
      <c r="AB350" s="9">
        <v>0</v>
      </c>
      <c r="AC350" s="9">
        <v>0</v>
      </c>
      <c r="AD350" s="44">
        <f t="shared" si="182"/>
        <v>7616362.6899999995</v>
      </c>
      <c r="AE350" s="9">
        <v>0</v>
      </c>
      <c r="AF350" s="9">
        <f t="shared" si="187"/>
        <v>7616362.6899999995</v>
      </c>
      <c r="AG350" s="59" t="s">
        <v>515</v>
      </c>
      <c r="AH350" s="13" t="s">
        <v>1975</v>
      </c>
      <c r="AI350" s="1">
        <f>253980+93643.83+161611.12+512990.05+229365.98+135687.68</f>
        <v>1387278.66</v>
      </c>
      <c r="AJ350" s="1">
        <f>4416.62+33006.45+50458.66+7659.81+6453.45</f>
        <v>101994.99</v>
      </c>
    </row>
    <row r="351" spans="1:36" ht="126" x14ac:dyDescent="0.25">
      <c r="A351" s="5">
        <f t="shared" si="183"/>
        <v>348</v>
      </c>
      <c r="B351" s="15">
        <v>122485</v>
      </c>
      <c r="C351" s="6">
        <v>38</v>
      </c>
      <c r="D351" s="24" t="s">
        <v>141</v>
      </c>
      <c r="E351" s="24" t="s">
        <v>24</v>
      </c>
      <c r="F351" s="8" t="s">
        <v>26</v>
      </c>
      <c r="G351" s="3" t="s">
        <v>2098</v>
      </c>
      <c r="H351" s="5" t="s">
        <v>151</v>
      </c>
      <c r="I351" s="74" t="s">
        <v>27</v>
      </c>
      <c r="J351" s="2">
        <v>42488</v>
      </c>
      <c r="K351" s="2">
        <v>45288</v>
      </c>
      <c r="L351" s="16">
        <f t="shared" si="175"/>
        <v>84.695097599999997</v>
      </c>
      <c r="M351" s="5" t="s">
        <v>136</v>
      </c>
      <c r="N351" s="5" t="s">
        <v>262</v>
      </c>
      <c r="O351" s="5" t="s">
        <v>262</v>
      </c>
      <c r="P351" s="3" t="s">
        <v>138</v>
      </c>
      <c r="Q351" s="5" t="s">
        <v>25</v>
      </c>
      <c r="R351" s="9">
        <f t="shared" si="184"/>
        <v>16939019.52</v>
      </c>
      <c r="S351" s="9">
        <v>15963331.810000001</v>
      </c>
      <c r="T351" s="9">
        <v>975687.71</v>
      </c>
      <c r="U351" s="9">
        <f t="shared" si="188"/>
        <v>0</v>
      </c>
      <c r="V351" s="53">
        <v>0</v>
      </c>
      <c r="W351" s="53">
        <v>0</v>
      </c>
      <c r="X351" s="9">
        <f t="shared" si="185"/>
        <v>3060980.48</v>
      </c>
      <c r="Y351" s="9">
        <v>2817058.55</v>
      </c>
      <c r="Z351" s="9">
        <v>243921.93</v>
      </c>
      <c r="AA351" s="9">
        <f t="shared" si="186"/>
        <v>0</v>
      </c>
      <c r="AB351" s="9">
        <v>0</v>
      </c>
      <c r="AC351" s="9">
        <v>0</v>
      </c>
      <c r="AD351" s="44">
        <f t="shared" si="182"/>
        <v>20000000</v>
      </c>
      <c r="AE351" s="9">
        <v>200000</v>
      </c>
      <c r="AF351" s="9">
        <f t="shared" si="187"/>
        <v>20200000</v>
      </c>
      <c r="AG351" s="59" t="s">
        <v>515</v>
      </c>
      <c r="AH351" s="13" t="s">
        <v>960</v>
      </c>
      <c r="AI351" s="155">
        <f>367086.52+3723.41+1413.34+18873.79+125767.27+435205.03</f>
        <v>952069.3600000001</v>
      </c>
      <c r="AJ351" s="180">
        <v>0</v>
      </c>
    </row>
    <row r="352" spans="1:36" ht="78.75" x14ac:dyDescent="0.25">
      <c r="A352" s="5">
        <f t="shared" si="183"/>
        <v>349</v>
      </c>
      <c r="B352" s="15">
        <v>122484</v>
      </c>
      <c r="C352" s="6">
        <v>39</v>
      </c>
      <c r="D352" s="24" t="s">
        <v>140</v>
      </c>
      <c r="E352" s="24" t="s">
        <v>24</v>
      </c>
      <c r="F352" s="8" t="s">
        <v>29</v>
      </c>
      <c r="G352" s="3" t="s">
        <v>2098</v>
      </c>
      <c r="H352" s="5" t="s">
        <v>151</v>
      </c>
      <c r="I352" s="74" t="s">
        <v>30</v>
      </c>
      <c r="J352" s="2">
        <v>42488</v>
      </c>
      <c r="K352" s="2">
        <v>45288</v>
      </c>
      <c r="L352" s="16">
        <f t="shared" si="175"/>
        <v>84.695097596566526</v>
      </c>
      <c r="M352" s="5" t="s">
        <v>136</v>
      </c>
      <c r="N352" s="5" t="s">
        <v>262</v>
      </c>
      <c r="O352" s="5" t="s">
        <v>262</v>
      </c>
      <c r="P352" s="3" t="s">
        <v>138</v>
      </c>
      <c r="Q352" s="5" t="s">
        <v>28</v>
      </c>
      <c r="R352" s="9">
        <f t="shared" si="184"/>
        <v>59201873.219999999</v>
      </c>
      <c r="S352" s="9">
        <v>55791844.670000002</v>
      </c>
      <c r="T352" s="9">
        <v>3410028.55</v>
      </c>
      <c r="U352" s="9">
        <f t="shared" si="188"/>
        <v>0</v>
      </c>
      <c r="V352" s="53">
        <v>0</v>
      </c>
      <c r="W352" s="53">
        <v>0</v>
      </c>
      <c r="X352" s="9">
        <f t="shared" si="185"/>
        <v>10698126.780000001</v>
      </c>
      <c r="Y352" s="9">
        <v>9845619.6400000006</v>
      </c>
      <c r="Z352" s="9">
        <v>852507.14</v>
      </c>
      <c r="AA352" s="9">
        <f t="shared" si="186"/>
        <v>0</v>
      </c>
      <c r="AB352" s="9">
        <v>0</v>
      </c>
      <c r="AC352" s="9">
        <v>0</v>
      </c>
      <c r="AD352" s="44">
        <f t="shared" si="182"/>
        <v>69900000</v>
      </c>
      <c r="AE352" s="9">
        <v>600000</v>
      </c>
      <c r="AF352" s="9">
        <f t="shared" si="187"/>
        <v>70500000</v>
      </c>
      <c r="AG352" s="59" t="s">
        <v>515</v>
      </c>
      <c r="AH352" s="13" t="s">
        <v>961</v>
      </c>
      <c r="AI352" s="1">
        <f>1614958.09+116790.02+175736.29+210865.38+813289.51+430129.67+188786.97+358624.07+959420.67+326293.12+124245.52+1025867.42+58346.81</f>
        <v>6403353.5399999991</v>
      </c>
      <c r="AJ352" s="169">
        <v>0</v>
      </c>
    </row>
    <row r="353" spans="1:36" ht="63" x14ac:dyDescent="0.25">
      <c r="A353" s="5">
        <f t="shared" si="183"/>
        <v>350</v>
      </c>
      <c r="B353" s="15">
        <v>122483</v>
      </c>
      <c r="C353" s="6">
        <v>40</v>
      </c>
      <c r="D353" s="24" t="s">
        <v>140</v>
      </c>
      <c r="E353" s="24" t="s">
        <v>24</v>
      </c>
      <c r="F353" s="8" t="s">
        <v>32</v>
      </c>
      <c r="G353" s="3" t="s">
        <v>2098</v>
      </c>
      <c r="H353" s="5" t="s">
        <v>151</v>
      </c>
      <c r="I353" s="74" t="s">
        <v>33</v>
      </c>
      <c r="J353" s="2">
        <v>42488</v>
      </c>
      <c r="K353" s="2">
        <v>45288</v>
      </c>
      <c r="L353" s="16">
        <f t="shared" si="175"/>
        <v>84.695097592232997</v>
      </c>
      <c r="M353" s="5" t="s">
        <v>136</v>
      </c>
      <c r="N353" s="5" t="s">
        <v>262</v>
      </c>
      <c r="O353" s="5" t="s">
        <v>262</v>
      </c>
      <c r="P353" s="3" t="s">
        <v>138</v>
      </c>
      <c r="Q353" s="5" t="s">
        <v>31</v>
      </c>
      <c r="R353" s="9">
        <f t="shared" si="184"/>
        <v>87235950.519999996</v>
      </c>
      <c r="S353" s="9">
        <v>82211158.810000002</v>
      </c>
      <c r="T353" s="9">
        <v>5024791.71</v>
      </c>
      <c r="U353" s="9">
        <f t="shared" si="188"/>
        <v>0</v>
      </c>
      <c r="V353" s="53">
        <v>0</v>
      </c>
      <c r="W353" s="53">
        <v>0</v>
      </c>
      <c r="X353" s="9">
        <f t="shared" si="185"/>
        <v>15764049.48</v>
      </c>
      <c r="Y353" s="9">
        <v>14507851.550000001</v>
      </c>
      <c r="Z353" s="9">
        <v>1256197.93</v>
      </c>
      <c r="AA353" s="9">
        <f t="shared" si="186"/>
        <v>0</v>
      </c>
      <c r="AB353" s="9">
        <v>0</v>
      </c>
      <c r="AC353" s="9">
        <v>0</v>
      </c>
      <c r="AD353" s="44">
        <f t="shared" si="182"/>
        <v>103000000</v>
      </c>
      <c r="AE353" s="9">
        <v>1936000</v>
      </c>
      <c r="AF353" s="9">
        <f t="shared" si="187"/>
        <v>104936000</v>
      </c>
      <c r="AG353" s="59" t="s">
        <v>515</v>
      </c>
      <c r="AH353" s="13" t="s">
        <v>1683</v>
      </c>
      <c r="AI353" s="1">
        <f>46170373.64+3216133.72+3120157.23+998090.22+1977329.86+2905223.94</f>
        <v>58387308.609999992</v>
      </c>
      <c r="AJ353" s="169">
        <v>0</v>
      </c>
    </row>
    <row r="354" spans="1:36" ht="409.5" x14ac:dyDescent="0.25">
      <c r="A354" s="5">
        <f t="shared" si="183"/>
        <v>351</v>
      </c>
      <c r="B354" s="15">
        <v>109937</v>
      </c>
      <c r="C354" s="6">
        <v>162</v>
      </c>
      <c r="D354" s="5" t="s">
        <v>143</v>
      </c>
      <c r="E354" s="17" t="s">
        <v>271</v>
      </c>
      <c r="F354" s="8" t="s">
        <v>453</v>
      </c>
      <c r="G354" s="5" t="s">
        <v>272</v>
      </c>
      <c r="H354" s="5" t="s">
        <v>151</v>
      </c>
      <c r="I354" s="86" t="s">
        <v>454</v>
      </c>
      <c r="J354" s="2">
        <v>43173</v>
      </c>
      <c r="K354" s="2">
        <v>43660</v>
      </c>
      <c r="L354" s="16">
        <f t="shared" si="175"/>
        <v>82.304184778160604</v>
      </c>
      <c r="M354" s="5" t="s">
        <v>273</v>
      </c>
      <c r="N354" s="5" t="s">
        <v>262</v>
      </c>
      <c r="O354" s="5" t="s">
        <v>274</v>
      </c>
      <c r="P354" s="3" t="s">
        <v>275</v>
      </c>
      <c r="Q354" s="5" t="s">
        <v>34</v>
      </c>
      <c r="R354" s="9">
        <f t="shared" si="184"/>
        <v>762655.8600000001</v>
      </c>
      <c r="S354" s="9">
        <v>147617.44</v>
      </c>
      <c r="T354" s="9">
        <v>615038.42000000004</v>
      </c>
      <c r="U354" s="9">
        <f t="shared" si="188"/>
        <v>145442.25</v>
      </c>
      <c r="V354" s="53">
        <v>36906.06</v>
      </c>
      <c r="W354" s="53">
        <v>108536.19</v>
      </c>
      <c r="X354" s="9">
        <f t="shared" si="185"/>
        <v>0</v>
      </c>
      <c r="Y354" s="9">
        <v>0</v>
      </c>
      <c r="Z354" s="9">
        <v>0</v>
      </c>
      <c r="AA354" s="9">
        <f t="shared" si="186"/>
        <v>18532.61</v>
      </c>
      <c r="AB354" s="9">
        <v>3765.78</v>
      </c>
      <c r="AC354" s="9">
        <v>14766.83</v>
      </c>
      <c r="AD354" s="44">
        <f t="shared" si="182"/>
        <v>926630.72000000009</v>
      </c>
      <c r="AE354" s="9">
        <v>0</v>
      </c>
      <c r="AF354" s="9">
        <f t="shared" si="187"/>
        <v>926630.72000000009</v>
      </c>
      <c r="AG354" s="49" t="s">
        <v>966</v>
      </c>
      <c r="AH354" s="13"/>
      <c r="AI354" s="1">
        <f>340951.1+52774.1+61862.22+16616.16+1069.94+8813.14+48351.34+107449.24-8088.73+50503.68+13263.31-13913.75</f>
        <v>679651.75</v>
      </c>
      <c r="AJ354" s="1">
        <f>47349.74+21861.72+3168.79+9424.88+1680.7+20491.06+8088.73+2529.39+15017.84</f>
        <v>129612.84999999998</v>
      </c>
    </row>
    <row r="355" spans="1:36" ht="189" x14ac:dyDescent="0.25">
      <c r="A355" s="5">
        <f t="shared" si="183"/>
        <v>352</v>
      </c>
      <c r="B355" s="15">
        <v>112093</v>
      </c>
      <c r="C355" s="6">
        <v>344</v>
      </c>
      <c r="D355" s="5" t="s">
        <v>143</v>
      </c>
      <c r="E355" s="17" t="s">
        <v>271</v>
      </c>
      <c r="F355" s="8" t="s">
        <v>306</v>
      </c>
      <c r="G355" s="5" t="s">
        <v>1608</v>
      </c>
      <c r="H355" s="5" t="s">
        <v>296</v>
      </c>
      <c r="I355" s="41" t="s">
        <v>455</v>
      </c>
      <c r="J355" s="2">
        <v>43188</v>
      </c>
      <c r="K355" s="2">
        <v>43553</v>
      </c>
      <c r="L355" s="16">
        <f t="shared" si="175"/>
        <v>82.304184346141142</v>
      </c>
      <c r="M355" s="5" t="s">
        <v>273</v>
      </c>
      <c r="N355" s="5" t="s">
        <v>307</v>
      </c>
      <c r="O355" s="5" t="s">
        <v>307</v>
      </c>
      <c r="P355" s="3" t="s">
        <v>275</v>
      </c>
      <c r="Q355" s="5" t="s">
        <v>34</v>
      </c>
      <c r="R355" s="9">
        <f t="shared" si="184"/>
        <v>624137.28</v>
      </c>
      <c r="S355" s="9">
        <v>503312.34</v>
      </c>
      <c r="T355" s="9">
        <v>120824.94</v>
      </c>
      <c r="U355" s="9">
        <f t="shared" si="188"/>
        <v>119026.06000000001</v>
      </c>
      <c r="V355" s="53">
        <v>88819.82</v>
      </c>
      <c r="W355" s="53">
        <v>30206.240000000002</v>
      </c>
      <c r="X355" s="9">
        <f t="shared" si="185"/>
        <v>0</v>
      </c>
      <c r="Y355" s="9">
        <v>0</v>
      </c>
      <c r="Z355" s="9">
        <v>0</v>
      </c>
      <c r="AA355" s="9">
        <f t="shared" si="186"/>
        <v>15166.61</v>
      </c>
      <c r="AB355" s="9">
        <v>12084.34</v>
      </c>
      <c r="AC355" s="9">
        <v>3082.27</v>
      </c>
      <c r="AD355" s="44">
        <f t="shared" si="182"/>
        <v>758329.95000000007</v>
      </c>
      <c r="AE355" s="9">
        <v>0</v>
      </c>
      <c r="AF355" s="9">
        <f t="shared" si="187"/>
        <v>758329.95000000007</v>
      </c>
      <c r="AG355" s="49" t="s">
        <v>966</v>
      </c>
      <c r="AH355" s="13" t="s">
        <v>299</v>
      </c>
      <c r="AI355" s="1">
        <f>281863.03+67706.32-7048.99+70335.64+92451.16+65330.18-30787.09</f>
        <v>539850.25000000012</v>
      </c>
      <c r="AJ355" s="1">
        <f>53450.47+7048.99+3931.35+17630.9+12458.8+8431.63</f>
        <v>102952.14</v>
      </c>
    </row>
    <row r="356" spans="1:36" ht="252" x14ac:dyDescent="0.25">
      <c r="A356" s="5">
        <f t="shared" si="183"/>
        <v>353</v>
      </c>
      <c r="B356" s="15">
        <v>110829</v>
      </c>
      <c r="C356" s="6">
        <v>345</v>
      </c>
      <c r="D356" s="5" t="s">
        <v>143</v>
      </c>
      <c r="E356" s="17" t="s">
        <v>271</v>
      </c>
      <c r="F356" s="8" t="s">
        <v>308</v>
      </c>
      <c r="G356" s="5" t="s">
        <v>309</v>
      </c>
      <c r="H356" s="5" t="s">
        <v>151</v>
      </c>
      <c r="I356" s="41" t="s">
        <v>310</v>
      </c>
      <c r="J356" s="2">
        <v>43188</v>
      </c>
      <c r="K356" s="2">
        <v>43737</v>
      </c>
      <c r="L356" s="16">
        <f t="shared" si="175"/>
        <v>82.304186026137842</v>
      </c>
      <c r="M356" s="5" t="s">
        <v>273</v>
      </c>
      <c r="N356" s="5" t="s">
        <v>307</v>
      </c>
      <c r="O356" s="5" t="s">
        <v>307</v>
      </c>
      <c r="P356" s="3" t="s">
        <v>275</v>
      </c>
      <c r="Q356" s="5" t="s">
        <v>34</v>
      </c>
      <c r="R356" s="9">
        <f t="shared" si="184"/>
        <v>757586.23</v>
      </c>
      <c r="S356" s="9">
        <v>610927.28</v>
      </c>
      <c r="T356" s="9">
        <v>146658.95000000001</v>
      </c>
      <c r="U356" s="9">
        <f t="shared" si="188"/>
        <v>144475.43</v>
      </c>
      <c r="V356" s="53">
        <v>107810.7</v>
      </c>
      <c r="W356" s="53">
        <v>36664.730000000003</v>
      </c>
      <c r="X356" s="9">
        <f t="shared" si="185"/>
        <v>0</v>
      </c>
      <c r="Y356" s="9">
        <v>0</v>
      </c>
      <c r="Z356" s="9">
        <v>0</v>
      </c>
      <c r="AA356" s="9">
        <f t="shared" si="186"/>
        <v>18409.420000000002</v>
      </c>
      <c r="AB356" s="9">
        <v>14668.12</v>
      </c>
      <c r="AC356" s="9">
        <v>3741.3</v>
      </c>
      <c r="AD356" s="44">
        <f t="shared" si="182"/>
        <v>920471.08</v>
      </c>
      <c r="AE356" s="9">
        <v>0</v>
      </c>
      <c r="AF356" s="9">
        <f t="shared" si="187"/>
        <v>920471.08</v>
      </c>
      <c r="AG356" s="49" t="s">
        <v>966</v>
      </c>
      <c r="AH356" s="13" t="s">
        <v>299</v>
      </c>
      <c r="AI356" s="1">
        <f>89285.71-11964.69+140134-555.33+108178.82+21252.58+36085.35+107586.93+34575.24+28193.27+63018.42+70571.37</f>
        <v>686361.67</v>
      </c>
      <c r="AJ356" s="1">
        <f>11964.69+11960.22+17298.63+11541.66+4052.98+14039.69+5043.38+6593.66+21646.1+12017.89+14733.7</f>
        <v>130892.6</v>
      </c>
    </row>
    <row r="357" spans="1:36" ht="173.25" x14ac:dyDescent="0.25">
      <c r="A357" s="5">
        <f t="shared" si="183"/>
        <v>354</v>
      </c>
      <c r="B357" s="15">
        <v>111077</v>
      </c>
      <c r="C357" s="6">
        <v>352</v>
      </c>
      <c r="D357" s="5" t="s">
        <v>143</v>
      </c>
      <c r="E357" s="17" t="s">
        <v>271</v>
      </c>
      <c r="F357" s="8" t="s">
        <v>311</v>
      </c>
      <c r="G357" s="5" t="s">
        <v>312</v>
      </c>
      <c r="H357" s="5" t="s">
        <v>151</v>
      </c>
      <c r="I357" s="41" t="s">
        <v>313</v>
      </c>
      <c r="J357" s="2">
        <v>43188</v>
      </c>
      <c r="K357" s="2">
        <v>43675</v>
      </c>
      <c r="L357" s="16">
        <f t="shared" si="175"/>
        <v>82.304186243592014</v>
      </c>
      <c r="M357" s="5" t="s">
        <v>273</v>
      </c>
      <c r="N357" s="5" t="s">
        <v>307</v>
      </c>
      <c r="O357" s="5" t="s">
        <v>307</v>
      </c>
      <c r="P357" s="3" t="s">
        <v>275</v>
      </c>
      <c r="Q357" s="5" t="s">
        <v>34</v>
      </c>
      <c r="R357" s="9">
        <f t="shared" si="184"/>
        <v>704316.51</v>
      </c>
      <c r="S357" s="9">
        <v>567969.9</v>
      </c>
      <c r="T357" s="9">
        <v>136346.60999999999</v>
      </c>
      <c r="U357" s="9">
        <f t="shared" si="188"/>
        <v>134316.63</v>
      </c>
      <c r="V357" s="53">
        <v>100229.98</v>
      </c>
      <c r="W357" s="53">
        <v>34086.65</v>
      </c>
      <c r="X357" s="9">
        <f t="shared" si="185"/>
        <v>0</v>
      </c>
      <c r="Y357" s="9">
        <v>0</v>
      </c>
      <c r="Z357" s="9">
        <v>0</v>
      </c>
      <c r="AA357" s="9">
        <f t="shared" si="186"/>
        <v>17114.96</v>
      </c>
      <c r="AB357" s="9">
        <v>13636.73</v>
      </c>
      <c r="AC357" s="9">
        <v>3478.23</v>
      </c>
      <c r="AD357" s="44">
        <f t="shared" si="182"/>
        <v>855748.1</v>
      </c>
      <c r="AE357" s="9"/>
      <c r="AF357" s="9">
        <f t="shared" si="187"/>
        <v>855748.1</v>
      </c>
      <c r="AG357" s="49" t="s">
        <v>966</v>
      </c>
      <c r="AH357" s="13" t="s">
        <v>299</v>
      </c>
      <c r="AI357" s="1">
        <f>85000+43282.16-11040.21+106472.55+153782.22-13315.84+83140.14+113279.69+50909.88+28913.1</f>
        <v>640423.68999999994</v>
      </c>
      <c r="AJ357" s="1">
        <f>8254.12+14104.5+20304.84+13117.11+13315.84+21603+25918.68+5513.87</f>
        <v>122131.95999999999</v>
      </c>
    </row>
    <row r="358" spans="1:36" ht="236.25" x14ac:dyDescent="0.25">
      <c r="A358" s="5">
        <f t="shared" si="183"/>
        <v>355</v>
      </c>
      <c r="B358" s="15">
        <v>111631</v>
      </c>
      <c r="C358" s="6">
        <v>170</v>
      </c>
      <c r="D358" s="5" t="s">
        <v>143</v>
      </c>
      <c r="E358" s="17" t="s">
        <v>271</v>
      </c>
      <c r="F358" s="8" t="s">
        <v>314</v>
      </c>
      <c r="G358" s="5" t="s">
        <v>315</v>
      </c>
      <c r="H358" s="5" t="s">
        <v>316</v>
      </c>
      <c r="I358" s="41" t="s">
        <v>1413</v>
      </c>
      <c r="J358" s="2">
        <v>43189</v>
      </c>
      <c r="K358" s="2">
        <v>43676</v>
      </c>
      <c r="L358" s="16">
        <f t="shared" si="175"/>
        <v>82.304185177297953</v>
      </c>
      <c r="M358" s="5" t="s">
        <v>273</v>
      </c>
      <c r="N358" s="5" t="s">
        <v>307</v>
      </c>
      <c r="O358" s="5" t="s">
        <v>307</v>
      </c>
      <c r="P358" s="3" t="s">
        <v>275</v>
      </c>
      <c r="Q358" s="5" t="s">
        <v>34</v>
      </c>
      <c r="R358" s="9">
        <f t="shared" si="184"/>
        <v>822209.74</v>
      </c>
      <c r="S358" s="9">
        <v>663040.52</v>
      </c>
      <c r="T358" s="9">
        <v>159169.22</v>
      </c>
      <c r="U358" s="9">
        <f t="shared" si="188"/>
        <v>156799.45000000001</v>
      </c>
      <c r="V358" s="53">
        <v>117007.15</v>
      </c>
      <c r="W358" s="53">
        <v>39792.300000000003</v>
      </c>
      <c r="X358" s="9">
        <v>0</v>
      </c>
      <c r="Y358" s="9">
        <v>0</v>
      </c>
      <c r="Z358" s="9">
        <v>0</v>
      </c>
      <c r="AA358" s="9">
        <f t="shared" si="186"/>
        <v>19979.79</v>
      </c>
      <c r="AB358" s="9">
        <v>15919.35</v>
      </c>
      <c r="AC358" s="9">
        <v>4060.44</v>
      </c>
      <c r="AD358" s="44">
        <f t="shared" si="182"/>
        <v>998988.98</v>
      </c>
      <c r="AE358" s="9"/>
      <c r="AF358" s="9">
        <f t="shared" si="187"/>
        <v>998988.98</v>
      </c>
      <c r="AG358" s="49" t="s">
        <v>966</v>
      </c>
      <c r="AH358" s="13" t="s">
        <v>299</v>
      </c>
      <c r="AI358" s="1">
        <f>754429.65-15109.91</f>
        <v>739319.74</v>
      </c>
      <c r="AJ358" s="1">
        <f>3863.19+15778.83+29070.82+6799.58+5078.36+35041.94+6132.52+4911.69+2424.38+19247+12643.54</f>
        <v>140991.85</v>
      </c>
    </row>
    <row r="359" spans="1:36" ht="141.75" x14ac:dyDescent="0.25">
      <c r="A359" s="5">
        <f t="shared" si="183"/>
        <v>356</v>
      </c>
      <c r="B359" s="15">
        <v>112405</v>
      </c>
      <c r="C359" s="6">
        <v>171</v>
      </c>
      <c r="D359" s="5" t="s">
        <v>143</v>
      </c>
      <c r="E359" s="17" t="s">
        <v>271</v>
      </c>
      <c r="F359" s="8" t="s">
        <v>317</v>
      </c>
      <c r="G359" s="5" t="s">
        <v>318</v>
      </c>
      <c r="H359" s="5" t="s">
        <v>319</v>
      </c>
      <c r="I359" s="41" t="s">
        <v>1598</v>
      </c>
      <c r="J359" s="2">
        <v>43186</v>
      </c>
      <c r="K359" s="2">
        <v>43673</v>
      </c>
      <c r="L359" s="16">
        <f t="shared" si="175"/>
        <v>82.304185365731513</v>
      </c>
      <c r="M359" s="5" t="s">
        <v>273</v>
      </c>
      <c r="N359" s="5" t="s">
        <v>307</v>
      </c>
      <c r="O359" s="5" t="s">
        <v>307</v>
      </c>
      <c r="P359" s="3" t="s">
        <v>275</v>
      </c>
      <c r="Q359" s="5" t="s">
        <v>34</v>
      </c>
      <c r="R359" s="9">
        <f t="shared" si="184"/>
        <v>723131.98</v>
      </c>
      <c r="S359" s="9">
        <v>583142.93999999994</v>
      </c>
      <c r="T359" s="9">
        <v>139989.04</v>
      </c>
      <c r="U359" s="9">
        <f t="shared" si="188"/>
        <v>137904.84</v>
      </c>
      <c r="V359" s="53">
        <v>102907.58</v>
      </c>
      <c r="W359" s="53">
        <v>34997.26</v>
      </c>
      <c r="X359" s="9">
        <f t="shared" si="185"/>
        <v>0</v>
      </c>
      <c r="Y359" s="9">
        <v>0</v>
      </c>
      <c r="Z359" s="9">
        <v>0</v>
      </c>
      <c r="AA359" s="9">
        <f t="shared" si="186"/>
        <v>17572.18</v>
      </c>
      <c r="AB359" s="9">
        <v>14001.03</v>
      </c>
      <c r="AC359" s="9">
        <v>3571.15</v>
      </c>
      <c r="AD359" s="44">
        <f t="shared" si="182"/>
        <v>878609</v>
      </c>
      <c r="AE359" s="9"/>
      <c r="AF359" s="9">
        <f t="shared" si="187"/>
        <v>878609</v>
      </c>
      <c r="AG359" s="49" t="s">
        <v>966</v>
      </c>
      <c r="AH359" s="13"/>
      <c r="AI359" s="1">
        <f>208329.69+72239-12893.42+110533+33743.88+27302.86+184981.92+10195.84+16264.07</f>
        <v>650696.84</v>
      </c>
      <c r="AJ359" s="1">
        <f>36750.34+12893.42+5726.93+6435.14+21177.89+19305.83+1944.4+19857.12</f>
        <v>124091.06999999999</v>
      </c>
    </row>
    <row r="360" spans="1:36" ht="141.75" x14ac:dyDescent="0.25">
      <c r="A360" s="5">
        <f t="shared" si="183"/>
        <v>357</v>
      </c>
      <c r="B360" s="15">
        <v>109810</v>
      </c>
      <c r="C360" s="6">
        <v>257</v>
      </c>
      <c r="D360" s="5" t="s">
        <v>143</v>
      </c>
      <c r="E360" s="17" t="s">
        <v>271</v>
      </c>
      <c r="F360" s="8" t="s">
        <v>320</v>
      </c>
      <c r="G360" s="5" t="s">
        <v>321</v>
      </c>
      <c r="H360" s="5" t="s">
        <v>151</v>
      </c>
      <c r="I360" s="41" t="s">
        <v>328</v>
      </c>
      <c r="J360" s="2">
        <v>43192</v>
      </c>
      <c r="K360" s="2">
        <v>43679</v>
      </c>
      <c r="L360" s="16">
        <f t="shared" si="175"/>
        <v>82.304188283311021</v>
      </c>
      <c r="M360" s="5" t="s">
        <v>273</v>
      </c>
      <c r="N360" s="5" t="s">
        <v>307</v>
      </c>
      <c r="O360" s="5" t="s">
        <v>307</v>
      </c>
      <c r="P360" s="3" t="s">
        <v>275</v>
      </c>
      <c r="Q360" s="5" t="s">
        <v>34</v>
      </c>
      <c r="R360" s="9">
        <f t="shared" si="184"/>
        <v>821139.01</v>
      </c>
      <c r="S360" s="4">
        <v>662177.06999999995</v>
      </c>
      <c r="T360" s="4">
        <v>158961.94</v>
      </c>
      <c r="U360" s="9">
        <f t="shared" si="188"/>
        <v>156595.26</v>
      </c>
      <c r="V360" s="53">
        <v>116854.78</v>
      </c>
      <c r="W360" s="53">
        <v>39740.480000000003</v>
      </c>
      <c r="X360" s="9">
        <f t="shared" si="185"/>
        <v>0</v>
      </c>
      <c r="Y360" s="9">
        <v>0</v>
      </c>
      <c r="Z360" s="9">
        <v>0</v>
      </c>
      <c r="AA360" s="9">
        <f t="shared" si="186"/>
        <v>19953.73</v>
      </c>
      <c r="AB360" s="9">
        <v>15898.58</v>
      </c>
      <c r="AC360" s="9">
        <v>4055.15</v>
      </c>
      <c r="AD360" s="44">
        <f t="shared" si="182"/>
        <v>997688</v>
      </c>
      <c r="AE360" s="9"/>
      <c r="AF360" s="9">
        <f t="shared" si="187"/>
        <v>997688</v>
      </c>
      <c r="AG360" s="49" t="s">
        <v>966</v>
      </c>
      <c r="AH360" s="13"/>
      <c r="AI360" s="1">
        <v>768017.32</v>
      </c>
      <c r="AJ360" s="1">
        <v>146464.70000000001</v>
      </c>
    </row>
    <row r="361" spans="1:36" ht="141.75" x14ac:dyDescent="0.25">
      <c r="A361" s="5">
        <f t="shared" si="183"/>
        <v>358</v>
      </c>
      <c r="B361" s="15">
        <v>112956</v>
      </c>
      <c r="C361" s="6">
        <v>273</v>
      </c>
      <c r="D361" s="5" t="s">
        <v>143</v>
      </c>
      <c r="E361" s="17" t="s">
        <v>271</v>
      </c>
      <c r="F361" s="8" t="s">
        <v>322</v>
      </c>
      <c r="G361" s="52" t="s">
        <v>323</v>
      </c>
      <c r="H361" s="5" t="s">
        <v>324</v>
      </c>
      <c r="I361" s="41" t="s">
        <v>456</v>
      </c>
      <c r="J361" s="2">
        <v>43192</v>
      </c>
      <c r="K361" s="2">
        <v>43679</v>
      </c>
      <c r="L361" s="16">
        <f t="shared" si="175"/>
        <v>82.304175027233867</v>
      </c>
      <c r="M361" s="5" t="s">
        <v>273</v>
      </c>
      <c r="N361" s="5" t="s">
        <v>307</v>
      </c>
      <c r="O361" s="5" t="s">
        <v>307</v>
      </c>
      <c r="P361" s="3" t="s">
        <v>275</v>
      </c>
      <c r="Q361" s="5" t="s">
        <v>34</v>
      </c>
      <c r="R361" s="9">
        <f t="shared" si="184"/>
        <v>710350.38</v>
      </c>
      <c r="S361" s="9">
        <v>572835.76</v>
      </c>
      <c r="T361" s="9">
        <v>137514.62</v>
      </c>
      <c r="U361" s="9">
        <f t="shared" si="188"/>
        <v>135467.44</v>
      </c>
      <c r="V361" s="53">
        <v>101088.74</v>
      </c>
      <c r="W361" s="53">
        <v>34378.699999999997</v>
      </c>
      <c r="X361" s="9">
        <f t="shared" si="185"/>
        <v>0</v>
      </c>
      <c r="Y361" s="9">
        <v>0</v>
      </c>
      <c r="Z361" s="9">
        <v>0</v>
      </c>
      <c r="AA361" s="9">
        <f t="shared" si="186"/>
        <v>17261.579999999998</v>
      </c>
      <c r="AB361" s="9">
        <v>13753.55</v>
      </c>
      <c r="AC361" s="9">
        <v>3508.03</v>
      </c>
      <c r="AD361" s="44">
        <f t="shared" si="182"/>
        <v>863079.4</v>
      </c>
      <c r="AE361" s="9"/>
      <c r="AF361" s="9">
        <f t="shared" si="187"/>
        <v>863079.4</v>
      </c>
      <c r="AG361" s="49" t="s">
        <v>966</v>
      </c>
      <c r="AH361" s="13" t="s">
        <v>151</v>
      </c>
      <c r="AI361" s="1">
        <f>629253.72-17069.05</f>
        <v>612184.66999999993</v>
      </c>
      <c r="AJ361" s="1">
        <f>109991.49+6755.11</f>
        <v>116746.6</v>
      </c>
    </row>
    <row r="362" spans="1:36" ht="173.25" x14ac:dyDescent="0.25">
      <c r="A362" s="5">
        <f t="shared" si="183"/>
        <v>359</v>
      </c>
      <c r="B362" s="15">
        <v>112066</v>
      </c>
      <c r="C362" s="6">
        <v>262</v>
      </c>
      <c r="D362" s="5" t="s">
        <v>143</v>
      </c>
      <c r="E362" s="17" t="s">
        <v>271</v>
      </c>
      <c r="F362" s="8" t="s">
        <v>325</v>
      </c>
      <c r="G362" s="5" t="s">
        <v>326</v>
      </c>
      <c r="H362" s="5" t="s">
        <v>327</v>
      </c>
      <c r="I362" s="41" t="s">
        <v>457</v>
      </c>
      <c r="J362" s="2">
        <v>43193</v>
      </c>
      <c r="K362" s="2">
        <v>43680</v>
      </c>
      <c r="L362" s="16">
        <f t="shared" si="175"/>
        <v>82.304184459884823</v>
      </c>
      <c r="M362" s="5" t="s">
        <v>273</v>
      </c>
      <c r="N362" s="5" t="s">
        <v>307</v>
      </c>
      <c r="O362" s="5" t="s">
        <v>307</v>
      </c>
      <c r="P362" s="3" t="s">
        <v>275</v>
      </c>
      <c r="Q362" s="5" t="s">
        <v>34</v>
      </c>
      <c r="R362" s="9">
        <f t="shared" si="184"/>
        <v>822673.27</v>
      </c>
      <c r="S362" s="9">
        <v>663414.31999999995</v>
      </c>
      <c r="T362" s="9">
        <v>159258.95000000001</v>
      </c>
      <c r="U362" s="9">
        <f t="shared" si="188"/>
        <v>156887.87</v>
      </c>
      <c r="V362" s="53">
        <v>117073.13</v>
      </c>
      <c r="W362" s="53">
        <v>39814.74</v>
      </c>
      <c r="X362" s="9">
        <f t="shared" si="185"/>
        <v>0</v>
      </c>
      <c r="Y362" s="9">
        <v>0</v>
      </c>
      <c r="Z362" s="9">
        <v>0</v>
      </c>
      <c r="AA362" s="9">
        <f t="shared" si="186"/>
        <v>19991.04</v>
      </c>
      <c r="AB362" s="9">
        <v>15928.31</v>
      </c>
      <c r="AC362" s="9">
        <v>4062.73</v>
      </c>
      <c r="AD362" s="44">
        <f t="shared" si="182"/>
        <v>999552.18</v>
      </c>
      <c r="AE362" s="9"/>
      <c r="AF362" s="9">
        <f t="shared" si="187"/>
        <v>999552.18</v>
      </c>
      <c r="AG362" s="49" t="s">
        <v>966</v>
      </c>
      <c r="AH362" s="13" t="s">
        <v>151</v>
      </c>
      <c r="AI362" s="1">
        <v>639101.23</v>
      </c>
      <c r="AJ362" s="1">
        <v>121879.75</v>
      </c>
    </row>
    <row r="363" spans="1:36" ht="220.5" x14ac:dyDescent="0.25">
      <c r="A363" s="5">
        <f t="shared" si="183"/>
        <v>360</v>
      </c>
      <c r="B363" s="15">
        <v>121460</v>
      </c>
      <c r="C363" s="6">
        <v>59</v>
      </c>
      <c r="D363" s="5" t="s">
        <v>143</v>
      </c>
      <c r="E363" s="17" t="s">
        <v>110</v>
      </c>
      <c r="F363" s="17" t="s">
        <v>342</v>
      </c>
      <c r="G363" s="3" t="s">
        <v>2098</v>
      </c>
      <c r="H363" s="5" t="s">
        <v>296</v>
      </c>
      <c r="I363" s="41" t="s">
        <v>343</v>
      </c>
      <c r="J363" s="2">
        <v>43207</v>
      </c>
      <c r="K363" s="2">
        <v>44486</v>
      </c>
      <c r="L363" s="16">
        <f t="shared" si="175"/>
        <v>83.983863880920921</v>
      </c>
      <c r="M363" s="5" t="s">
        <v>273</v>
      </c>
      <c r="N363" s="5" t="s">
        <v>307</v>
      </c>
      <c r="O363" s="5" t="s">
        <v>307</v>
      </c>
      <c r="P363" s="3" t="s">
        <v>138</v>
      </c>
      <c r="Q363" s="5" t="s">
        <v>34</v>
      </c>
      <c r="R363" s="9">
        <f t="shared" si="184"/>
        <v>6185268.0800000001</v>
      </c>
      <c r="S363" s="9">
        <v>4987879.83</v>
      </c>
      <c r="T363" s="9">
        <v>1197388.25</v>
      </c>
      <c r="U363" s="9">
        <f t="shared" si="188"/>
        <v>0</v>
      </c>
      <c r="V363" s="53">
        <v>0</v>
      </c>
      <c r="W363" s="53">
        <v>0</v>
      </c>
      <c r="X363" s="9">
        <f t="shared" si="185"/>
        <v>1179561.06</v>
      </c>
      <c r="Y363" s="4">
        <v>880214</v>
      </c>
      <c r="Z363" s="9">
        <v>299347.06</v>
      </c>
      <c r="AA363" s="9">
        <f t="shared" si="186"/>
        <v>0</v>
      </c>
      <c r="AB363" s="9">
        <v>0</v>
      </c>
      <c r="AC363" s="9">
        <v>0</v>
      </c>
      <c r="AD363" s="44">
        <f t="shared" si="182"/>
        <v>7364829.1400000006</v>
      </c>
      <c r="AE363" s="9">
        <v>0</v>
      </c>
      <c r="AF363" s="9">
        <f t="shared" si="187"/>
        <v>7364829.1400000006</v>
      </c>
      <c r="AG363" s="59" t="s">
        <v>515</v>
      </c>
      <c r="AH363" s="13" t="s">
        <v>2135</v>
      </c>
      <c r="AI363" s="1">
        <f>897869.37+243536.81+342862.59+163687.91</f>
        <v>1647956.68</v>
      </c>
      <c r="AJ363" s="1">
        <v>0</v>
      </c>
    </row>
    <row r="364" spans="1:36" ht="173.25" x14ac:dyDescent="0.25">
      <c r="A364" s="5">
        <f t="shared" si="183"/>
        <v>361</v>
      </c>
      <c r="B364" s="15">
        <v>109749</v>
      </c>
      <c r="C364" s="6">
        <v>253</v>
      </c>
      <c r="D364" s="5" t="s">
        <v>143</v>
      </c>
      <c r="E364" s="17" t="s">
        <v>271</v>
      </c>
      <c r="F364" s="17" t="s">
        <v>331</v>
      </c>
      <c r="G364" s="181" t="s">
        <v>332</v>
      </c>
      <c r="H364" s="5" t="s">
        <v>151</v>
      </c>
      <c r="I364" s="41" t="s">
        <v>458</v>
      </c>
      <c r="J364" s="2">
        <v>43208</v>
      </c>
      <c r="K364" s="2">
        <v>43695</v>
      </c>
      <c r="L364" s="16">
        <f t="shared" si="175"/>
        <v>82.304185790916577</v>
      </c>
      <c r="M364" s="5" t="s">
        <v>273</v>
      </c>
      <c r="N364" s="5" t="s">
        <v>350</v>
      </c>
      <c r="O364" s="5" t="s">
        <v>350</v>
      </c>
      <c r="P364" s="3" t="s">
        <v>275</v>
      </c>
      <c r="Q364" s="5" t="s">
        <v>34</v>
      </c>
      <c r="R364" s="9">
        <f t="shared" si="184"/>
        <v>808649.72</v>
      </c>
      <c r="S364" s="4">
        <v>652105.54</v>
      </c>
      <c r="T364" s="4">
        <v>156544.18</v>
      </c>
      <c r="U364" s="9">
        <f t="shared" si="188"/>
        <v>154213.49</v>
      </c>
      <c r="V364" s="53">
        <v>115077.45</v>
      </c>
      <c r="W364" s="53">
        <v>39136.04</v>
      </c>
      <c r="X364" s="9">
        <f t="shared" si="185"/>
        <v>0</v>
      </c>
      <c r="Y364" s="9">
        <v>0</v>
      </c>
      <c r="Z364" s="9">
        <v>0</v>
      </c>
      <c r="AA364" s="9">
        <f t="shared" si="186"/>
        <v>19650.27</v>
      </c>
      <c r="AB364" s="9">
        <v>15656.8</v>
      </c>
      <c r="AC364" s="9">
        <v>3993.47</v>
      </c>
      <c r="AD364" s="44">
        <f t="shared" si="182"/>
        <v>982513.48</v>
      </c>
      <c r="AE364" s="9"/>
      <c r="AF364" s="9">
        <f t="shared" si="187"/>
        <v>982513.48</v>
      </c>
      <c r="AG364" s="49" t="s">
        <v>966</v>
      </c>
      <c r="AH364" s="13"/>
      <c r="AI364" s="1">
        <f>320855.76+13409.42+153292.16+833.72+98250+85029.68+131034.25-5408.6</f>
        <v>797296.39</v>
      </c>
      <c r="AJ364" s="1">
        <f>63706.03+10496.81+18895.75+16215.58+24988.88+17705.3</f>
        <v>152008.34999999998</v>
      </c>
    </row>
    <row r="365" spans="1:36" ht="204.75" x14ac:dyDescent="0.25">
      <c r="A365" s="5">
        <f t="shared" si="183"/>
        <v>362</v>
      </c>
      <c r="B365" s="15">
        <v>109967</v>
      </c>
      <c r="C365" s="6">
        <v>177</v>
      </c>
      <c r="D365" s="5" t="s">
        <v>143</v>
      </c>
      <c r="E365" s="17" t="s">
        <v>271</v>
      </c>
      <c r="F365" s="17" t="s">
        <v>337</v>
      </c>
      <c r="G365" s="5" t="s">
        <v>338</v>
      </c>
      <c r="H365" s="5" t="s">
        <v>151</v>
      </c>
      <c r="I365" s="41" t="s">
        <v>459</v>
      </c>
      <c r="J365" s="2">
        <v>43208</v>
      </c>
      <c r="K365" s="2">
        <v>43695</v>
      </c>
      <c r="L365" s="16">
        <f t="shared" si="175"/>
        <v>82.304184597190911</v>
      </c>
      <c r="M365" s="5" t="s">
        <v>273</v>
      </c>
      <c r="N365" s="5" t="s">
        <v>307</v>
      </c>
      <c r="O365" s="5" t="s">
        <v>307</v>
      </c>
      <c r="P365" s="3" t="s">
        <v>275</v>
      </c>
      <c r="Q365" s="5" t="s">
        <v>34</v>
      </c>
      <c r="R365" s="9">
        <f t="shared" si="184"/>
        <v>804452.45</v>
      </c>
      <c r="S365" s="9">
        <v>648720.82999999996</v>
      </c>
      <c r="T365" s="9">
        <v>155731.62</v>
      </c>
      <c r="U365" s="9">
        <f t="shared" si="188"/>
        <v>153413.06</v>
      </c>
      <c r="V365" s="53">
        <v>114480.15</v>
      </c>
      <c r="W365" s="53">
        <v>38932.910000000003</v>
      </c>
      <c r="X365" s="9">
        <f t="shared" si="185"/>
        <v>0</v>
      </c>
      <c r="Y365" s="182">
        <v>0</v>
      </c>
      <c r="Z365" s="182">
        <v>0</v>
      </c>
      <c r="AA365" s="9">
        <f t="shared" si="186"/>
        <v>19548.28</v>
      </c>
      <c r="AB365" s="9">
        <v>15575.51</v>
      </c>
      <c r="AC365" s="9">
        <v>3972.77</v>
      </c>
      <c r="AD365" s="44">
        <f t="shared" si="182"/>
        <v>977413.79</v>
      </c>
      <c r="AE365" s="9"/>
      <c r="AF365" s="9">
        <f t="shared" si="187"/>
        <v>977413.79</v>
      </c>
      <c r="AG365" s="49" t="s">
        <v>966</v>
      </c>
      <c r="AH365" s="13" t="s">
        <v>1218</v>
      </c>
      <c r="AI365" s="1">
        <f>312590.47-8868.28+88856.3+55475.75+73233.76+50351.94+43692.49-8964.67+55972.79-7971.42+22143.49</f>
        <v>676512.61999999988</v>
      </c>
      <c r="AJ365" s="1">
        <f>40972.78+16948.54+8885.07+13966.04+9602.34+8332.37+8964.67+7971.42+13371.02</f>
        <v>129014.24999999999</v>
      </c>
    </row>
    <row r="366" spans="1:36" ht="157.5" x14ac:dyDescent="0.25">
      <c r="A366" s="5">
        <f t="shared" si="183"/>
        <v>363</v>
      </c>
      <c r="B366" s="15">
        <v>112811</v>
      </c>
      <c r="C366" s="5">
        <v>196</v>
      </c>
      <c r="D366" s="5" t="s">
        <v>143</v>
      </c>
      <c r="E366" s="17" t="s">
        <v>271</v>
      </c>
      <c r="F366" s="17" t="s">
        <v>339</v>
      </c>
      <c r="G366" s="5" t="s">
        <v>340</v>
      </c>
      <c r="H366" s="5" t="s">
        <v>151</v>
      </c>
      <c r="I366" s="41" t="s">
        <v>341</v>
      </c>
      <c r="J366" s="2">
        <v>43208</v>
      </c>
      <c r="K366" s="2">
        <v>43573</v>
      </c>
      <c r="L366" s="16">
        <f t="shared" si="175"/>
        <v>82.304184666338784</v>
      </c>
      <c r="M366" s="5" t="s">
        <v>273</v>
      </c>
      <c r="N366" s="5" t="s">
        <v>307</v>
      </c>
      <c r="O366" s="5" t="s">
        <v>307</v>
      </c>
      <c r="P366" s="3" t="s">
        <v>275</v>
      </c>
      <c r="Q366" s="5" t="s">
        <v>34</v>
      </c>
      <c r="R366" s="9">
        <f t="shared" si="184"/>
        <v>760931.29</v>
      </c>
      <c r="S366" s="9">
        <v>613624.79</v>
      </c>
      <c r="T366" s="9">
        <v>147306.5</v>
      </c>
      <c r="U366" s="9">
        <f t="shared" si="188"/>
        <v>145113.35999999999</v>
      </c>
      <c r="V366" s="53">
        <v>108286.73</v>
      </c>
      <c r="W366" s="53">
        <v>36826.629999999997</v>
      </c>
      <c r="X366" s="9">
        <f t="shared" si="185"/>
        <v>0</v>
      </c>
      <c r="Y366" s="9">
        <v>0</v>
      </c>
      <c r="Z366" s="9">
        <v>0</v>
      </c>
      <c r="AA366" s="9">
        <f t="shared" si="186"/>
        <v>18490.71</v>
      </c>
      <c r="AB366" s="9">
        <v>14732.89</v>
      </c>
      <c r="AC366" s="9">
        <v>3757.82</v>
      </c>
      <c r="AD366" s="44">
        <f t="shared" si="182"/>
        <v>924535.36</v>
      </c>
      <c r="AE366" s="9"/>
      <c r="AF366" s="9">
        <f t="shared" si="187"/>
        <v>924535.36</v>
      </c>
      <c r="AG366" s="49" t="s">
        <v>966</v>
      </c>
      <c r="AH366" s="13"/>
      <c r="AI366" s="1">
        <f>91800+75057.16+74073.77+121742.1-7175.16+205568.39+83432.56-15293.57</f>
        <v>629205.25000000012</v>
      </c>
      <c r="AJ366" s="1">
        <f>14189.24+14126.23+23216.82+16262.9+21571.65+15911+14714.69</f>
        <v>119992.53</v>
      </c>
    </row>
    <row r="367" spans="1:36" ht="299.25" x14ac:dyDescent="0.25">
      <c r="A367" s="5">
        <f t="shared" si="183"/>
        <v>364</v>
      </c>
      <c r="B367" s="15">
        <v>112080</v>
      </c>
      <c r="C367" s="6">
        <v>354</v>
      </c>
      <c r="D367" s="5" t="s">
        <v>143</v>
      </c>
      <c r="E367" s="17" t="s">
        <v>271</v>
      </c>
      <c r="F367" s="17" t="s">
        <v>349</v>
      </c>
      <c r="G367" s="3" t="s">
        <v>348</v>
      </c>
      <c r="H367" s="5" t="s">
        <v>151</v>
      </c>
      <c r="I367" s="41" t="s">
        <v>460</v>
      </c>
      <c r="J367" s="2">
        <v>43214</v>
      </c>
      <c r="K367" s="2">
        <v>43793</v>
      </c>
      <c r="L367" s="16">
        <f t="shared" si="175"/>
        <v>82.304185109241828</v>
      </c>
      <c r="M367" s="5" t="s">
        <v>273</v>
      </c>
      <c r="N367" s="5" t="s">
        <v>307</v>
      </c>
      <c r="O367" s="5" t="s">
        <v>307</v>
      </c>
      <c r="P367" s="3" t="s">
        <v>275</v>
      </c>
      <c r="Q367" s="5" t="s">
        <v>34</v>
      </c>
      <c r="R367" s="9">
        <f t="shared" si="184"/>
        <v>570578.29</v>
      </c>
      <c r="S367" s="9">
        <v>460121.68</v>
      </c>
      <c r="T367" s="9">
        <v>110456.61</v>
      </c>
      <c r="U367" s="9">
        <f t="shared" si="188"/>
        <v>108812.1</v>
      </c>
      <c r="V367" s="53">
        <v>81197.94</v>
      </c>
      <c r="W367" s="53">
        <v>27614.16</v>
      </c>
      <c r="X367" s="9">
        <f t="shared" si="185"/>
        <v>0</v>
      </c>
      <c r="Y367" s="9">
        <v>0</v>
      </c>
      <c r="Z367" s="9">
        <v>0</v>
      </c>
      <c r="AA367" s="9">
        <f t="shared" si="186"/>
        <v>13865.11</v>
      </c>
      <c r="AB367" s="9">
        <v>11047.34</v>
      </c>
      <c r="AC367" s="9">
        <v>2817.77</v>
      </c>
      <c r="AD367" s="44">
        <f t="shared" si="182"/>
        <v>693255.5</v>
      </c>
      <c r="AE367" s="9">
        <v>0</v>
      </c>
      <c r="AF367" s="9">
        <f t="shared" si="187"/>
        <v>693255.5</v>
      </c>
      <c r="AG367" s="49" t="s">
        <v>966</v>
      </c>
      <c r="AH367" s="13" t="s">
        <v>1387</v>
      </c>
      <c r="AI367" s="1">
        <f>314971.26+69325.55+97282.65-5135.32</f>
        <v>476444.13999999996</v>
      </c>
      <c r="AJ367" s="1">
        <f>60066.57+25498.8+5294.87</f>
        <v>90860.239999999991</v>
      </c>
    </row>
    <row r="368" spans="1:36" ht="189" x14ac:dyDescent="0.25">
      <c r="A368" s="5">
        <f t="shared" si="183"/>
        <v>365</v>
      </c>
      <c r="B368" s="15">
        <v>111113</v>
      </c>
      <c r="C368" s="6">
        <v>252</v>
      </c>
      <c r="D368" s="5" t="s">
        <v>143</v>
      </c>
      <c r="E368" s="17" t="s">
        <v>271</v>
      </c>
      <c r="F368" s="17" t="s">
        <v>351</v>
      </c>
      <c r="G368" s="3" t="s">
        <v>1096</v>
      </c>
      <c r="H368" s="5" t="s">
        <v>377</v>
      </c>
      <c r="I368" s="41" t="s">
        <v>353</v>
      </c>
      <c r="J368" s="2">
        <v>43214</v>
      </c>
      <c r="K368" s="2">
        <v>43579</v>
      </c>
      <c r="L368" s="16">
        <f t="shared" si="175"/>
        <v>82.304185972255567</v>
      </c>
      <c r="M368" s="5" t="s">
        <v>273</v>
      </c>
      <c r="N368" s="5" t="s">
        <v>304</v>
      </c>
      <c r="O368" s="5" t="s">
        <v>352</v>
      </c>
      <c r="P368" s="3" t="s">
        <v>275</v>
      </c>
      <c r="Q368" s="5" t="s">
        <v>34</v>
      </c>
      <c r="R368" s="9">
        <f t="shared" si="184"/>
        <v>793396.18</v>
      </c>
      <c r="S368" s="9">
        <v>639804.9</v>
      </c>
      <c r="T368" s="9">
        <v>153591.28</v>
      </c>
      <c r="U368" s="9">
        <f t="shared" si="188"/>
        <v>151304.57</v>
      </c>
      <c r="V368" s="53">
        <v>112906.75</v>
      </c>
      <c r="W368" s="53">
        <v>38397.82</v>
      </c>
      <c r="X368" s="9">
        <f t="shared" si="185"/>
        <v>0</v>
      </c>
      <c r="Y368" s="9">
        <v>0</v>
      </c>
      <c r="Z368" s="9">
        <v>0</v>
      </c>
      <c r="AA368" s="9">
        <f t="shared" si="186"/>
        <v>19279.599999999999</v>
      </c>
      <c r="AB368" s="9">
        <v>15361.46</v>
      </c>
      <c r="AC368" s="9">
        <v>3918.14</v>
      </c>
      <c r="AD368" s="44">
        <f t="shared" si="182"/>
        <v>963980.35</v>
      </c>
      <c r="AE368" s="9">
        <v>0</v>
      </c>
      <c r="AF368" s="9">
        <f t="shared" si="187"/>
        <v>963980.35</v>
      </c>
      <c r="AG368" s="49" t="s">
        <v>966</v>
      </c>
      <c r="AH368" s="13" t="s">
        <v>151</v>
      </c>
      <c r="AI368" s="1">
        <f>360374.76+80428.02+85558.08+11319.22+96397+20389.47+84094.42</f>
        <v>738560.97</v>
      </c>
      <c r="AJ368" s="1">
        <f>36349.9+31943.22+13703.1+20542.02+22271.75+16037.23</f>
        <v>140847.22</v>
      </c>
    </row>
    <row r="369" spans="1:36" ht="315" x14ac:dyDescent="0.25">
      <c r="A369" s="5">
        <f t="shared" si="183"/>
        <v>366</v>
      </c>
      <c r="B369" s="15">
        <v>109880</v>
      </c>
      <c r="C369" s="6">
        <v>261</v>
      </c>
      <c r="D369" s="5" t="s">
        <v>143</v>
      </c>
      <c r="E369" s="17" t="s">
        <v>271</v>
      </c>
      <c r="F369" s="17" t="s">
        <v>360</v>
      </c>
      <c r="G369" s="27" t="s">
        <v>358</v>
      </c>
      <c r="H369" s="3" t="s">
        <v>359</v>
      </c>
      <c r="I369" s="41" t="s">
        <v>461</v>
      </c>
      <c r="J369" s="2">
        <v>43214</v>
      </c>
      <c r="K369" s="2">
        <v>43640</v>
      </c>
      <c r="L369" s="16">
        <f t="shared" ref="L369:L431" si="189">R369/AD369*100</f>
        <v>82.304184374786118</v>
      </c>
      <c r="M369" s="5" t="s">
        <v>273</v>
      </c>
      <c r="N369" s="5" t="s">
        <v>220</v>
      </c>
      <c r="O369" s="5" t="s">
        <v>361</v>
      </c>
      <c r="P369" s="3" t="s">
        <v>275</v>
      </c>
      <c r="Q369" s="5" t="s">
        <v>34</v>
      </c>
      <c r="R369" s="9">
        <f t="shared" ref="R369:R400" si="190">S369+T369</f>
        <v>782828.76</v>
      </c>
      <c r="S369" s="9">
        <v>631283.18999999994</v>
      </c>
      <c r="T369" s="9">
        <v>151545.57</v>
      </c>
      <c r="U369" s="9">
        <f t="shared" si="188"/>
        <v>149289.32</v>
      </c>
      <c r="V369" s="53">
        <v>111402.93</v>
      </c>
      <c r="W369" s="53">
        <v>37886.39</v>
      </c>
      <c r="X369" s="9">
        <f t="shared" ref="X369:X399" si="191">Y369+Z369</f>
        <v>0</v>
      </c>
      <c r="Y369" s="9">
        <v>0</v>
      </c>
      <c r="Z369" s="9">
        <v>0</v>
      </c>
      <c r="AA369" s="9">
        <f t="shared" ref="AA369:AA400" si="192">AB369+AC369</f>
        <v>19022.82</v>
      </c>
      <c r="AB369" s="9">
        <v>15156.86</v>
      </c>
      <c r="AC369" s="9">
        <v>3865.96</v>
      </c>
      <c r="AD369" s="44">
        <f t="shared" si="182"/>
        <v>951140.9</v>
      </c>
      <c r="AE369" s="9"/>
      <c r="AF369" s="9">
        <f t="shared" ref="AF369:AF400" si="193">AD369+AE369</f>
        <v>951140.9</v>
      </c>
      <c r="AG369" s="49" t="s">
        <v>966</v>
      </c>
      <c r="AH369" s="13" t="s">
        <v>362</v>
      </c>
      <c r="AI369" s="1">
        <v>734392.74</v>
      </c>
      <c r="AJ369" s="1">
        <v>140052.42000000001</v>
      </c>
    </row>
    <row r="370" spans="1:36" ht="204.75" x14ac:dyDescent="0.25">
      <c r="A370" s="5">
        <f t="shared" si="183"/>
        <v>367</v>
      </c>
      <c r="B370" s="15">
        <v>110309</v>
      </c>
      <c r="C370" s="5">
        <v>304</v>
      </c>
      <c r="D370" s="5" t="s">
        <v>143</v>
      </c>
      <c r="E370" s="17" t="s">
        <v>271</v>
      </c>
      <c r="F370" s="8" t="s">
        <v>392</v>
      </c>
      <c r="G370" s="5" t="s">
        <v>393</v>
      </c>
      <c r="H370" s="5" t="s">
        <v>151</v>
      </c>
      <c r="I370" s="41" t="s">
        <v>394</v>
      </c>
      <c r="J370" s="2">
        <v>43217</v>
      </c>
      <c r="K370" s="2">
        <v>43888</v>
      </c>
      <c r="L370" s="16">
        <f t="shared" si="189"/>
        <v>82.304189246721677</v>
      </c>
      <c r="M370" s="5" t="s">
        <v>273</v>
      </c>
      <c r="N370" s="5" t="s">
        <v>365</v>
      </c>
      <c r="O370" s="5" t="s">
        <v>365</v>
      </c>
      <c r="P370" s="3" t="s">
        <v>275</v>
      </c>
      <c r="Q370" s="5" t="s">
        <v>34</v>
      </c>
      <c r="R370" s="9">
        <f t="shared" si="190"/>
        <v>822248.62</v>
      </c>
      <c r="S370" s="9">
        <v>663071.87</v>
      </c>
      <c r="T370" s="9">
        <v>159176.75</v>
      </c>
      <c r="U370" s="9">
        <f t="shared" si="188"/>
        <v>156806.83000000002</v>
      </c>
      <c r="V370" s="53">
        <v>117012.66</v>
      </c>
      <c r="W370" s="53">
        <v>39794.17</v>
      </c>
      <c r="X370" s="9">
        <f t="shared" si="191"/>
        <v>0</v>
      </c>
      <c r="Y370" s="9">
        <v>0</v>
      </c>
      <c r="Z370" s="9">
        <v>0</v>
      </c>
      <c r="AA370" s="9">
        <f t="shared" si="192"/>
        <v>19980.72</v>
      </c>
      <c r="AB370" s="9">
        <v>15920.08</v>
      </c>
      <c r="AC370" s="9">
        <v>4060.64</v>
      </c>
      <c r="AD370" s="44">
        <f t="shared" si="182"/>
        <v>999036.16999999993</v>
      </c>
      <c r="AE370" s="9">
        <v>0</v>
      </c>
      <c r="AF370" s="9">
        <f t="shared" si="193"/>
        <v>999036.16999999993</v>
      </c>
      <c r="AG370" s="59" t="s">
        <v>1686</v>
      </c>
      <c r="AH370" s="13" t="s">
        <v>1658</v>
      </c>
      <c r="AI370" s="1">
        <v>553062.27999999991</v>
      </c>
      <c r="AJ370" s="1">
        <v>105471.71999999999</v>
      </c>
    </row>
    <row r="371" spans="1:36" ht="141.75" x14ac:dyDescent="0.25">
      <c r="A371" s="5">
        <f t="shared" si="183"/>
        <v>368</v>
      </c>
      <c r="B371" s="15">
        <v>112122</v>
      </c>
      <c r="C371" s="6">
        <v>172</v>
      </c>
      <c r="D371" s="5" t="s">
        <v>143</v>
      </c>
      <c r="E371" s="17" t="s">
        <v>271</v>
      </c>
      <c r="F371" s="32" t="s">
        <v>363</v>
      </c>
      <c r="G371" s="5" t="s">
        <v>364</v>
      </c>
      <c r="H371" s="5" t="s">
        <v>151</v>
      </c>
      <c r="I371" s="41" t="s">
        <v>1418</v>
      </c>
      <c r="J371" s="2">
        <v>43217</v>
      </c>
      <c r="K371" s="2">
        <v>43796</v>
      </c>
      <c r="L371" s="16">
        <f t="shared" si="189"/>
        <v>82.30418763248349</v>
      </c>
      <c r="M371" s="5" t="s">
        <v>273</v>
      </c>
      <c r="N371" s="5" t="s">
        <v>220</v>
      </c>
      <c r="O371" s="5" t="s">
        <v>361</v>
      </c>
      <c r="P371" s="3" t="s">
        <v>275</v>
      </c>
      <c r="Q371" s="5" t="s">
        <v>34</v>
      </c>
      <c r="R371" s="9">
        <f t="shared" si="190"/>
        <v>773010.27999999991</v>
      </c>
      <c r="S371" s="9">
        <v>623365.43999999994</v>
      </c>
      <c r="T371" s="9">
        <v>149644.84</v>
      </c>
      <c r="U371" s="9">
        <f t="shared" si="188"/>
        <v>147416.85999999999</v>
      </c>
      <c r="V371" s="53">
        <v>110005.65</v>
      </c>
      <c r="W371" s="53">
        <v>37411.21</v>
      </c>
      <c r="X371" s="9">
        <f t="shared" si="191"/>
        <v>0</v>
      </c>
      <c r="Y371" s="9">
        <v>0</v>
      </c>
      <c r="Z371" s="9">
        <v>0</v>
      </c>
      <c r="AA371" s="9">
        <f t="shared" si="192"/>
        <v>18784.22</v>
      </c>
      <c r="AB371" s="9">
        <v>14966.74</v>
      </c>
      <c r="AC371" s="9">
        <v>3817.48</v>
      </c>
      <c r="AD371" s="44">
        <f t="shared" si="182"/>
        <v>939211.35999999987</v>
      </c>
      <c r="AE371" s="9">
        <v>0</v>
      </c>
      <c r="AF371" s="9">
        <f t="shared" si="193"/>
        <v>939211.35999999987</v>
      </c>
      <c r="AG371" s="49" t="s">
        <v>966</v>
      </c>
      <c r="AH371" s="13" t="s">
        <v>1411</v>
      </c>
      <c r="AI371" s="1">
        <v>733967.87</v>
      </c>
      <c r="AJ371" s="1">
        <v>138744.60999999999</v>
      </c>
    </row>
    <row r="372" spans="1:36" ht="252" x14ac:dyDescent="0.25">
      <c r="A372" s="5">
        <f t="shared" si="183"/>
        <v>369</v>
      </c>
      <c r="B372" s="15">
        <v>111683</v>
      </c>
      <c r="C372" s="6">
        <v>339</v>
      </c>
      <c r="D372" s="5" t="s">
        <v>143</v>
      </c>
      <c r="E372" s="17" t="s">
        <v>271</v>
      </c>
      <c r="F372" s="8" t="s">
        <v>378</v>
      </c>
      <c r="G372" s="5" t="s">
        <v>379</v>
      </c>
      <c r="H372" s="5" t="s">
        <v>151</v>
      </c>
      <c r="I372" s="41" t="s">
        <v>462</v>
      </c>
      <c r="J372" s="2">
        <v>43227</v>
      </c>
      <c r="K372" s="2">
        <v>43868</v>
      </c>
      <c r="L372" s="16">
        <f t="shared" si="189"/>
        <v>82.304181640652189</v>
      </c>
      <c r="M372" s="5" t="s">
        <v>273</v>
      </c>
      <c r="N372" s="5" t="s">
        <v>262</v>
      </c>
      <c r="O372" s="5" t="s">
        <v>262</v>
      </c>
      <c r="P372" s="3" t="s">
        <v>275</v>
      </c>
      <c r="Q372" s="5" t="s">
        <v>34</v>
      </c>
      <c r="R372" s="9">
        <f t="shared" si="190"/>
        <v>791387.4800000001</v>
      </c>
      <c r="S372" s="9">
        <v>638185.06000000006</v>
      </c>
      <c r="T372" s="52">
        <v>153202.42000000001</v>
      </c>
      <c r="U372" s="9">
        <f t="shared" si="188"/>
        <v>150921.54999999999</v>
      </c>
      <c r="V372" s="183">
        <v>112620.91</v>
      </c>
      <c r="W372" s="53">
        <v>38300.639999999999</v>
      </c>
      <c r="X372" s="9">
        <f t="shared" si="191"/>
        <v>0</v>
      </c>
      <c r="Y372" s="9">
        <v>0</v>
      </c>
      <c r="Z372" s="9">
        <v>0</v>
      </c>
      <c r="AA372" s="9">
        <f t="shared" si="192"/>
        <v>19230.79</v>
      </c>
      <c r="AB372" s="9">
        <v>15322.58</v>
      </c>
      <c r="AC372" s="9">
        <v>3908.21</v>
      </c>
      <c r="AD372" s="44">
        <f t="shared" si="182"/>
        <v>961539.82000000007</v>
      </c>
      <c r="AE372" s="9"/>
      <c r="AF372" s="9">
        <f t="shared" si="193"/>
        <v>961539.82000000007</v>
      </c>
      <c r="AG372" s="59" t="s">
        <v>1686</v>
      </c>
      <c r="AH372" s="13" t="s">
        <v>1677</v>
      </c>
      <c r="AI372" s="1">
        <f>197162.71+172481.19+20945.29+96000+68397.19</f>
        <v>554986.38</v>
      </c>
      <c r="AJ372" s="1">
        <f>37599.88+14585.36+22302.07+31351.36</f>
        <v>105838.67</v>
      </c>
    </row>
    <row r="373" spans="1:36" ht="267.75" x14ac:dyDescent="0.25">
      <c r="A373" s="5">
        <f t="shared" si="183"/>
        <v>370</v>
      </c>
      <c r="B373" s="15">
        <v>112332</v>
      </c>
      <c r="C373" s="6">
        <v>351</v>
      </c>
      <c r="D373" s="5" t="s">
        <v>143</v>
      </c>
      <c r="E373" s="17" t="s">
        <v>271</v>
      </c>
      <c r="F373" s="3" t="s">
        <v>380</v>
      </c>
      <c r="G373" s="184" t="s">
        <v>381</v>
      </c>
      <c r="H373" s="32" t="s">
        <v>382</v>
      </c>
      <c r="I373" s="41" t="s">
        <v>383</v>
      </c>
      <c r="J373" s="2">
        <v>43227</v>
      </c>
      <c r="K373" s="2">
        <v>43715</v>
      </c>
      <c r="L373" s="16">
        <f t="shared" si="189"/>
        <v>82.803274340618188</v>
      </c>
      <c r="M373" s="5" t="s">
        <v>273</v>
      </c>
      <c r="N373" s="5" t="s">
        <v>901</v>
      </c>
      <c r="O373" s="5" t="s">
        <v>902</v>
      </c>
      <c r="P373" s="3" t="s">
        <v>275</v>
      </c>
      <c r="Q373" s="5" t="s">
        <v>34</v>
      </c>
      <c r="R373" s="9">
        <f t="shared" si="190"/>
        <v>789905.57000000007</v>
      </c>
      <c r="S373" s="9">
        <v>636990.03</v>
      </c>
      <c r="T373" s="9">
        <v>152915.54</v>
      </c>
      <c r="U373" s="9">
        <f t="shared" si="188"/>
        <v>144969.85</v>
      </c>
      <c r="V373" s="53">
        <v>107893.05</v>
      </c>
      <c r="W373" s="53">
        <v>37076.800000000003</v>
      </c>
      <c r="X373" s="9">
        <f t="shared" si="191"/>
        <v>0</v>
      </c>
      <c r="Y373" s="9">
        <v>0</v>
      </c>
      <c r="Z373" s="9">
        <v>0</v>
      </c>
      <c r="AA373" s="9">
        <f t="shared" si="192"/>
        <v>19079.09</v>
      </c>
      <c r="AB373" s="9">
        <v>15201.71</v>
      </c>
      <c r="AC373" s="9">
        <v>3877.38</v>
      </c>
      <c r="AD373" s="44">
        <f t="shared" si="182"/>
        <v>953954.51</v>
      </c>
      <c r="AE373" s="9">
        <v>0</v>
      </c>
      <c r="AF373" s="9">
        <f t="shared" si="193"/>
        <v>953954.51</v>
      </c>
      <c r="AG373" s="49" t="s">
        <v>966</v>
      </c>
      <c r="AH373" s="13" t="s">
        <v>151</v>
      </c>
      <c r="AI373" s="1">
        <f>103189.19-10344.17+64585.92+101525.85+67050.25+55900.12+82485.04+159943.99</f>
        <v>624336.18999999994</v>
      </c>
      <c r="AJ373" s="1">
        <f>6891.88+10344.17+32148.26+10660.44+28517.1+27035.36</f>
        <v>115597.21</v>
      </c>
    </row>
    <row r="374" spans="1:36" ht="204.75" x14ac:dyDescent="0.25">
      <c r="A374" s="5">
        <f t="shared" si="183"/>
        <v>371</v>
      </c>
      <c r="B374" s="15">
        <v>115657</v>
      </c>
      <c r="C374" s="6">
        <v>390</v>
      </c>
      <c r="D374" s="5" t="s">
        <v>143</v>
      </c>
      <c r="E374" s="17" t="s">
        <v>385</v>
      </c>
      <c r="F374" s="8" t="s">
        <v>384</v>
      </c>
      <c r="G374" s="5" t="s">
        <v>1593</v>
      </c>
      <c r="H374" s="5" t="s">
        <v>386</v>
      </c>
      <c r="I374" s="41" t="s">
        <v>387</v>
      </c>
      <c r="J374" s="2">
        <v>43223</v>
      </c>
      <c r="K374" s="2">
        <v>44107</v>
      </c>
      <c r="L374" s="16">
        <f t="shared" si="189"/>
        <v>83.983863433628301</v>
      </c>
      <c r="M374" s="5" t="s">
        <v>273</v>
      </c>
      <c r="N374" s="5" t="s">
        <v>307</v>
      </c>
      <c r="O374" s="5" t="s">
        <v>307</v>
      </c>
      <c r="P374" s="3" t="s">
        <v>138</v>
      </c>
      <c r="Q374" s="5" t="s">
        <v>34</v>
      </c>
      <c r="R374" s="9">
        <f t="shared" si="190"/>
        <v>5309367.59</v>
      </c>
      <c r="S374" s="9">
        <v>4281542.37</v>
      </c>
      <c r="T374" s="9">
        <v>1027825.22</v>
      </c>
      <c r="U374" s="9">
        <f t="shared" si="188"/>
        <v>0</v>
      </c>
      <c r="V374" s="53">
        <v>0</v>
      </c>
      <c r="W374" s="53">
        <v>0</v>
      </c>
      <c r="X374" s="9">
        <f t="shared" si="191"/>
        <v>1012522.56</v>
      </c>
      <c r="Y374" s="9">
        <v>755566.28</v>
      </c>
      <c r="Z374" s="9">
        <v>256956.28</v>
      </c>
      <c r="AA374" s="9">
        <f t="shared" si="192"/>
        <v>0</v>
      </c>
      <c r="AB374" s="9">
        <v>0</v>
      </c>
      <c r="AC374" s="9">
        <v>0</v>
      </c>
      <c r="AD374" s="44">
        <f t="shared" si="182"/>
        <v>6321890.1500000004</v>
      </c>
      <c r="AE374" s="9">
        <v>0</v>
      </c>
      <c r="AF374" s="9">
        <f t="shared" si="193"/>
        <v>6321890.1500000004</v>
      </c>
      <c r="AG374" s="59" t="s">
        <v>966</v>
      </c>
      <c r="AH374" s="13" t="s">
        <v>1842</v>
      </c>
      <c r="AI374" s="1">
        <f>2961929.57+845307.66+274031.87</f>
        <v>4081269.1</v>
      </c>
      <c r="AJ374" s="1">
        <v>0</v>
      </c>
    </row>
    <row r="375" spans="1:36" ht="409.5" x14ac:dyDescent="0.25">
      <c r="A375" s="5">
        <f t="shared" si="183"/>
        <v>372</v>
      </c>
      <c r="B375" s="15">
        <v>116294</v>
      </c>
      <c r="C375" s="6">
        <v>395</v>
      </c>
      <c r="D375" s="29" t="s">
        <v>143</v>
      </c>
      <c r="E375" s="17" t="s">
        <v>385</v>
      </c>
      <c r="F375" s="8" t="s">
        <v>751</v>
      </c>
      <c r="G375" s="5" t="s">
        <v>1649</v>
      </c>
      <c r="H375" s="5" t="s">
        <v>753</v>
      </c>
      <c r="I375" s="14" t="s">
        <v>752</v>
      </c>
      <c r="J375" s="2">
        <v>43307</v>
      </c>
      <c r="K375" s="2">
        <v>44465</v>
      </c>
      <c r="L375" s="16">
        <f t="shared" si="189"/>
        <v>83.983862635527075</v>
      </c>
      <c r="M375" s="5" t="s">
        <v>273</v>
      </c>
      <c r="N375" s="5" t="s">
        <v>262</v>
      </c>
      <c r="O375" s="5" t="s">
        <v>262</v>
      </c>
      <c r="P375" s="3" t="s">
        <v>138</v>
      </c>
      <c r="Q375" s="5" t="s">
        <v>34</v>
      </c>
      <c r="R375" s="9">
        <f t="shared" si="190"/>
        <v>9176268.1300000008</v>
      </c>
      <c r="S375" s="9">
        <v>7399860.79</v>
      </c>
      <c r="T375" s="9">
        <v>1776407.34</v>
      </c>
      <c r="U375" s="9">
        <f t="shared" si="188"/>
        <v>854299.02</v>
      </c>
      <c r="V375" s="53">
        <v>631334.16</v>
      </c>
      <c r="W375" s="53">
        <v>222964.86</v>
      </c>
      <c r="X375" s="9">
        <f t="shared" si="191"/>
        <v>895660.63</v>
      </c>
      <c r="Y375" s="9">
        <v>674523.62</v>
      </c>
      <c r="Z375" s="9">
        <v>221137.01</v>
      </c>
      <c r="AA375" s="9">
        <f t="shared" si="192"/>
        <v>0</v>
      </c>
      <c r="AB375" s="9">
        <v>0</v>
      </c>
      <c r="AC375" s="9">
        <v>0</v>
      </c>
      <c r="AD375" s="44">
        <f t="shared" si="182"/>
        <v>10926227.780000001</v>
      </c>
      <c r="AE375" s="9"/>
      <c r="AF375" s="9">
        <f t="shared" si="193"/>
        <v>10926227.780000001</v>
      </c>
      <c r="AG375" s="59" t="s">
        <v>515</v>
      </c>
      <c r="AH375" s="13" t="s">
        <v>2118</v>
      </c>
      <c r="AI375" s="1">
        <f>567275.05+242142.38+389249.89+737324.25+434872.3+696189.68</f>
        <v>3067053.5500000003</v>
      </c>
      <c r="AJ375" s="1">
        <f>37941.44+64466.26+39373.95+93368.67+48409.99+72069.64</f>
        <v>355629.95</v>
      </c>
    </row>
    <row r="376" spans="1:36" ht="141.75" x14ac:dyDescent="0.25">
      <c r="A376" s="5">
        <f t="shared" si="183"/>
        <v>373</v>
      </c>
      <c r="B376" s="15">
        <v>115539</v>
      </c>
      <c r="C376" s="6">
        <v>396</v>
      </c>
      <c r="D376" s="5" t="s">
        <v>143</v>
      </c>
      <c r="E376" s="17" t="s">
        <v>385</v>
      </c>
      <c r="F376" s="8" t="s">
        <v>436</v>
      </c>
      <c r="G376" s="5" t="s">
        <v>74</v>
      </c>
      <c r="H376" s="5" t="s">
        <v>437</v>
      </c>
      <c r="I376" s="41" t="s">
        <v>471</v>
      </c>
      <c r="J376" s="2">
        <v>43249</v>
      </c>
      <c r="K376" s="2">
        <v>44559</v>
      </c>
      <c r="L376" s="16">
        <f t="shared" si="189"/>
        <v>83.983861982656322</v>
      </c>
      <c r="M376" s="5" t="s">
        <v>273</v>
      </c>
      <c r="N376" s="5" t="s">
        <v>262</v>
      </c>
      <c r="O376" s="5" t="s">
        <v>262</v>
      </c>
      <c r="P376" s="3" t="s">
        <v>138</v>
      </c>
      <c r="Q376" s="5" t="s">
        <v>34</v>
      </c>
      <c r="R376" s="9">
        <f t="shared" si="190"/>
        <v>2264152.11</v>
      </c>
      <c r="S376" s="9">
        <v>1825841.43</v>
      </c>
      <c r="T376" s="9">
        <v>438310.68</v>
      </c>
      <c r="U376" s="9">
        <f t="shared" si="188"/>
        <v>187212.83000000002</v>
      </c>
      <c r="V376" s="53">
        <v>138351.88</v>
      </c>
      <c r="W376" s="53">
        <v>48860.95</v>
      </c>
      <c r="X376" s="9">
        <f t="shared" si="191"/>
        <v>244572.18</v>
      </c>
      <c r="Y376" s="9">
        <v>183855.44</v>
      </c>
      <c r="Z376" s="9">
        <v>60716.74</v>
      </c>
      <c r="AA376" s="9">
        <f t="shared" si="192"/>
        <v>0</v>
      </c>
      <c r="AB376" s="9">
        <v>0</v>
      </c>
      <c r="AC376" s="9">
        <v>0</v>
      </c>
      <c r="AD376" s="44">
        <f t="shared" si="182"/>
        <v>2695937.12</v>
      </c>
      <c r="AE376" s="9">
        <v>0</v>
      </c>
      <c r="AF376" s="9">
        <f t="shared" si="193"/>
        <v>2695937.12</v>
      </c>
      <c r="AG376" s="59" t="s">
        <v>515</v>
      </c>
      <c r="AH376" s="13" t="s">
        <v>2192</v>
      </c>
      <c r="AI376" s="1">
        <f>331641.17-13183.87+408631.07+27766.75+242691.52</f>
        <v>997546.64</v>
      </c>
      <c r="AJ376" s="1">
        <f>13183.87+71835.79+32129.9</f>
        <v>117149.56</v>
      </c>
    </row>
    <row r="377" spans="1:36" ht="189" x14ac:dyDescent="0.25">
      <c r="A377" s="5">
        <f t="shared" si="183"/>
        <v>374</v>
      </c>
      <c r="B377" s="15">
        <v>111701</v>
      </c>
      <c r="C377" s="6">
        <v>251</v>
      </c>
      <c r="D377" s="5" t="s">
        <v>143</v>
      </c>
      <c r="E377" s="17" t="s">
        <v>271</v>
      </c>
      <c r="F377" s="3" t="s">
        <v>398</v>
      </c>
      <c r="G377" s="186" t="s">
        <v>399</v>
      </c>
      <c r="H377" s="186" t="s">
        <v>400</v>
      </c>
      <c r="I377" s="187" t="s">
        <v>464</v>
      </c>
      <c r="J377" s="2">
        <v>43231</v>
      </c>
      <c r="K377" s="2">
        <v>43780</v>
      </c>
      <c r="L377" s="16">
        <f t="shared" si="189"/>
        <v>82.304186092487143</v>
      </c>
      <c r="M377" s="5" t="s">
        <v>273</v>
      </c>
      <c r="N377" s="5" t="s">
        <v>227</v>
      </c>
      <c r="O377" s="5" t="s">
        <v>227</v>
      </c>
      <c r="P377" s="3" t="s">
        <v>275</v>
      </c>
      <c r="Q377" s="5" t="s">
        <v>34</v>
      </c>
      <c r="R377" s="9">
        <f t="shared" si="190"/>
        <v>643463.74</v>
      </c>
      <c r="S377" s="53">
        <v>518897.45</v>
      </c>
      <c r="T377" s="53">
        <v>124566.29</v>
      </c>
      <c r="U377" s="9">
        <f t="shared" ref="U377:U408" si="194">V377+W377</f>
        <v>122711.73</v>
      </c>
      <c r="V377" s="53">
        <v>91570.15</v>
      </c>
      <c r="W377" s="53">
        <v>31141.58</v>
      </c>
      <c r="X377" s="9">
        <f t="shared" si="191"/>
        <v>0</v>
      </c>
      <c r="Y377" s="9">
        <v>0</v>
      </c>
      <c r="Z377" s="9">
        <v>0</v>
      </c>
      <c r="AA377" s="9">
        <f t="shared" si="192"/>
        <v>15636.21</v>
      </c>
      <c r="AB377" s="53">
        <v>12458.49</v>
      </c>
      <c r="AC377" s="53">
        <v>3177.72</v>
      </c>
      <c r="AD377" s="44">
        <f t="shared" si="182"/>
        <v>781811.67999999993</v>
      </c>
      <c r="AE377" s="9">
        <v>4162.62</v>
      </c>
      <c r="AF377" s="9">
        <f t="shared" si="193"/>
        <v>785974.29999999993</v>
      </c>
      <c r="AG377" s="49" t="s">
        <v>966</v>
      </c>
      <c r="AH377" s="13" t="s">
        <v>1388</v>
      </c>
      <c r="AI377" s="1">
        <f>95051.96+39484.25+23955.55-8000+211432.19+107515.78+78081.24</f>
        <v>547520.97</v>
      </c>
      <c r="AJ377" s="1">
        <f>15075.6+9055.47+4568.44+40321.17+20503.81+14890.48</f>
        <v>104414.96999999999</v>
      </c>
    </row>
    <row r="378" spans="1:36" ht="204.75" x14ac:dyDescent="0.25">
      <c r="A378" s="5">
        <f t="shared" si="183"/>
        <v>375</v>
      </c>
      <c r="B378" s="15">
        <v>111284</v>
      </c>
      <c r="C378" s="6">
        <v>182</v>
      </c>
      <c r="D378" s="5" t="s">
        <v>143</v>
      </c>
      <c r="E378" s="17" t="s">
        <v>271</v>
      </c>
      <c r="F378" s="3" t="s">
        <v>404</v>
      </c>
      <c r="G378" s="5" t="s">
        <v>405</v>
      </c>
      <c r="H378" s="30"/>
      <c r="I378" s="86" t="s">
        <v>465</v>
      </c>
      <c r="J378" s="2">
        <v>43236</v>
      </c>
      <c r="K378" s="2">
        <v>43724</v>
      </c>
      <c r="L378" s="16">
        <f t="shared" si="189"/>
        <v>82.304186150868873</v>
      </c>
      <c r="M378" s="5" t="s">
        <v>273</v>
      </c>
      <c r="N378" s="5" t="s">
        <v>182</v>
      </c>
      <c r="O378" s="5" t="s">
        <v>406</v>
      </c>
      <c r="P378" s="3" t="s">
        <v>275</v>
      </c>
      <c r="Q378" s="5" t="s">
        <v>34</v>
      </c>
      <c r="R378" s="9">
        <f t="shared" si="190"/>
        <v>820224.26</v>
      </c>
      <c r="S378" s="9">
        <v>661439.4</v>
      </c>
      <c r="T378" s="9">
        <v>158784.85999999999</v>
      </c>
      <c r="U378" s="9">
        <f t="shared" si="194"/>
        <v>156420.81</v>
      </c>
      <c r="V378" s="53">
        <v>116724.6</v>
      </c>
      <c r="W378" s="53">
        <v>39696.21</v>
      </c>
      <c r="X378" s="9">
        <f t="shared" si="191"/>
        <v>0</v>
      </c>
      <c r="Y378" s="9">
        <v>0</v>
      </c>
      <c r="Z378" s="9">
        <v>0</v>
      </c>
      <c r="AA378" s="9">
        <f t="shared" si="192"/>
        <v>19931.53</v>
      </c>
      <c r="AB378" s="9">
        <v>15880.9</v>
      </c>
      <c r="AC378" s="9">
        <v>4050.63</v>
      </c>
      <c r="AD378" s="44">
        <f t="shared" si="182"/>
        <v>996576.60000000009</v>
      </c>
      <c r="AE378" s="9"/>
      <c r="AF378" s="9">
        <f t="shared" si="193"/>
        <v>996576.60000000009</v>
      </c>
      <c r="AG378" s="49" t="s">
        <v>966</v>
      </c>
      <c r="AH378" s="13" t="s">
        <v>151</v>
      </c>
      <c r="AI378" s="1">
        <f>589154.54+143024.16</f>
        <v>732178.70000000007</v>
      </c>
      <c r="AJ378" s="1">
        <f>93665.6+45964.48</f>
        <v>139630.08000000002</v>
      </c>
    </row>
    <row r="379" spans="1:36" ht="141.75" x14ac:dyDescent="0.25">
      <c r="A379" s="5">
        <f t="shared" si="183"/>
        <v>376</v>
      </c>
      <c r="B379" s="15">
        <v>116994</v>
      </c>
      <c r="C379" s="6">
        <v>399</v>
      </c>
      <c r="D379" s="5" t="s">
        <v>143</v>
      </c>
      <c r="E379" s="17" t="s">
        <v>385</v>
      </c>
      <c r="F379" s="3" t="s">
        <v>407</v>
      </c>
      <c r="G379" s="5" t="s">
        <v>74</v>
      </c>
      <c r="H379" s="121" t="s">
        <v>296</v>
      </c>
      <c r="I379" s="86" t="s">
        <v>466</v>
      </c>
      <c r="J379" s="2">
        <v>43236</v>
      </c>
      <c r="K379" s="2">
        <v>44455</v>
      </c>
      <c r="L379" s="16">
        <f t="shared" si="189"/>
        <v>83.983862745241581</v>
      </c>
      <c r="M379" s="5" t="s">
        <v>273</v>
      </c>
      <c r="N379" s="5" t="s">
        <v>262</v>
      </c>
      <c r="O379" s="5" t="s">
        <v>262</v>
      </c>
      <c r="P379" s="3" t="s">
        <v>138</v>
      </c>
      <c r="Q379" s="5" t="s">
        <v>34</v>
      </c>
      <c r="R379" s="9">
        <f t="shared" si="190"/>
        <v>5724895.4699999997</v>
      </c>
      <c r="S379" s="9">
        <v>4616629.47</v>
      </c>
      <c r="T379" s="9">
        <v>1108266</v>
      </c>
      <c r="U379" s="9">
        <f t="shared" si="194"/>
        <v>0</v>
      </c>
      <c r="V379" s="53">
        <v>0</v>
      </c>
      <c r="W379" s="53">
        <v>0</v>
      </c>
      <c r="X379" s="9">
        <f t="shared" si="191"/>
        <v>1091765.83</v>
      </c>
      <c r="Y379" s="9">
        <v>814699.26</v>
      </c>
      <c r="Z379" s="9">
        <v>277066.57</v>
      </c>
      <c r="AA379" s="9">
        <f t="shared" si="192"/>
        <v>0</v>
      </c>
      <c r="AB379" s="9">
        <v>0</v>
      </c>
      <c r="AC379" s="9">
        <v>0</v>
      </c>
      <c r="AD379" s="44">
        <f t="shared" si="182"/>
        <v>6816661.2999999998</v>
      </c>
      <c r="AE379" s="9">
        <v>0</v>
      </c>
      <c r="AF379" s="9">
        <f t="shared" si="193"/>
        <v>6816661.2999999998</v>
      </c>
      <c r="AG379" s="59" t="s">
        <v>515</v>
      </c>
      <c r="AH379" s="13" t="s">
        <v>1907</v>
      </c>
      <c r="AI379" s="1">
        <f>4248.74+31166.22+89220.52+57381.15+77993.31+62439.49+102447.37+71858.27+74201.42+68394.78+65729.97</f>
        <v>705081.24</v>
      </c>
      <c r="AJ379" s="1">
        <v>0</v>
      </c>
    </row>
    <row r="380" spans="1:36" ht="189" x14ac:dyDescent="0.25">
      <c r="A380" s="5">
        <f t="shared" si="183"/>
        <v>377</v>
      </c>
      <c r="B380" s="15">
        <v>112921</v>
      </c>
      <c r="C380" s="6">
        <v>288</v>
      </c>
      <c r="D380" s="5" t="s">
        <v>143</v>
      </c>
      <c r="E380" s="17" t="s">
        <v>271</v>
      </c>
      <c r="F380" s="17" t="s">
        <v>409</v>
      </c>
      <c r="G380" s="5" t="s">
        <v>408</v>
      </c>
      <c r="H380" s="5" t="s">
        <v>410</v>
      </c>
      <c r="I380" s="86" t="s">
        <v>411</v>
      </c>
      <c r="J380" s="2">
        <v>43236</v>
      </c>
      <c r="K380" s="2">
        <v>43724</v>
      </c>
      <c r="L380" s="16">
        <f t="shared" si="189"/>
        <v>82.304184477468439</v>
      </c>
      <c r="M380" s="5" t="s">
        <v>273</v>
      </c>
      <c r="N380" s="5" t="s">
        <v>663</v>
      </c>
      <c r="O380" s="5" t="s">
        <v>663</v>
      </c>
      <c r="P380" s="3" t="s">
        <v>275</v>
      </c>
      <c r="Q380" s="5" t="s">
        <v>34</v>
      </c>
      <c r="R380" s="9">
        <f t="shared" si="190"/>
        <v>692528.19000000006</v>
      </c>
      <c r="S380" s="9">
        <v>558463.68000000005</v>
      </c>
      <c r="T380" s="9">
        <v>134064.51</v>
      </c>
      <c r="U380" s="9">
        <f t="shared" si="194"/>
        <v>132068.54999999999</v>
      </c>
      <c r="V380" s="53">
        <v>98552.39</v>
      </c>
      <c r="W380" s="53">
        <v>33516.160000000003</v>
      </c>
      <c r="X380" s="9">
        <f t="shared" si="191"/>
        <v>0</v>
      </c>
      <c r="Y380" s="9">
        <v>0</v>
      </c>
      <c r="Z380" s="9">
        <v>0</v>
      </c>
      <c r="AA380" s="9">
        <f t="shared" si="192"/>
        <v>16828.509999999998</v>
      </c>
      <c r="AB380" s="9">
        <v>13408.49</v>
      </c>
      <c r="AC380" s="9">
        <v>3420.02</v>
      </c>
      <c r="AD380" s="44">
        <f t="shared" si="182"/>
        <v>841425.25</v>
      </c>
      <c r="AE380" s="9">
        <v>0</v>
      </c>
      <c r="AF380" s="9">
        <f t="shared" si="193"/>
        <v>841425.25</v>
      </c>
      <c r="AG380" s="49" t="s">
        <v>966</v>
      </c>
      <c r="AH380" s="13" t="s">
        <v>1260</v>
      </c>
      <c r="AI380" s="1">
        <f>59000+45054.47-7168.82+43487.54+82400+27588.29+82400+83329.15+139789.65+86231.39</f>
        <v>642111.67000000004</v>
      </c>
      <c r="AJ380" s="1">
        <f>15760.94+11008.93+20975.3+31605.35+26658.52+16444.76</f>
        <v>122453.79999999999</v>
      </c>
    </row>
    <row r="381" spans="1:36" ht="141.75" x14ac:dyDescent="0.25">
      <c r="A381" s="5">
        <f t="shared" si="183"/>
        <v>378</v>
      </c>
      <c r="B381" s="15">
        <v>122235</v>
      </c>
      <c r="C381" s="6">
        <v>60</v>
      </c>
      <c r="D381" s="5" t="s">
        <v>145</v>
      </c>
      <c r="E381" s="17" t="s">
        <v>123</v>
      </c>
      <c r="F381" s="17" t="s">
        <v>412</v>
      </c>
      <c r="G381" s="5" t="s">
        <v>413</v>
      </c>
      <c r="H381" s="5" t="s">
        <v>151</v>
      </c>
      <c r="I381" s="86" t="s">
        <v>414</v>
      </c>
      <c r="J381" s="2">
        <v>43236</v>
      </c>
      <c r="K381" s="2">
        <v>44911</v>
      </c>
      <c r="L381" s="16">
        <f t="shared" si="189"/>
        <v>83.983862950139908</v>
      </c>
      <c r="M381" s="5" t="s">
        <v>273</v>
      </c>
      <c r="N381" s="5" t="s">
        <v>262</v>
      </c>
      <c r="O381" s="5" t="s">
        <v>262</v>
      </c>
      <c r="P381" s="3" t="s">
        <v>138</v>
      </c>
      <c r="Q381" s="5" t="s">
        <v>34</v>
      </c>
      <c r="R381" s="9">
        <f t="shared" si="190"/>
        <v>9422880.1600000001</v>
      </c>
      <c r="S381" s="9">
        <v>7598731.8799999999</v>
      </c>
      <c r="T381" s="9">
        <v>1824148.28</v>
      </c>
      <c r="U381" s="9">
        <f t="shared" si="194"/>
        <v>0</v>
      </c>
      <c r="V381" s="53"/>
      <c r="W381" s="53"/>
      <c r="X381" s="9">
        <f t="shared" si="191"/>
        <v>1796989.74</v>
      </c>
      <c r="Y381" s="9">
        <v>1340952.67</v>
      </c>
      <c r="Z381" s="9">
        <v>456037.07</v>
      </c>
      <c r="AA381" s="9">
        <f t="shared" si="192"/>
        <v>0</v>
      </c>
      <c r="AB381" s="9">
        <v>0</v>
      </c>
      <c r="AC381" s="9">
        <v>0</v>
      </c>
      <c r="AD381" s="44">
        <f t="shared" si="182"/>
        <v>11219869.9</v>
      </c>
      <c r="AE381" s="9">
        <v>0</v>
      </c>
      <c r="AF381" s="9">
        <f t="shared" si="193"/>
        <v>11219869.9</v>
      </c>
      <c r="AG381" s="59" t="s">
        <v>515</v>
      </c>
      <c r="AH381" s="13" t="s">
        <v>1993</v>
      </c>
      <c r="AI381" s="1">
        <f>177000+30000-137868.19+11251.1+63755.9+119800.68+155000+50000+298936</f>
        <v>767875.49</v>
      </c>
      <c r="AJ381" s="1">
        <v>0</v>
      </c>
    </row>
    <row r="382" spans="1:36" ht="141.75" x14ac:dyDescent="0.25">
      <c r="A382" s="5">
        <f t="shared" si="183"/>
        <v>379</v>
      </c>
      <c r="B382" s="15">
        <v>113205</v>
      </c>
      <c r="C382" s="6">
        <v>286</v>
      </c>
      <c r="D382" s="5" t="s">
        <v>143</v>
      </c>
      <c r="E382" s="17" t="s">
        <v>271</v>
      </c>
      <c r="F382" s="17" t="s">
        <v>415</v>
      </c>
      <c r="G382" s="5" t="s">
        <v>416</v>
      </c>
      <c r="H382" s="5" t="s">
        <v>417</v>
      </c>
      <c r="I382" s="86" t="s">
        <v>467</v>
      </c>
      <c r="J382" s="2">
        <v>43243</v>
      </c>
      <c r="K382" s="2">
        <v>43700</v>
      </c>
      <c r="L382" s="16">
        <f t="shared" si="189"/>
        <v>82.304187102769717</v>
      </c>
      <c r="M382" s="5" t="s">
        <v>273</v>
      </c>
      <c r="N382" s="5" t="s">
        <v>262</v>
      </c>
      <c r="O382" s="5" t="s">
        <v>262</v>
      </c>
      <c r="P382" s="3" t="s">
        <v>138</v>
      </c>
      <c r="Q382" s="5" t="s">
        <v>34</v>
      </c>
      <c r="R382" s="9">
        <f t="shared" si="190"/>
        <v>750653.75</v>
      </c>
      <c r="S382" s="9">
        <v>605336.84</v>
      </c>
      <c r="T382" s="9">
        <v>145316.91</v>
      </c>
      <c r="U382" s="9">
        <f t="shared" si="194"/>
        <v>143153.36000000002</v>
      </c>
      <c r="V382" s="53">
        <v>106824.13</v>
      </c>
      <c r="W382" s="53">
        <v>36329.230000000003</v>
      </c>
      <c r="X382" s="9">
        <f t="shared" si="191"/>
        <v>0</v>
      </c>
      <c r="Y382" s="9">
        <v>0</v>
      </c>
      <c r="Z382" s="9">
        <v>0</v>
      </c>
      <c r="AA382" s="9">
        <f t="shared" si="192"/>
        <v>18240.96</v>
      </c>
      <c r="AB382" s="9">
        <v>14533.91</v>
      </c>
      <c r="AC382" s="9">
        <v>3707.05</v>
      </c>
      <c r="AD382" s="44">
        <f t="shared" si="182"/>
        <v>912048.07</v>
      </c>
      <c r="AE382" s="9">
        <v>0</v>
      </c>
      <c r="AF382" s="9">
        <f t="shared" si="193"/>
        <v>912048.07</v>
      </c>
      <c r="AG382" s="49" t="s">
        <v>966</v>
      </c>
      <c r="AH382" s="13"/>
      <c r="AI382" s="1">
        <f>80989.07+73791.77+71604.65-11418.94+71296.47+10538.9+120276.34+289691.6-34329.09</f>
        <v>672440.77</v>
      </c>
      <c r="AJ382" s="1">
        <f>12124.41+13655.35+11418.94+6176.71+18770.39+55245.61+10846.33</f>
        <v>128237.74</v>
      </c>
    </row>
    <row r="383" spans="1:36" ht="409.5" x14ac:dyDescent="0.25">
      <c r="A383" s="5">
        <f t="shared" si="183"/>
        <v>380</v>
      </c>
      <c r="B383" s="15">
        <v>111084</v>
      </c>
      <c r="C383" s="6">
        <v>343</v>
      </c>
      <c r="D383" s="5" t="s">
        <v>143</v>
      </c>
      <c r="E383" s="17" t="s">
        <v>271</v>
      </c>
      <c r="F383" s="188" t="s">
        <v>418</v>
      </c>
      <c r="G383" s="189" t="s">
        <v>419</v>
      </c>
      <c r="H383" s="5" t="s">
        <v>418</v>
      </c>
      <c r="I383" s="86" t="s">
        <v>468</v>
      </c>
      <c r="J383" s="2">
        <v>43243</v>
      </c>
      <c r="K383" s="2">
        <v>43731</v>
      </c>
      <c r="L383" s="16">
        <f t="shared" si="189"/>
        <v>82.304185103544512</v>
      </c>
      <c r="M383" s="5" t="s">
        <v>273</v>
      </c>
      <c r="N383" s="5" t="s">
        <v>262</v>
      </c>
      <c r="O383" s="5" t="s">
        <v>262</v>
      </c>
      <c r="P383" s="3" t="s">
        <v>275</v>
      </c>
      <c r="Q383" s="5" t="s">
        <v>34</v>
      </c>
      <c r="R383" s="9">
        <f t="shared" si="190"/>
        <v>698744.26</v>
      </c>
      <c r="S383" s="25">
        <v>563476.37</v>
      </c>
      <c r="T383" s="25">
        <v>135267.89000000001</v>
      </c>
      <c r="U383" s="9">
        <f t="shared" si="194"/>
        <v>133253.97999999998</v>
      </c>
      <c r="V383" s="190">
        <v>99437.01</v>
      </c>
      <c r="W383" s="118">
        <v>33816.97</v>
      </c>
      <c r="X383" s="9">
        <f t="shared" si="191"/>
        <v>0</v>
      </c>
      <c r="Y383" s="9">
        <v>0</v>
      </c>
      <c r="Z383" s="9">
        <v>0</v>
      </c>
      <c r="AA383" s="9">
        <f t="shared" si="192"/>
        <v>16979.560000000001</v>
      </c>
      <c r="AB383" s="25">
        <v>13528.85</v>
      </c>
      <c r="AC383" s="191">
        <v>3450.71</v>
      </c>
      <c r="AD383" s="44">
        <f t="shared" si="182"/>
        <v>848977.8</v>
      </c>
      <c r="AE383" s="9">
        <v>0</v>
      </c>
      <c r="AF383" s="9">
        <f t="shared" si="193"/>
        <v>848977.8</v>
      </c>
      <c r="AG383" s="49" t="s">
        <v>966</v>
      </c>
      <c r="AH383" s="13"/>
      <c r="AI383" s="1">
        <f>410601.28+140850.68</f>
        <v>551451.96</v>
      </c>
      <c r="AJ383" s="1">
        <f>12927.23+3853.32+17589.26+10795.58+17309.82+42689.48</f>
        <v>105164.69</v>
      </c>
    </row>
    <row r="384" spans="1:36" ht="362.25" x14ac:dyDescent="0.25">
      <c r="A384" s="5">
        <f t="shared" si="183"/>
        <v>381</v>
      </c>
      <c r="B384" s="15">
        <v>110679</v>
      </c>
      <c r="C384" s="6">
        <v>197</v>
      </c>
      <c r="D384" s="5" t="s">
        <v>143</v>
      </c>
      <c r="E384" s="17" t="s">
        <v>271</v>
      </c>
      <c r="F384" s="24" t="s">
        <v>420</v>
      </c>
      <c r="G384" s="5" t="s">
        <v>423</v>
      </c>
      <c r="H384" s="5" t="s">
        <v>151</v>
      </c>
      <c r="I384" s="41" t="s">
        <v>469</v>
      </c>
      <c r="J384" s="2">
        <v>43243</v>
      </c>
      <c r="K384" s="2">
        <v>43731</v>
      </c>
      <c r="L384" s="16">
        <f t="shared" si="189"/>
        <v>82.304183634873581</v>
      </c>
      <c r="M384" s="5" t="s">
        <v>273</v>
      </c>
      <c r="N384" s="5" t="s">
        <v>421</v>
      </c>
      <c r="O384" s="5" t="s">
        <v>422</v>
      </c>
      <c r="P384" s="3" t="s">
        <v>275</v>
      </c>
      <c r="Q384" s="5" t="s">
        <v>34</v>
      </c>
      <c r="R384" s="9">
        <f t="shared" si="190"/>
        <v>763944.7</v>
      </c>
      <c r="S384" s="9">
        <v>616054.81999999995</v>
      </c>
      <c r="T384" s="9">
        <v>147889.88</v>
      </c>
      <c r="U384" s="9">
        <f t="shared" si="194"/>
        <v>145688.04999999999</v>
      </c>
      <c r="V384" s="53">
        <v>108715.59</v>
      </c>
      <c r="W384" s="53">
        <v>36972.46</v>
      </c>
      <c r="X384" s="9">
        <f t="shared" si="191"/>
        <v>0</v>
      </c>
      <c r="Y384" s="9">
        <v>0</v>
      </c>
      <c r="Z384" s="9">
        <v>0</v>
      </c>
      <c r="AA384" s="9">
        <f t="shared" si="192"/>
        <v>18563.93</v>
      </c>
      <c r="AB384" s="9">
        <v>14791.24</v>
      </c>
      <c r="AC384" s="9">
        <v>3772.69</v>
      </c>
      <c r="AD384" s="44">
        <f t="shared" si="182"/>
        <v>928196.68</v>
      </c>
      <c r="AE384" s="9">
        <v>0</v>
      </c>
      <c r="AF384" s="9">
        <f t="shared" si="193"/>
        <v>928196.68</v>
      </c>
      <c r="AG384" s="49" t="s">
        <v>966</v>
      </c>
      <c r="AH384" s="13" t="s">
        <v>1494</v>
      </c>
      <c r="AI384" s="1">
        <f>521279.95+227140.72-4067.74</f>
        <v>744352.93</v>
      </c>
      <c r="AJ384" s="1">
        <f>94550.63+43316.87+4084.24</f>
        <v>141951.74</v>
      </c>
    </row>
    <row r="385" spans="1:36" ht="173.25" x14ac:dyDescent="0.25">
      <c r="A385" s="5">
        <f t="shared" si="183"/>
        <v>382</v>
      </c>
      <c r="B385" s="15">
        <v>112787</v>
      </c>
      <c r="C385" s="6">
        <v>276</v>
      </c>
      <c r="D385" s="5" t="s">
        <v>143</v>
      </c>
      <c r="E385" s="17" t="s">
        <v>271</v>
      </c>
      <c r="F385" s="17" t="s">
        <v>424</v>
      </c>
      <c r="G385" s="3" t="s">
        <v>425</v>
      </c>
      <c r="H385" s="5" t="s">
        <v>427</v>
      </c>
      <c r="I385" s="41" t="s">
        <v>428</v>
      </c>
      <c r="J385" s="2">
        <v>43243</v>
      </c>
      <c r="K385" s="2">
        <v>43822</v>
      </c>
      <c r="L385" s="16">
        <f t="shared" si="189"/>
        <v>82.304187377441963</v>
      </c>
      <c r="M385" s="5" t="s">
        <v>273</v>
      </c>
      <c r="N385" s="5" t="s">
        <v>426</v>
      </c>
      <c r="O385" s="5" t="s">
        <v>426</v>
      </c>
      <c r="P385" s="3" t="s">
        <v>275</v>
      </c>
      <c r="Q385" s="5" t="s">
        <v>34</v>
      </c>
      <c r="R385" s="9">
        <f t="shared" si="190"/>
        <v>813947.08000000007</v>
      </c>
      <c r="S385" s="9">
        <v>656377.4</v>
      </c>
      <c r="T385" s="9">
        <v>157569.68</v>
      </c>
      <c r="U385" s="9">
        <f t="shared" si="194"/>
        <v>155223.71000000002</v>
      </c>
      <c r="V385" s="53">
        <v>115831.3</v>
      </c>
      <c r="W385" s="53">
        <v>39392.410000000003</v>
      </c>
      <c r="X385" s="9">
        <f t="shared" si="191"/>
        <v>0</v>
      </c>
      <c r="Y385" s="9">
        <v>0</v>
      </c>
      <c r="Z385" s="9">
        <v>0</v>
      </c>
      <c r="AA385" s="9">
        <f t="shared" si="192"/>
        <v>19778.990000000002</v>
      </c>
      <c r="AB385" s="9">
        <v>15759.36</v>
      </c>
      <c r="AC385" s="9">
        <v>4019.63</v>
      </c>
      <c r="AD385" s="44">
        <f t="shared" si="182"/>
        <v>988949.78</v>
      </c>
      <c r="AE385" s="9">
        <v>0</v>
      </c>
      <c r="AF385" s="9">
        <f t="shared" si="193"/>
        <v>988949.78</v>
      </c>
      <c r="AG385" s="59" t="s">
        <v>966</v>
      </c>
      <c r="AH385" s="13" t="s">
        <v>1622</v>
      </c>
      <c r="AI385" s="1">
        <f>508508.59+217597.28+20606.15-1971.58+7286.02</f>
        <v>752026.46000000008</v>
      </c>
      <c r="AJ385" s="1">
        <f>79461.28+51123.81+3929.69+7150.18+1750.08</f>
        <v>143415.03999999998</v>
      </c>
    </row>
    <row r="386" spans="1:36" ht="141.75" x14ac:dyDescent="0.25">
      <c r="A386" s="5">
        <f t="shared" si="183"/>
        <v>383</v>
      </c>
      <c r="B386" s="15">
        <v>110998</v>
      </c>
      <c r="C386" s="6">
        <v>333</v>
      </c>
      <c r="D386" s="5" t="s">
        <v>143</v>
      </c>
      <c r="E386" s="17" t="s">
        <v>271</v>
      </c>
      <c r="F386" s="17" t="s">
        <v>429</v>
      </c>
      <c r="G386" s="3" t="s">
        <v>430</v>
      </c>
      <c r="H386" s="5" t="s">
        <v>151</v>
      </c>
      <c r="I386" s="41" t="s">
        <v>470</v>
      </c>
      <c r="J386" s="2">
        <v>43244</v>
      </c>
      <c r="K386" s="2">
        <v>43762</v>
      </c>
      <c r="L386" s="16">
        <f t="shared" si="189"/>
        <v>82.304186800362686</v>
      </c>
      <c r="M386" s="5" t="s">
        <v>273</v>
      </c>
      <c r="N386" s="5" t="s">
        <v>262</v>
      </c>
      <c r="O386" s="5" t="s">
        <v>262</v>
      </c>
      <c r="P386" s="3" t="s">
        <v>275</v>
      </c>
      <c r="Q386" s="5" t="s">
        <v>34</v>
      </c>
      <c r="R386" s="9">
        <f t="shared" si="190"/>
        <v>802303.17999999993</v>
      </c>
      <c r="S386" s="9">
        <v>646987.62</v>
      </c>
      <c r="T386" s="9">
        <v>155315.56</v>
      </c>
      <c r="U386" s="9">
        <f t="shared" si="194"/>
        <v>153003.18</v>
      </c>
      <c r="V386" s="53">
        <v>114174.29</v>
      </c>
      <c r="W386" s="53">
        <v>38828.89</v>
      </c>
      <c r="X386" s="9">
        <f t="shared" si="191"/>
        <v>0</v>
      </c>
      <c r="Y386" s="185">
        <v>0</v>
      </c>
      <c r="Z386" s="185">
        <v>0</v>
      </c>
      <c r="AA386" s="9">
        <f t="shared" si="192"/>
        <v>19496.03</v>
      </c>
      <c r="AB386" s="9">
        <v>15533.9</v>
      </c>
      <c r="AC386" s="9">
        <v>3962.13</v>
      </c>
      <c r="AD386" s="44">
        <f t="shared" si="182"/>
        <v>974802.3899999999</v>
      </c>
      <c r="AE386" s="9">
        <v>0</v>
      </c>
      <c r="AF386" s="9">
        <f t="shared" si="193"/>
        <v>974802.3899999999</v>
      </c>
      <c r="AG386" s="49" t="s">
        <v>966</v>
      </c>
      <c r="AH386" s="13" t="s">
        <v>1487</v>
      </c>
      <c r="AI386" s="1">
        <f>685815.27+32782.58+20651.76+10555.66</f>
        <v>749805.27</v>
      </c>
      <c r="AJ386" s="1">
        <f>115562.98+6251.8+3938.4+17238.46</f>
        <v>142991.63999999998</v>
      </c>
    </row>
    <row r="387" spans="1:36" ht="236.25" x14ac:dyDescent="0.25">
      <c r="A387" s="5">
        <f t="shared" si="183"/>
        <v>384</v>
      </c>
      <c r="B387" s="192">
        <v>115759</v>
      </c>
      <c r="C387" s="193">
        <v>400</v>
      </c>
      <c r="D387" s="29" t="s">
        <v>143</v>
      </c>
      <c r="E387" s="178" t="s">
        <v>385</v>
      </c>
      <c r="F387" s="178" t="s">
        <v>549</v>
      </c>
      <c r="G387" s="29" t="s">
        <v>550</v>
      </c>
      <c r="H387" s="29" t="s">
        <v>551</v>
      </c>
      <c r="I387" s="194" t="s">
        <v>552</v>
      </c>
      <c r="J387" s="35">
        <v>43270</v>
      </c>
      <c r="K387" s="2">
        <v>44488</v>
      </c>
      <c r="L387" s="16">
        <f t="shared" si="189"/>
        <v>83.983862578705725</v>
      </c>
      <c r="M387" s="29" t="s">
        <v>273</v>
      </c>
      <c r="N387" s="5" t="s">
        <v>262</v>
      </c>
      <c r="O387" s="5" t="s">
        <v>262</v>
      </c>
      <c r="P387" s="195" t="s">
        <v>138</v>
      </c>
      <c r="Q387" s="29" t="s">
        <v>34</v>
      </c>
      <c r="R387" s="9">
        <f t="shared" si="190"/>
        <v>6356286.5300000003</v>
      </c>
      <c r="S387" s="9">
        <v>5125791.33</v>
      </c>
      <c r="T387" s="9">
        <v>1230495.2</v>
      </c>
      <c r="U387" s="9">
        <f t="shared" si="194"/>
        <v>0</v>
      </c>
      <c r="V387" s="53">
        <v>0</v>
      </c>
      <c r="W387" s="53">
        <v>0</v>
      </c>
      <c r="X387" s="9">
        <f t="shared" si="191"/>
        <v>1212175.2373343939</v>
      </c>
      <c r="Y387" s="9">
        <v>904551.39</v>
      </c>
      <c r="Z387" s="9">
        <v>307623.84733439377</v>
      </c>
      <c r="AA387" s="9">
        <f t="shared" si="192"/>
        <v>0</v>
      </c>
      <c r="AB387" s="9">
        <v>0</v>
      </c>
      <c r="AC387" s="9">
        <v>0</v>
      </c>
      <c r="AD387" s="44">
        <f t="shared" si="182"/>
        <v>7568461.7673343942</v>
      </c>
      <c r="AE387" s="9"/>
      <c r="AF387" s="9">
        <f t="shared" si="193"/>
        <v>7568461.7673343942</v>
      </c>
      <c r="AG387" s="59" t="s">
        <v>515</v>
      </c>
      <c r="AH387" s="13" t="s">
        <v>2136</v>
      </c>
      <c r="AI387" s="1">
        <f>4870800.16+213439.97+149727.1+41958.34+400275.16+91968.64+22797.41+18285.05</f>
        <v>5809251.8299999991</v>
      </c>
      <c r="AJ387" s="1">
        <v>0</v>
      </c>
    </row>
    <row r="388" spans="1:36" ht="158.25" thickBot="1" x14ac:dyDescent="0.3">
      <c r="A388" s="5">
        <f t="shared" si="183"/>
        <v>385</v>
      </c>
      <c r="B388" s="15">
        <v>118716</v>
      </c>
      <c r="C388" s="6">
        <v>455</v>
      </c>
      <c r="D388" s="134" t="s">
        <v>1988</v>
      </c>
      <c r="E388" s="17" t="s">
        <v>440</v>
      </c>
      <c r="F388" s="8" t="s">
        <v>438</v>
      </c>
      <c r="G388" s="3" t="s">
        <v>439</v>
      </c>
      <c r="H388" s="5" t="s">
        <v>151</v>
      </c>
      <c r="I388" s="41" t="s">
        <v>472</v>
      </c>
      <c r="J388" s="2">
        <v>43249</v>
      </c>
      <c r="K388" s="2">
        <v>44590</v>
      </c>
      <c r="L388" s="16">
        <f t="shared" si="189"/>
        <v>83.983862841968545</v>
      </c>
      <c r="M388" s="5" t="s">
        <v>273</v>
      </c>
      <c r="N388" s="5" t="s">
        <v>262</v>
      </c>
      <c r="O388" s="5" t="s">
        <v>262</v>
      </c>
      <c r="P388" s="3" t="s">
        <v>138</v>
      </c>
      <c r="Q388" s="5" t="s">
        <v>34</v>
      </c>
      <c r="R388" s="9">
        <f t="shared" si="190"/>
        <v>2343689.42</v>
      </c>
      <c r="S388" s="9">
        <v>1889981.33</v>
      </c>
      <c r="T388" s="9">
        <v>453708.09</v>
      </c>
      <c r="U388" s="9">
        <f t="shared" si="194"/>
        <v>0</v>
      </c>
      <c r="V388" s="53"/>
      <c r="W388" s="53"/>
      <c r="X388" s="9">
        <f t="shared" si="191"/>
        <v>446953.14</v>
      </c>
      <c r="Y388" s="9">
        <v>333526.11</v>
      </c>
      <c r="Z388" s="9">
        <v>113427.03</v>
      </c>
      <c r="AA388" s="9">
        <f t="shared" si="192"/>
        <v>0</v>
      </c>
      <c r="AB388" s="9">
        <v>0</v>
      </c>
      <c r="AC388" s="9">
        <v>0</v>
      </c>
      <c r="AD388" s="44">
        <f t="shared" si="182"/>
        <v>2790642.56</v>
      </c>
      <c r="AE388" s="9">
        <v>0</v>
      </c>
      <c r="AF388" s="9">
        <f t="shared" si="193"/>
        <v>2790642.56</v>
      </c>
      <c r="AG388" s="59" t="s">
        <v>515</v>
      </c>
      <c r="AH388" s="196" t="s">
        <v>2160</v>
      </c>
      <c r="AI388" s="1">
        <f>145011.94+359253.32+95755.51+413834.13+212612.28+361774.06+13423.98+9573.32</f>
        <v>1611238.54</v>
      </c>
      <c r="AJ388" s="1">
        <v>0</v>
      </c>
    </row>
    <row r="389" spans="1:36" ht="283.5" x14ac:dyDescent="0.25">
      <c r="A389" s="5">
        <f t="shared" si="183"/>
        <v>386</v>
      </c>
      <c r="B389" s="15">
        <v>109777</v>
      </c>
      <c r="C389" s="6">
        <v>363</v>
      </c>
      <c r="D389" s="5" t="s">
        <v>143</v>
      </c>
      <c r="E389" s="17" t="s">
        <v>271</v>
      </c>
      <c r="F389" s="3" t="s">
        <v>442</v>
      </c>
      <c r="G389" s="27" t="s">
        <v>441</v>
      </c>
      <c r="H389" s="27" t="s">
        <v>151</v>
      </c>
      <c r="I389" s="73" t="s">
        <v>443</v>
      </c>
      <c r="J389" s="2">
        <v>43251</v>
      </c>
      <c r="K389" s="2">
        <v>43738</v>
      </c>
      <c r="L389" s="16">
        <f t="shared" si="189"/>
        <v>82.304185429325983</v>
      </c>
      <c r="M389" s="5" t="s">
        <v>273</v>
      </c>
      <c r="N389" s="5" t="s">
        <v>220</v>
      </c>
      <c r="O389" s="5" t="s">
        <v>361</v>
      </c>
      <c r="P389" s="3" t="s">
        <v>275</v>
      </c>
      <c r="Q389" s="5" t="s">
        <v>34</v>
      </c>
      <c r="R389" s="9">
        <f t="shared" si="190"/>
        <v>809738</v>
      </c>
      <c r="S389" s="9">
        <v>652983.16</v>
      </c>
      <c r="T389" s="9">
        <v>156754.84</v>
      </c>
      <c r="U389" s="9">
        <f t="shared" si="194"/>
        <v>154421.03</v>
      </c>
      <c r="V389" s="53">
        <v>115232.31</v>
      </c>
      <c r="W389" s="53">
        <v>39188.720000000001</v>
      </c>
      <c r="X389" s="9">
        <f t="shared" si="191"/>
        <v>0</v>
      </c>
      <c r="Y389" s="9">
        <v>0</v>
      </c>
      <c r="Z389" s="9">
        <v>0</v>
      </c>
      <c r="AA389" s="9">
        <f t="shared" si="192"/>
        <v>19676.72</v>
      </c>
      <c r="AB389" s="9">
        <v>15677.86</v>
      </c>
      <c r="AC389" s="9">
        <v>3998.86</v>
      </c>
      <c r="AD389" s="44">
        <f t="shared" ref="AD389:AD452" si="195">R389+U389+X389+AA389</f>
        <v>983835.75</v>
      </c>
      <c r="AE389" s="36">
        <v>0</v>
      </c>
      <c r="AF389" s="9">
        <f t="shared" si="193"/>
        <v>983835.75</v>
      </c>
      <c r="AG389" s="49" t="s">
        <v>966</v>
      </c>
      <c r="AH389" s="13" t="s">
        <v>1441</v>
      </c>
      <c r="AI389" s="197">
        <f>98383.57+67957.2+131759+61030.49+98383.57-15548.08+97077.59+100688.53-14300.18+89286.06+87658.61-28814.78</f>
        <v>773561.58</v>
      </c>
      <c r="AJ389" s="1">
        <f>12959.77+25127.1+30401.05+15548.08+19201.81+14300.18+16716.91+13267.11</f>
        <v>147522.01</v>
      </c>
    </row>
    <row r="390" spans="1:36" ht="189" x14ac:dyDescent="0.25">
      <c r="A390" s="5">
        <f t="shared" ref="A390:A453" si="196">A389+1</f>
        <v>387</v>
      </c>
      <c r="B390" s="15">
        <v>112263</v>
      </c>
      <c r="C390" s="6">
        <v>212</v>
      </c>
      <c r="D390" s="5" t="s">
        <v>143</v>
      </c>
      <c r="E390" s="17" t="s">
        <v>271</v>
      </c>
      <c r="F390" s="17" t="s">
        <v>446</v>
      </c>
      <c r="G390" s="3" t="s">
        <v>447</v>
      </c>
      <c r="H390" s="5" t="s">
        <v>151</v>
      </c>
      <c r="I390" s="41" t="s">
        <v>473</v>
      </c>
      <c r="J390" s="2">
        <v>43257</v>
      </c>
      <c r="K390" s="2">
        <v>43744</v>
      </c>
      <c r="L390" s="16">
        <f t="shared" si="189"/>
        <v>82.304186636665435</v>
      </c>
      <c r="M390" s="5" t="s">
        <v>273</v>
      </c>
      <c r="N390" s="5" t="s">
        <v>262</v>
      </c>
      <c r="O390" s="5" t="s">
        <v>262</v>
      </c>
      <c r="P390" s="3" t="s">
        <v>275</v>
      </c>
      <c r="Q390" s="5" t="s">
        <v>34</v>
      </c>
      <c r="R390" s="9">
        <f t="shared" si="190"/>
        <v>804068.05999999994</v>
      </c>
      <c r="S390" s="9">
        <v>648410.84</v>
      </c>
      <c r="T390" s="9">
        <v>155657.22</v>
      </c>
      <c r="U390" s="9">
        <f t="shared" si="194"/>
        <v>153339.75</v>
      </c>
      <c r="V390" s="53">
        <v>114425.45</v>
      </c>
      <c r="W390" s="53">
        <v>38914.300000000003</v>
      </c>
      <c r="X390" s="198">
        <f t="shared" si="191"/>
        <v>0</v>
      </c>
      <c r="Y390" s="9">
        <v>0</v>
      </c>
      <c r="Z390" s="9">
        <v>0</v>
      </c>
      <c r="AA390" s="9">
        <f t="shared" si="192"/>
        <v>19538.919999999998</v>
      </c>
      <c r="AB390" s="9">
        <v>15568.08</v>
      </c>
      <c r="AC390" s="9">
        <v>3970.84</v>
      </c>
      <c r="AD390" s="44">
        <f t="shared" si="195"/>
        <v>976946.73</v>
      </c>
      <c r="AE390" s="9">
        <v>0</v>
      </c>
      <c r="AF390" s="9">
        <f t="shared" si="193"/>
        <v>976946.73</v>
      </c>
      <c r="AG390" s="49" t="s">
        <v>966</v>
      </c>
      <c r="AH390" s="13"/>
      <c r="AI390" s="1">
        <f>84638.59+81518.25+15437.85+121639.28+42099.38+37504.88+114980.02+153441.7</f>
        <v>651259.94999999995</v>
      </c>
      <c r="AJ390" s="1">
        <f>13056.08+21574.93+4566.35+8028.56+23258.8+5820.82+47892.94</f>
        <v>124198.48000000001</v>
      </c>
    </row>
    <row r="391" spans="1:36" ht="141.75" x14ac:dyDescent="0.25">
      <c r="A391" s="5">
        <f t="shared" si="196"/>
        <v>388</v>
      </c>
      <c r="B391" s="15">
        <v>118978</v>
      </c>
      <c r="C391" s="6">
        <v>453</v>
      </c>
      <c r="D391" s="134" t="s">
        <v>1988</v>
      </c>
      <c r="E391" s="17" t="s">
        <v>440</v>
      </c>
      <c r="F391" s="17" t="s">
        <v>445</v>
      </c>
      <c r="G391" s="3" t="s">
        <v>444</v>
      </c>
      <c r="H391" s="5" t="s">
        <v>151</v>
      </c>
      <c r="I391" s="41" t="s">
        <v>479</v>
      </c>
      <c r="J391" s="2">
        <v>43257</v>
      </c>
      <c r="K391" s="2">
        <v>45266</v>
      </c>
      <c r="L391" s="16">
        <f t="shared" si="189"/>
        <v>83.983863086542428</v>
      </c>
      <c r="M391" s="5" t="s">
        <v>273</v>
      </c>
      <c r="N391" s="5" t="s">
        <v>262</v>
      </c>
      <c r="O391" s="5" t="s">
        <v>262</v>
      </c>
      <c r="P391" s="3" t="s">
        <v>138</v>
      </c>
      <c r="Q391" s="5" t="s">
        <v>34</v>
      </c>
      <c r="R391" s="9">
        <f t="shared" si="190"/>
        <v>10919953.02</v>
      </c>
      <c r="S391" s="9">
        <v>8805990.6999999993</v>
      </c>
      <c r="T391" s="9">
        <v>2113962.3199999998</v>
      </c>
      <c r="U391" s="9">
        <f t="shared" si="194"/>
        <v>0</v>
      </c>
      <c r="V391" s="53">
        <v>0</v>
      </c>
      <c r="W391" s="53">
        <v>0</v>
      </c>
      <c r="X391" s="9">
        <f t="shared" si="191"/>
        <v>2082488.9000000001</v>
      </c>
      <c r="Y391" s="9">
        <v>1553998.34</v>
      </c>
      <c r="Z391" s="9">
        <v>528490.56000000006</v>
      </c>
      <c r="AA391" s="9">
        <f t="shared" si="192"/>
        <v>0</v>
      </c>
      <c r="AB391" s="9">
        <v>0</v>
      </c>
      <c r="AC391" s="9">
        <v>0</v>
      </c>
      <c r="AD391" s="44">
        <f t="shared" si="195"/>
        <v>13002441.92</v>
      </c>
      <c r="AE391" s="9">
        <v>1503920</v>
      </c>
      <c r="AF391" s="9">
        <f t="shared" si="193"/>
        <v>14506361.92</v>
      </c>
      <c r="AG391" s="59" t="s">
        <v>515</v>
      </c>
      <c r="AH391" s="13" t="s">
        <v>2125</v>
      </c>
      <c r="AI391" s="1">
        <f>1130733.83+797136.44+44591.19+242036.75+45078.83</f>
        <v>2259577.04</v>
      </c>
      <c r="AJ391" s="1">
        <v>0</v>
      </c>
    </row>
    <row r="392" spans="1:36" ht="141.75" x14ac:dyDescent="0.25">
      <c r="A392" s="5">
        <f t="shared" si="196"/>
        <v>389</v>
      </c>
      <c r="B392" s="15">
        <v>119317</v>
      </c>
      <c r="C392" s="6">
        <v>456</v>
      </c>
      <c r="D392" s="134" t="s">
        <v>1988</v>
      </c>
      <c r="E392" s="17" t="s">
        <v>440</v>
      </c>
      <c r="F392" s="17" t="s">
        <v>480</v>
      </c>
      <c r="G392" s="3" t="s">
        <v>553</v>
      </c>
      <c r="H392" s="5" t="s">
        <v>151</v>
      </c>
      <c r="I392" s="41" t="s">
        <v>481</v>
      </c>
      <c r="J392" s="2">
        <v>43257</v>
      </c>
      <c r="K392" s="2">
        <v>44353</v>
      </c>
      <c r="L392" s="16">
        <f t="shared" si="189"/>
        <v>83.98386278492832</v>
      </c>
      <c r="M392" s="5" t="s">
        <v>273</v>
      </c>
      <c r="N392" s="5" t="s">
        <v>262</v>
      </c>
      <c r="O392" s="5" t="s">
        <v>262</v>
      </c>
      <c r="P392" s="3" t="s">
        <v>138</v>
      </c>
      <c r="Q392" s="5" t="s">
        <v>34</v>
      </c>
      <c r="R392" s="9">
        <f t="shared" si="190"/>
        <v>26702638.300000001</v>
      </c>
      <c r="S392" s="9">
        <v>21533351.300000001</v>
      </c>
      <c r="T392" s="9">
        <v>5169287</v>
      </c>
      <c r="U392" s="9">
        <f t="shared" si="194"/>
        <v>0</v>
      </c>
      <c r="V392" s="53"/>
      <c r="W392" s="53"/>
      <c r="X392" s="9">
        <f t="shared" si="191"/>
        <v>5092324.9399999995</v>
      </c>
      <c r="Y392" s="9">
        <v>3800003.21</v>
      </c>
      <c r="Z392" s="9">
        <v>1292321.73</v>
      </c>
      <c r="AA392" s="9">
        <f t="shared" si="192"/>
        <v>0</v>
      </c>
      <c r="AB392" s="9">
        <v>0</v>
      </c>
      <c r="AC392" s="9">
        <v>0</v>
      </c>
      <c r="AD392" s="44">
        <f t="shared" si="195"/>
        <v>31794963.240000002</v>
      </c>
      <c r="AE392" s="9">
        <v>0</v>
      </c>
      <c r="AF392" s="9">
        <f t="shared" si="193"/>
        <v>31794963.240000002</v>
      </c>
      <c r="AG392" s="59" t="s">
        <v>966</v>
      </c>
      <c r="AH392" s="13" t="s">
        <v>2096</v>
      </c>
      <c r="AI392" s="1">
        <f>13204122.23+142867.13+282693.25+662367.12+10832840.9+52086.64</f>
        <v>25176977.270000003</v>
      </c>
      <c r="AJ392" s="1">
        <v>0</v>
      </c>
    </row>
    <row r="393" spans="1:36" ht="283.5" x14ac:dyDescent="0.25">
      <c r="A393" s="5">
        <f t="shared" si="196"/>
        <v>390</v>
      </c>
      <c r="B393" s="15">
        <v>111319</v>
      </c>
      <c r="C393" s="6">
        <v>359</v>
      </c>
      <c r="D393" s="5" t="s">
        <v>143</v>
      </c>
      <c r="E393" s="17" t="s">
        <v>271</v>
      </c>
      <c r="F393" s="17" t="s">
        <v>485</v>
      </c>
      <c r="G393" s="3" t="s">
        <v>483</v>
      </c>
      <c r="H393" s="5" t="s">
        <v>486</v>
      </c>
      <c r="I393" s="41" t="s">
        <v>487</v>
      </c>
      <c r="J393" s="2">
        <v>43256</v>
      </c>
      <c r="K393" s="2">
        <v>43866</v>
      </c>
      <c r="L393" s="16">
        <f t="shared" si="189"/>
        <v>82.304189744785745</v>
      </c>
      <c r="M393" s="5" t="s">
        <v>273</v>
      </c>
      <c r="N393" s="5" t="s">
        <v>732</v>
      </c>
      <c r="O393" s="5" t="s">
        <v>732</v>
      </c>
      <c r="P393" s="3" t="s">
        <v>275</v>
      </c>
      <c r="Q393" s="5" t="s">
        <v>34</v>
      </c>
      <c r="R393" s="9">
        <f t="shared" si="190"/>
        <v>822860.82000000007</v>
      </c>
      <c r="S393" s="9">
        <v>663565.56000000006</v>
      </c>
      <c r="T393" s="9">
        <v>159295.26</v>
      </c>
      <c r="U393" s="9">
        <f t="shared" si="194"/>
        <v>156923.62</v>
      </c>
      <c r="V393" s="53">
        <v>117099.8</v>
      </c>
      <c r="W393" s="53">
        <v>39823.82</v>
      </c>
      <c r="X393" s="9">
        <f t="shared" si="191"/>
        <v>0</v>
      </c>
      <c r="Y393" s="9">
        <v>0</v>
      </c>
      <c r="Z393" s="9">
        <v>0</v>
      </c>
      <c r="AA393" s="9">
        <f t="shared" si="192"/>
        <v>19995.55</v>
      </c>
      <c r="AB393" s="9">
        <v>15931.91</v>
      </c>
      <c r="AC393" s="9">
        <v>4063.64</v>
      </c>
      <c r="AD393" s="44">
        <f t="shared" si="195"/>
        <v>999779.99000000011</v>
      </c>
      <c r="AE393" s="9">
        <v>0</v>
      </c>
      <c r="AF393" s="9">
        <f t="shared" si="193"/>
        <v>999779.99000000011</v>
      </c>
      <c r="AG393" s="59" t="s">
        <v>1686</v>
      </c>
      <c r="AH393" s="13" t="s">
        <v>1634</v>
      </c>
      <c r="AI393" s="1">
        <v>789088.58</v>
      </c>
      <c r="AJ393" s="1">
        <v>150483.12000000002</v>
      </c>
    </row>
    <row r="394" spans="1:36" ht="409.5" x14ac:dyDescent="0.25">
      <c r="A394" s="5">
        <f t="shared" si="196"/>
        <v>391</v>
      </c>
      <c r="B394" s="15">
        <v>111320</v>
      </c>
      <c r="C394" s="6">
        <v>132</v>
      </c>
      <c r="D394" s="5" t="s">
        <v>143</v>
      </c>
      <c r="E394" s="17" t="s">
        <v>271</v>
      </c>
      <c r="F394" s="17" t="s">
        <v>488</v>
      </c>
      <c r="G394" s="3" t="s">
        <v>489</v>
      </c>
      <c r="H394" s="5" t="s">
        <v>362</v>
      </c>
      <c r="I394" s="41" t="s">
        <v>490</v>
      </c>
      <c r="J394" s="2">
        <v>43258</v>
      </c>
      <c r="K394" s="2">
        <v>43745</v>
      </c>
      <c r="L394" s="16">
        <f t="shared" si="189"/>
        <v>82.304187069212688</v>
      </c>
      <c r="M394" s="5" t="s">
        <v>273</v>
      </c>
      <c r="N394" s="5" t="s">
        <v>262</v>
      </c>
      <c r="O394" s="5" t="s">
        <v>262</v>
      </c>
      <c r="P394" s="3" t="s">
        <v>275</v>
      </c>
      <c r="Q394" s="5" t="s">
        <v>34</v>
      </c>
      <c r="R394" s="9">
        <f t="shared" si="190"/>
        <v>745773.49</v>
      </c>
      <c r="S394" s="9">
        <v>601401.34</v>
      </c>
      <c r="T394" s="9">
        <v>144372.15</v>
      </c>
      <c r="U394" s="9">
        <f t="shared" si="194"/>
        <v>142222.68</v>
      </c>
      <c r="V394" s="53">
        <v>106129.65</v>
      </c>
      <c r="W394" s="53">
        <v>36093.03</v>
      </c>
      <c r="X394" s="9">
        <f t="shared" si="191"/>
        <v>0</v>
      </c>
      <c r="Y394" s="9">
        <v>0</v>
      </c>
      <c r="Z394" s="9">
        <v>0</v>
      </c>
      <c r="AA394" s="9">
        <f t="shared" si="192"/>
        <v>18122.36</v>
      </c>
      <c r="AB394" s="9">
        <v>14439.4</v>
      </c>
      <c r="AC394" s="9">
        <v>3682.96</v>
      </c>
      <c r="AD394" s="44">
        <f t="shared" si="195"/>
        <v>906118.52999999991</v>
      </c>
      <c r="AE394" s="9">
        <v>0</v>
      </c>
      <c r="AF394" s="9">
        <f t="shared" si="193"/>
        <v>906118.52999999991</v>
      </c>
      <c r="AG394" s="49" t="s">
        <v>966</v>
      </c>
      <c r="AH394" s="13"/>
      <c r="AI394" s="1">
        <f>592141.33+76026.28+52285.05</f>
        <v>720452.66</v>
      </c>
      <c r="AJ394" s="1">
        <f>23379.78+18253.47+17321.01+18762.68+17927.2+31778.72+9971.04</f>
        <v>137393.9</v>
      </c>
    </row>
    <row r="395" spans="1:36" ht="141.75" x14ac:dyDescent="0.25">
      <c r="A395" s="5">
        <f t="shared" si="196"/>
        <v>392</v>
      </c>
      <c r="B395" s="15">
        <v>110527</v>
      </c>
      <c r="C395" s="6">
        <v>353</v>
      </c>
      <c r="D395" s="5" t="s">
        <v>143</v>
      </c>
      <c r="E395" s="17" t="s">
        <v>271</v>
      </c>
      <c r="F395" s="17" t="s">
        <v>491</v>
      </c>
      <c r="G395" s="3" t="s">
        <v>492</v>
      </c>
      <c r="H395" s="5" t="s">
        <v>493</v>
      </c>
      <c r="I395" s="41" t="s">
        <v>494</v>
      </c>
      <c r="J395" s="2">
        <v>43258</v>
      </c>
      <c r="K395" s="2">
        <v>43745</v>
      </c>
      <c r="L395" s="16">
        <f t="shared" si="189"/>
        <v>82.304183804307399</v>
      </c>
      <c r="M395" s="5" t="s">
        <v>273</v>
      </c>
      <c r="N395" s="5" t="s">
        <v>262</v>
      </c>
      <c r="O395" s="5" t="s">
        <v>262</v>
      </c>
      <c r="P395" s="3" t="s">
        <v>275</v>
      </c>
      <c r="Q395" s="5" t="s">
        <v>34</v>
      </c>
      <c r="R395" s="9">
        <f t="shared" si="190"/>
        <v>797101.36999999988</v>
      </c>
      <c r="S395" s="9">
        <v>642792.81999999995</v>
      </c>
      <c r="T395" s="9">
        <v>154308.54999999999</v>
      </c>
      <c r="U395" s="9">
        <f t="shared" si="194"/>
        <v>152011.18</v>
      </c>
      <c r="V395" s="53">
        <v>113434.03</v>
      </c>
      <c r="W395" s="53">
        <v>38577.15</v>
      </c>
      <c r="X395" s="9">
        <f t="shared" si="191"/>
        <v>0</v>
      </c>
      <c r="Y395" s="9">
        <v>0</v>
      </c>
      <c r="Z395" s="9">
        <v>0</v>
      </c>
      <c r="AA395" s="9">
        <f t="shared" si="192"/>
        <v>19369.649999999998</v>
      </c>
      <c r="AB395" s="9">
        <v>15433.21</v>
      </c>
      <c r="AC395" s="9">
        <v>3936.44</v>
      </c>
      <c r="AD395" s="44">
        <f t="shared" si="195"/>
        <v>968482.19999999984</v>
      </c>
      <c r="AE395" s="9"/>
      <c r="AF395" s="9">
        <f t="shared" si="193"/>
        <v>968482.19999999984</v>
      </c>
      <c r="AG395" s="49" t="s">
        <v>966</v>
      </c>
      <c r="AH395" s="13"/>
      <c r="AI395" s="1">
        <f>151069.39+15306.08+96848.21+24994.02+61062.29+191670.85+146395.04</f>
        <v>687345.88</v>
      </c>
      <c r="AJ395" s="1">
        <f>10340.24+21388.37+4766.48+30114.35+18083.14+46387.73</f>
        <v>131080.31</v>
      </c>
    </row>
    <row r="396" spans="1:36" ht="173.25" x14ac:dyDescent="0.25">
      <c r="A396" s="5">
        <f t="shared" si="196"/>
        <v>393</v>
      </c>
      <c r="B396" s="15">
        <v>112412</v>
      </c>
      <c r="C396" s="6">
        <v>269</v>
      </c>
      <c r="D396" s="5" t="s">
        <v>143</v>
      </c>
      <c r="E396" s="17" t="s">
        <v>271</v>
      </c>
      <c r="F396" s="17" t="s">
        <v>495</v>
      </c>
      <c r="G396" s="3" t="s">
        <v>496</v>
      </c>
      <c r="H396" s="5" t="s">
        <v>497</v>
      </c>
      <c r="I396" s="41" t="s">
        <v>498</v>
      </c>
      <c r="J396" s="2">
        <v>43259</v>
      </c>
      <c r="K396" s="2">
        <v>43869</v>
      </c>
      <c r="L396" s="16">
        <f t="shared" si="189"/>
        <v>82.304183541065214</v>
      </c>
      <c r="M396" s="5" t="s">
        <v>273</v>
      </c>
      <c r="N396" s="5" t="s">
        <v>262</v>
      </c>
      <c r="O396" s="5" t="s">
        <v>262</v>
      </c>
      <c r="P396" s="3" t="s">
        <v>275</v>
      </c>
      <c r="Q396" s="5" t="s">
        <v>34</v>
      </c>
      <c r="R396" s="9">
        <f t="shared" si="190"/>
        <v>789670.74</v>
      </c>
      <c r="S396" s="9">
        <v>636800.65</v>
      </c>
      <c r="T396" s="9">
        <v>152870.09</v>
      </c>
      <c r="U396" s="9">
        <f t="shared" si="194"/>
        <v>150594.14000000001</v>
      </c>
      <c r="V396" s="53">
        <v>112376.61</v>
      </c>
      <c r="W396" s="53">
        <v>38217.53</v>
      </c>
      <c r="X396" s="9">
        <f t="shared" si="191"/>
        <v>0</v>
      </c>
      <c r="Y396" s="9">
        <v>0</v>
      </c>
      <c r="Z396" s="9">
        <v>0</v>
      </c>
      <c r="AA396" s="9">
        <f t="shared" si="192"/>
        <v>19189.07</v>
      </c>
      <c r="AB396" s="9">
        <v>15289.33</v>
      </c>
      <c r="AC396" s="9">
        <v>3899.74</v>
      </c>
      <c r="AD396" s="44">
        <f t="shared" si="195"/>
        <v>959453.95</v>
      </c>
      <c r="AE396" s="9"/>
      <c r="AF396" s="9">
        <f t="shared" si="193"/>
        <v>959453.95</v>
      </c>
      <c r="AG396" s="59" t="s">
        <v>1686</v>
      </c>
      <c r="AH396" s="13" t="s">
        <v>1532</v>
      </c>
      <c r="AI396" s="1">
        <f>95945.38+5019.44+25010.26+9763.75+114260.12+16124.2+16125.04+203494.65+30475.94+16453.44+90320.57+23005.98</f>
        <v>645998.77</v>
      </c>
      <c r="AJ396" s="1">
        <f>7941.36+4769.59+16667.83+3074.99+3075.12+38807.41+5811.93+3137.74+21791.13+18118.11</f>
        <v>123195.21000000002</v>
      </c>
    </row>
    <row r="397" spans="1:36" ht="393.75" x14ac:dyDescent="0.25">
      <c r="A397" s="5">
        <f t="shared" si="196"/>
        <v>394</v>
      </c>
      <c r="B397" s="15">
        <v>113035</v>
      </c>
      <c r="C397" s="6">
        <v>332</v>
      </c>
      <c r="D397" s="5" t="s">
        <v>143</v>
      </c>
      <c r="E397" s="17" t="s">
        <v>271</v>
      </c>
      <c r="F397" s="17" t="s">
        <v>499</v>
      </c>
      <c r="G397" s="5" t="s">
        <v>500</v>
      </c>
      <c r="H397" s="5" t="s">
        <v>362</v>
      </c>
      <c r="I397" s="41" t="s">
        <v>1600</v>
      </c>
      <c r="J397" s="2">
        <v>43258</v>
      </c>
      <c r="K397" s="2">
        <v>43745</v>
      </c>
      <c r="L397" s="16">
        <f t="shared" si="189"/>
        <v>82.304190781814583</v>
      </c>
      <c r="M397" s="5" t="s">
        <v>273</v>
      </c>
      <c r="N397" s="5" t="s">
        <v>262</v>
      </c>
      <c r="O397" s="5" t="s">
        <v>262</v>
      </c>
      <c r="P397" s="3" t="s">
        <v>275</v>
      </c>
      <c r="Q397" s="5" t="s">
        <v>34</v>
      </c>
      <c r="R397" s="9">
        <f t="shared" si="190"/>
        <v>813615.64999999991</v>
      </c>
      <c r="S397" s="9">
        <v>656110.1</v>
      </c>
      <c r="T397" s="9">
        <v>157505.54999999999</v>
      </c>
      <c r="U397" s="9">
        <f t="shared" si="194"/>
        <v>155160.44</v>
      </c>
      <c r="V397" s="53">
        <v>115784.14</v>
      </c>
      <c r="W397" s="53">
        <v>39376.300000000003</v>
      </c>
      <c r="X397" s="9">
        <f t="shared" si="191"/>
        <v>0</v>
      </c>
      <c r="Y397" s="9">
        <v>0</v>
      </c>
      <c r="Z397" s="9">
        <v>0</v>
      </c>
      <c r="AA397" s="9">
        <f t="shared" si="192"/>
        <v>19770.96</v>
      </c>
      <c r="AB397" s="9">
        <v>15752.93</v>
      </c>
      <c r="AC397" s="9">
        <v>4018.03</v>
      </c>
      <c r="AD397" s="44">
        <f t="shared" si="195"/>
        <v>988547.04999999981</v>
      </c>
      <c r="AE397" s="9">
        <v>0</v>
      </c>
      <c r="AF397" s="9">
        <f t="shared" si="193"/>
        <v>988547.04999999981</v>
      </c>
      <c r="AG397" s="49" t="s">
        <v>966</v>
      </c>
      <c r="AH397" s="13" t="s">
        <v>1524</v>
      </c>
      <c r="AI397" s="1">
        <f>660984.49+9608.72+119843.6-177</f>
        <v>790259.80999999994</v>
      </c>
      <c r="AJ397" s="1">
        <f>107200.99+19833+22854.78+817.6</f>
        <v>150706.37000000002</v>
      </c>
    </row>
    <row r="398" spans="1:36" ht="267.75" x14ac:dyDescent="0.25">
      <c r="A398" s="5">
        <f t="shared" si="196"/>
        <v>395</v>
      </c>
      <c r="B398" s="15">
        <v>112992</v>
      </c>
      <c r="C398" s="78">
        <v>233</v>
      </c>
      <c r="D398" s="5" t="s">
        <v>143</v>
      </c>
      <c r="E398" s="17" t="s">
        <v>271</v>
      </c>
      <c r="F398" s="119" t="s">
        <v>501</v>
      </c>
      <c r="G398" s="5" t="s">
        <v>502</v>
      </c>
      <c r="H398" s="5" t="s">
        <v>362</v>
      </c>
      <c r="I398" s="41" t="s">
        <v>1601</v>
      </c>
      <c r="J398" s="2">
        <v>43259</v>
      </c>
      <c r="K398" s="2">
        <v>43807</v>
      </c>
      <c r="L398" s="16">
        <f t="shared" si="189"/>
        <v>82.304185804634827</v>
      </c>
      <c r="M398" s="5" t="s">
        <v>273</v>
      </c>
      <c r="N398" s="5" t="s">
        <v>262</v>
      </c>
      <c r="O398" s="5" t="s">
        <v>262</v>
      </c>
      <c r="P398" s="3" t="s">
        <v>275</v>
      </c>
      <c r="Q398" s="5" t="s">
        <v>34</v>
      </c>
      <c r="R398" s="9">
        <f t="shared" si="190"/>
        <v>413202.42000000004</v>
      </c>
      <c r="S398" s="9">
        <v>333211.76</v>
      </c>
      <c r="T398" s="9">
        <v>79990.66</v>
      </c>
      <c r="U398" s="9">
        <f t="shared" si="194"/>
        <v>78799.740000000005</v>
      </c>
      <c r="V398" s="53">
        <v>58802.080000000002</v>
      </c>
      <c r="W398" s="53">
        <v>19997.66</v>
      </c>
      <c r="X398" s="9">
        <f t="shared" si="191"/>
        <v>0</v>
      </c>
      <c r="Y398" s="9">
        <v>0</v>
      </c>
      <c r="Z398" s="9">
        <v>0</v>
      </c>
      <c r="AA398" s="9">
        <f t="shared" si="192"/>
        <v>10040.86</v>
      </c>
      <c r="AB398" s="9">
        <v>8000.27</v>
      </c>
      <c r="AC398" s="9">
        <v>2040.59</v>
      </c>
      <c r="AD398" s="44">
        <f t="shared" si="195"/>
        <v>502043.02</v>
      </c>
      <c r="AE398" s="9">
        <v>96.29</v>
      </c>
      <c r="AF398" s="9">
        <f t="shared" si="193"/>
        <v>502139.31</v>
      </c>
      <c r="AG398" s="49" t="s">
        <v>966</v>
      </c>
      <c r="AH398" s="13" t="s">
        <v>1510</v>
      </c>
      <c r="AI398" s="1">
        <f>288667.07+18246.61+35182-18201.37</f>
        <v>323894.31</v>
      </c>
      <c r="AJ398" s="1">
        <f>45476.06+13053.86+3238.27</f>
        <v>61768.189999999995</v>
      </c>
    </row>
    <row r="399" spans="1:36" ht="173.25" x14ac:dyDescent="0.25">
      <c r="A399" s="5">
        <f t="shared" si="196"/>
        <v>396</v>
      </c>
      <c r="B399" s="15">
        <v>109834</v>
      </c>
      <c r="C399" s="78">
        <v>202</v>
      </c>
      <c r="D399" s="5" t="s">
        <v>143</v>
      </c>
      <c r="E399" s="17" t="s">
        <v>271</v>
      </c>
      <c r="F399" s="119" t="s">
        <v>507</v>
      </c>
      <c r="G399" s="5" t="s">
        <v>508</v>
      </c>
      <c r="H399" s="5" t="s">
        <v>362</v>
      </c>
      <c r="I399" s="41" t="s">
        <v>509</v>
      </c>
      <c r="J399" s="2">
        <v>43264</v>
      </c>
      <c r="K399" s="2">
        <v>43751</v>
      </c>
      <c r="L399" s="16">
        <f t="shared" si="189"/>
        <v>82.304183375849476</v>
      </c>
      <c r="M399" s="5" t="s">
        <v>273</v>
      </c>
      <c r="N399" s="5" t="s">
        <v>262</v>
      </c>
      <c r="O399" s="5" t="s">
        <v>262</v>
      </c>
      <c r="P399" s="3" t="s">
        <v>275</v>
      </c>
      <c r="Q399" s="5" t="s">
        <v>34</v>
      </c>
      <c r="R399" s="9">
        <f t="shared" si="190"/>
        <v>756907.55</v>
      </c>
      <c r="S399" s="9">
        <v>610380.03</v>
      </c>
      <c r="T399" s="9">
        <v>146527.51999999999</v>
      </c>
      <c r="U399" s="9">
        <f t="shared" si="194"/>
        <v>144346.04</v>
      </c>
      <c r="V399" s="53">
        <v>107714.13</v>
      </c>
      <c r="W399" s="53">
        <v>36631.910000000003</v>
      </c>
      <c r="X399" s="9">
        <f t="shared" si="191"/>
        <v>0</v>
      </c>
      <c r="Y399" s="9">
        <v>0</v>
      </c>
      <c r="Z399" s="9">
        <v>0</v>
      </c>
      <c r="AA399" s="9">
        <f t="shared" si="192"/>
        <v>18392.919999999998</v>
      </c>
      <c r="AB399" s="9">
        <v>14654.96</v>
      </c>
      <c r="AC399" s="9">
        <v>3737.96</v>
      </c>
      <c r="AD399" s="44">
        <f t="shared" si="195"/>
        <v>919646.51000000013</v>
      </c>
      <c r="AE399" s="9">
        <v>0</v>
      </c>
      <c r="AF399" s="9">
        <f t="shared" si="193"/>
        <v>919646.51000000013</v>
      </c>
      <c r="AG399" s="49" t="s">
        <v>966</v>
      </c>
      <c r="AH399" s="13" t="s">
        <v>1501</v>
      </c>
      <c r="AI399" s="1">
        <f>563280.08+150291.55-17456.57</f>
        <v>696115.05999999994</v>
      </c>
      <c r="AJ399" s="1">
        <f>103044.14+15874.06+13834.42</f>
        <v>132752.62</v>
      </c>
    </row>
    <row r="400" spans="1:36" ht="267.75" x14ac:dyDescent="0.25">
      <c r="A400" s="5">
        <f t="shared" si="196"/>
        <v>397</v>
      </c>
      <c r="B400" s="15">
        <v>111613</v>
      </c>
      <c r="C400" s="78">
        <v>289</v>
      </c>
      <c r="D400" s="5" t="s">
        <v>143</v>
      </c>
      <c r="E400" s="17" t="s">
        <v>271</v>
      </c>
      <c r="F400" s="119" t="s">
        <v>510</v>
      </c>
      <c r="G400" s="5" t="s">
        <v>511</v>
      </c>
      <c r="H400" s="5" t="s">
        <v>512</v>
      </c>
      <c r="I400" s="41" t="s">
        <v>513</v>
      </c>
      <c r="J400" s="2">
        <v>43264</v>
      </c>
      <c r="K400" s="2">
        <v>43751</v>
      </c>
      <c r="L400" s="16">
        <f t="shared" si="189"/>
        <v>82.304185024184278</v>
      </c>
      <c r="M400" s="5" t="s">
        <v>273</v>
      </c>
      <c r="N400" s="5" t="s">
        <v>514</v>
      </c>
      <c r="O400" s="5" t="s">
        <v>514</v>
      </c>
      <c r="P400" s="3" t="s">
        <v>275</v>
      </c>
      <c r="Q400" s="5" t="s">
        <v>34</v>
      </c>
      <c r="R400" s="9">
        <f t="shared" si="190"/>
        <v>790560.66</v>
      </c>
      <c r="S400" s="9">
        <v>637518.30000000005</v>
      </c>
      <c r="T400" s="9">
        <v>153042.35999999999</v>
      </c>
      <c r="U400" s="9">
        <f t="shared" si="194"/>
        <v>150763.83000000002</v>
      </c>
      <c r="V400" s="53">
        <v>112503.22</v>
      </c>
      <c r="W400" s="53">
        <v>38260.61</v>
      </c>
      <c r="X400" s="9">
        <v>0</v>
      </c>
      <c r="Y400" s="9">
        <v>0</v>
      </c>
      <c r="Z400" s="9">
        <v>0</v>
      </c>
      <c r="AA400" s="9">
        <f t="shared" si="192"/>
        <v>19210.7</v>
      </c>
      <c r="AB400" s="9">
        <v>15306.57</v>
      </c>
      <c r="AC400" s="9">
        <v>3904.13</v>
      </c>
      <c r="AD400" s="44">
        <f t="shared" si="195"/>
        <v>960535.19</v>
      </c>
      <c r="AE400" s="9">
        <v>67830</v>
      </c>
      <c r="AF400" s="9">
        <f t="shared" si="193"/>
        <v>1028365.19</v>
      </c>
      <c r="AG400" s="49" t="s">
        <v>966</v>
      </c>
      <c r="AH400" s="13" t="s">
        <v>362</v>
      </c>
      <c r="AI400" s="1">
        <f>601578.5+85673.04+17171.08</f>
        <v>704422.62</v>
      </c>
      <c r="AJ400" s="1">
        <f>96406.11+16338.28+21592.49</f>
        <v>134336.88</v>
      </c>
    </row>
    <row r="401" spans="1:109" ht="173.25" x14ac:dyDescent="0.25">
      <c r="A401" s="5">
        <f t="shared" si="196"/>
        <v>398</v>
      </c>
      <c r="B401" s="15">
        <v>112219</v>
      </c>
      <c r="C401" s="78">
        <v>274</v>
      </c>
      <c r="D401" s="5" t="s">
        <v>143</v>
      </c>
      <c r="E401" s="17" t="s">
        <v>271</v>
      </c>
      <c r="F401" s="17" t="s">
        <v>520</v>
      </c>
      <c r="G401" s="5" t="s">
        <v>521</v>
      </c>
      <c r="H401" s="5" t="s">
        <v>522</v>
      </c>
      <c r="I401" s="41" t="s">
        <v>525</v>
      </c>
      <c r="J401" s="2">
        <v>43262</v>
      </c>
      <c r="K401" s="2">
        <v>43749</v>
      </c>
      <c r="L401" s="16">
        <f t="shared" si="189"/>
        <v>82.304180101214385</v>
      </c>
      <c r="M401" s="5" t="s">
        <v>273</v>
      </c>
      <c r="N401" s="5" t="s">
        <v>523</v>
      </c>
      <c r="O401" s="5" t="s">
        <v>524</v>
      </c>
      <c r="P401" s="3" t="s">
        <v>275</v>
      </c>
      <c r="Q401" s="5" t="s">
        <v>34</v>
      </c>
      <c r="R401" s="9">
        <f t="shared" ref="R401:R418" si="197">S401+T401</f>
        <v>796246.49</v>
      </c>
      <c r="S401" s="9">
        <v>642103.43000000005</v>
      </c>
      <c r="T401" s="9">
        <v>154143.06</v>
      </c>
      <c r="U401" s="9">
        <f t="shared" si="194"/>
        <v>151848.19</v>
      </c>
      <c r="V401" s="53">
        <v>113312.41</v>
      </c>
      <c r="W401" s="53">
        <v>38535.78</v>
      </c>
      <c r="X401" s="9">
        <f t="shared" ref="X401:X431" si="198">Y401+Z401</f>
        <v>0</v>
      </c>
      <c r="Y401" s="9">
        <v>0</v>
      </c>
      <c r="Z401" s="9">
        <v>0</v>
      </c>
      <c r="AA401" s="9">
        <f t="shared" ref="AA401:AA431" si="199">AB401+AC401</f>
        <v>19348.88</v>
      </c>
      <c r="AB401" s="9">
        <v>15416.65</v>
      </c>
      <c r="AC401" s="9">
        <v>3932.23</v>
      </c>
      <c r="AD401" s="44">
        <f t="shared" si="195"/>
        <v>967443.55999999994</v>
      </c>
      <c r="AE401" s="9"/>
      <c r="AF401" s="9">
        <f t="shared" ref="AF401:AF431" si="200">AD401+AE401</f>
        <v>967443.55999999994</v>
      </c>
      <c r="AG401" s="49" t="s">
        <v>966</v>
      </c>
      <c r="AH401" s="13" t="s">
        <v>1515</v>
      </c>
      <c r="AI401" s="1">
        <f>191558.95+82810.85-11941.24+189135.5-9602.09+179531.24+112002.06-2148.73+7719.83</f>
        <v>739066.37</v>
      </c>
      <c r="AJ401" s="1">
        <f>18065.03+15792.44+11941.24+3307.22+18543.36+15614.11+16792.23+39159.49+1728.5</f>
        <v>140943.62</v>
      </c>
    </row>
    <row r="402" spans="1:109" ht="141.75" x14ac:dyDescent="0.25">
      <c r="A402" s="5">
        <f t="shared" si="196"/>
        <v>399</v>
      </c>
      <c r="B402" s="15">
        <v>111981</v>
      </c>
      <c r="C402" s="78">
        <v>264</v>
      </c>
      <c r="D402" s="5" t="s">
        <v>143</v>
      </c>
      <c r="E402" s="17" t="s">
        <v>271</v>
      </c>
      <c r="F402" s="17" t="s">
        <v>526</v>
      </c>
      <c r="G402" s="5" t="s">
        <v>527</v>
      </c>
      <c r="H402" s="5" t="s">
        <v>528</v>
      </c>
      <c r="I402" s="41" t="s">
        <v>530</v>
      </c>
      <c r="J402" s="2">
        <v>43264</v>
      </c>
      <c r="K402" s="2">
        <v>43874</v>
      </c>
      <c r="L402" s="16">
        <f t="shared" si="189"/>
        <v>82.304187524210803</v>
      </c>
      <c r="M402" s="5" t="s">
        <v>273</v>
      </c>
      <c r="N402" s="5" t="s">
        <v>529</v>
      </c>
      <c r="O402" s="5" t="s">
        <v>361</v>
      </c>
      <c r="P402" s="3" t="s">
        <v>275</v>
      </c>
      <c r="Q402" s="5" t="s">
        <v>34</v>
      </c>
      <c r="R402" s="9">
        <f t="shared" si="197"/>
        <v>771066.18</v>
      </c>
      <c r="S402" s="9">
        <v>621797.65</v>
      </c>
      <c r="T402" s="9">
        <v>149268.53</v>
      </c>
      <c r="U402" s="9">
        <f t="shared" si="194"/>
        <v>147046.1</v>
      </c>
      <c r="V402" s="53">
        <v>109729</v>
      </c>
      <c r="W402" s="53">
        <v>37317.1</v>
      </c>
      <c r="X402" s="9">
        <f t="shared" si="198"/>
        <v>0</v>
      </c>
      <c r="Y402" s="9">
        <v>0</v>
      </c>
      <c r="Z402" s="9">
        <v>0</v>
      </c>
      <c r="AA402" s="9">
        <f t="shared" si="199"/>
        <v>18736.989999999998</v>
      </c>
      <c r="AB402" s="9">
        <v>14929.14</v>
      </c>
      <c r="AC402" s="9">
        <v>3807.85</v>
      </c>
      <c r="AD402" s="44">
        <f t="shared" si="195"/>
        <v>936849.27</v>
      </c>
      <c r="AE402" s="9"/>
      <c r="AF402" s="9">
        <f t="shared" si="200"/>
        <v>936849.27</v>
      </c>
      <c r="AG402" s="59" t="s">
        <v>1686</v>
      </c>
      <c r="AH402" s="13" t="s">
        <v>1643</v>
      </c>
      <c r="AI402" s="1">
        <f>627878.85+15145.61+1697.71+43882.89+21028.71</f>
        <v>709633.7699999999</v>
      </c>
      <c r="AJ402" s="1">
        <f>105047.04+2888.35+12346.51+11038.55+4010.29</f>
        <v>135330.74</v>
      </c>
    </row>
    <row r="403" spans="1:109" ht="267.75" x14ac:dyDescent="0.25">
      <c r="A403" s="5">
        <f t="shared" si="196"/>
        <v>400</v>
      </c>
      <c r="B403" s="15">
        <v>113037</v>
      </c>
      <c r="C403" s="78">
        <v>280</v>
      </c>
      <c r="D403" s="5" t="s">
        <v>143</v>
      </c>
      <c r="E403" s="17" t="s">
        <v>271</v>
      </c>
      <c r="F403" s="17" t="s">
        <v>544</v>
      </c>
      <c r="G403" s="5" t="s">
        <v>542</v>
      </c>
      <c r="H403" s="5" t="s">
        <v>543</v>
      </c>
      <c r="I403" s="41" t="s">
        <v>545</v>
      </c>
      <c r="J403" s="2">
        <v>43269</v>
      </c>
      <c r="K403" s="2">
        <v>43756</v>
      </c>
      <c r="L403" s="16">
        <f t="shared" si="189"/>
        <v>82.304185659324261</v>
      </c>
      <c r="M403" s="5" t="s">
        <v>273</v>
      </c>
      <c r="N403" s="5" t="s">
        <v>262</v>
      </c>
      <c r="O403" s="5" t="s">
        <v>262</v>
      </c>
      <c r="P403" s="3" t="s">
        <v>275</v>
      </c>
      <c r="Q403" s="5" t="s">
        <v>34</v>
      </c>
      <c r="R403" s="9">
        <f t="shared" si="197"/>
        <v>812766.5</v>
      </c>
      <c r="S403" s="9">
        <v>655425.36</v>
      </c>
      <c r="T403" s="9">
        <v>157341.14000000001</v>
      </c>
      <c r="U403" s="9">
        <f t="shared" si="194"/>
        <v>154998.59</v>
      </c>
      <c r="V403" s="53">
        <v>115663.31</v>
      </c>
      <c r="W403" s="53">
        <v>39335.279999999999</v>
      </c>
      <c r="X403" s="9">
        <f t="shared" si="198"/>
        <v>0</v>
      </c>
      <c r="Y403" s="9">
        <v>0</v>
      </c>
      <c r="Z403" s="9">
        <v>0</v>
      </c>
      <c r="AA403" s="9">
        <f t="shared" si="199"/>
        <v>19750.3</v>
      </c>
      <c r="AB403" s="9">
        <v>15736.51</v>
      </c>
      <c r="AC403" s="9">
        <v>4013.79</v>
      </c>
      <c r="AD403" s="44">
        <f t="shared" si="195"/>
        <v>987515.39</v>
      </c>
      <c r="AE403" s="9"/>
      <c r="AF403" s="9">
        <f t="shared" si="200"/>
        <v>987515.39</v>
      </c>
      <c r="AG403" s="49" t="s">
        <v>966</v>
      </c>
      <c r="AH403" s="13" t="s">
        <v>362</v>
      </c>
      <c r="AI403" s="1">
        <f>453689.55+62401.05+231922.17+8071.09</f>
        <v>756083.86</v>
      </c>
      <c r="AJ403" s="1">
        <f>14547.96+18386.23+14448.94+20305.31+30732.58+44228.7+1539.2</f>
        <v>144188.92000000001</v>
      </c>
    </row>
    <row r="404" spans="1:109" ht="220.5" x14ac:dyDescent="0.25">
      <c r="A404" s="5">
        <f t="shared" si="196"/>
        <v>401</v>
      </c>
      <c r="B404" s="15">
        <v>126354</v>
      </c>
      <c r="C404" s="15">
        <v>491</v>
      </c>
      <c r="D404" s="134" t="s">
        <v>1988</v>
      </c>
      <c r="E404" s="8" t="s">
        <v>1130</v>
      </c>
      <c r="F404" s="8" t="s">
        <v>1129</v>
      </c>
      <c r="G404" s="5" t="s">
        <v>1128</v>
      </c>
      <c r="H404" s="5" t="s">
        <v>151</v>
      </c>
      <c r="I404" s="8" t="s">
        <v>1131</v>
      </c>
      <c r="J404" s="2">
        <v>43515</v>
      </c>
      <c r="K404" s="2">
        <v>44396</v>
      </c>
      <c r="L404" s="16">
        <f t="shared" si="189"/>
        <v>83.300000282457262</v>
      </c>
      <c r="M404" s="5" t="s">
        <v>1139</v>
      </c>
      <c r="N404" s="5" t="s">
        <v>1138</v>
      </c>
      <c r="O404" s="5" t="s">
        <v>1138</v>
      </c>
      <c r="P404" s="5" t="s">
        <v>275</v>
      </c>
      <c r="Q404" s="5" t="s">
        <v>34</v>
      </c>
      <c r="R404" s="1">
        <f t="shared" si="197"/>
        <v>2064383.09</v>
      </c>
      <c r="S404" s="1">
        <v>2064383.09</v>
      </c>
      <c r="T404" s="70">
        <v>0</v>
      </c>
      <c r="U404" s="1">
        <f t="shared" si="194"/>
        <v>364302.89</v>
      </c>
      <c r="V404" s="71">
        <v>364302.89</v>
      </c>
      <c r="W404" s="71">
        <v>0</v>
      </c>
      <c r="X404" s="1">
        <f t="shared" si="198"/>
        <v>0</v>
      </c>
      <c r="Y404" s="1">
        <v>0</v>
      </c>
      <c r="Z404" s="1">
        <v>0</v>
      </c>
      <c r="AA404" s="9">
        <f t="shared" si="199"/>
        <v>49565.02</v>
      </c>
      <c r="AB404" s="9">
        <v>49565.02</v>
      </c>
      <c r="AC404" s="9">
        <v>0</v>
      </c>
      <c r="AD404" s="44">
        <f t="shared" si="195"/>
        <v>2478251</v>
      </c>
      <c r="AE404" s="9">
        <v>0</v>
      </c>
      <c r="AF404" s="9">
        <f t="shared" si="200"/>
        <v>2478251</v>
      </c>
      <c r="AG404" s="59" t="s">
        <v>515</v>
      </c>
      <c r="AH404" s="59" t="s">
        <v>2105</v>
      </c>
      <c r="AI404" s="1">
        <f>1316864.99+240073.95+240073.95-7751.05+247825+5003.81</f>
        <v>2042090.65</v>
      </c>
      <c r="AJ404" s="1">
        <f>188653.99+42365.98+42365.98+42365.98+35793.35</f>
        <v>351545.27999999997</v>
      </c>
    </row>
    <row r="405" spans="1:109" ht="220.5" x14ac:dyDescent="0.25">
      <c r="A405" s="5">
        <f t="shared" si="196"/>
        <v>402</v>
      </c>
      <c r="B405" s="15">
        <v>125435</v>
      </c>
      <c r="C405" s="15">
        <v>493</v>
      </c>
      <c r="D405" s="134" t="s">
        <v>1988</v>
      </c>
      <c r="E405" s="8" t="s">
        <v>1130</v>
      </c>
      <c r="F405" s="55" t="s">
        <v>1152</v>
      </c>
      <c r="G405" s="5" t="s">
        <v>1153</v>
      </c>
      <c r="H405" s="5" t="s">
        <v>151</v>
      </c>
      <c r="I405" s="74" t="s">
        <v>1154</v>
      </c>
      <c r="J405" s="2">
        <v>43531</v>
      </c>
      <c r="K405" s="2">
        <v>44234</v>
      </c>
      <c r="L405" s="16">
        <f t="shared" si="189"/>
        <v>83.300000892581892</v>
      </c>
      <c r="M405" s="5" t="s">
        <v>1155</v>
      </c>
      <c r="N405" s="5" t="s">
        <v>1156</v>
      </c>
      <c r="O405" s="5" t="s">
        <v>1156</v>
      </c>
      <c r="P405" s="5" t="s">
        <v>275</v>
      </c>
      <c r="Q405" s="5" t="s">
        <v>34</v>
      </c>
      <c r="R405" s="1">
        <f t="shared" si="197"/>
        <v>1523993.4999999998</v>
      </c>
      <c r="S405" s="9">
        <v>1523993.4999999998</v>
      </c>
      <c r="T405" s="9">
        <v>0</v>
      </c>
      <c r="U405" s="1">
        <f t="shared" si="194"/>
        <v>268940.00999999995</v>
      </c>
      <c r="V405" s="53">
        <v>268940.00999999995</v>
      </c>
      <c r="W405" s="53">
        <v>0</v>
      </c>
      <c r="X405" s="1">
        <f t="shared" si="198"/>
        <v>0</v>
      </c>
      <c r="Y405" s="9">
        <v>0</v>
      </c>
      <c r="Z405" s="9">
        <v>0</v>
      </c>
      <c r="AA405" s="9">
        <f t="shared" si="199"/>
        <v>36590.48000000001</v>
      </c>
      <c r="AB405" s="9">
        <v>36590.48000000001</v>
      </c>
      <c r="AC405" s="9">
        <v>0</v>
      </c>
      <c r="AD405" s="44">
        <f t="shared" si="195"/>
        <v>1829523.9899999998</v>
      </c>
      <c r="AE405" s="9">
        <v>0</v>
      </c>
      <c r="AF405" s="9">
        <f t="shared" si="200"/>
        <v>1829523.9899999998</v>
      </c>
      <c r="AG405" s="59" t="s">
        <v>966</v>
      </c>
      <c r="AH405" s="13" t="s">
        <v>2022</v>
      </c>
      <c r="AI405" s="1">
        <f>288486.99+139941.28-7379.3+112722.77-19340.45+128936.28+106270.05+79760.38-62350.07</f>
        <v>767047.93</v>
      </c>
      <c r="AJ405" s="1">
        <f>14309.49+24483.75+7379.3+10963.67+19340.45+23526.72+14075.36+21282.69</f>
        <v>135361.43</v>
      </c>
      <c r="AK405" s="72"/>
      <c r="AL405" s="72"/>
      <c r="AM405" s="72"/>
      <c r="AN405" s="72"/>
      <c r="AO405" s="72"/>
      <c r="AP405" s="72"/>
      <c r="AQ405" s="72"/>
      <c r="AR405" s="72"/>
      <c r="AS405" s="72"/>
      <c r="AT405" s="72"/>
      <c r="AU405" s="72"/>
      <c r="AV405" s="72"/>
      <c r="AW405" s="72"/>
      <c r="AX405" s="72"/>
      <c r="AY405" s="72"/>
      <c r="AZ405" s="72"/>
      <c r="BA405" s="72"/>
      <c r="BB405" s="72"/>
      <c r="BC405" s="72"/>
      <c r="BD405" s="72"/>
      <c r="BE405" s="72"/>
      <c r="BF405" s="72"/>
      <c r="BG405" s="72"/>
      <c r="BH405" s="72"/>
      <c r="BI405" s="72"/>
      <c r="BJ405" s="72"/>
      <c r="BK405" s="72"/>
      <c r="BL405" s="72"/>
      <c r="BM405" s="72"/>
      <c r="BN405" s="72"/>
      <c r="BO405" s="72"/>
      <c r="BP405" s="72"/>
      <c r="BQ405" s="72"/>
      <c r="BR405" s="72"/>
      <c r="BS405" s="72"/>
      <c r="BT405" s="72"/>
      <c r="BU405" s="72"/>
      <c r="BV405" s="72"/>
      <c r="BW405" s="72"/>
      <c r="BX405" s="72"/>
      <c r="BY405" s="72"/>
      <c r="BZ405" s="72"/>
      <c r="CA405" s="72"/>
      <c r="CB405" s="72"/>
      <c r="CC405" s="72"/>
      <c r="CD405" s="72"/>
      <c r="CE405" s="72"/>
      <c r="CF405" s="72"/>
      <c r="CG405" s="72"/>
      <c r="CH405" s="72"/>
      <c r="CI405" s="72"/>
      <c r="CJ405" s="72"/>
      <c r="CK405" s="72"/>
      <c r="CL405" s="72"/>
      <c r="CM405" s="72"/>
      <c r="CN405" s="72"/>
      <c r="CO405" s="72"/>
      <c r="CP405" s="72"/>
      <c r="CQ405" s="72"/>
      <c r="CR405" s="72"/>
      <c r="CS405" s="72"/>
      <c r="CT405" s="72"/>
      <c r="CU405" s="72"/>
      <c r="CV405" s="72"/>
      <c r="CW405" s="72"/>
      <c r="CX405" s="72"/>
      <c r="CY405" s="72"/>
      <c r="CZ405" s="72"/>
      <c r="DA405" s="72"/>
      <c r="DB405" s="72"/>
      <c r="DC405" s="72"/>
      <c r="DD405" s="72"/>
      <c r="DE405" s="72"/>
    </row>
    <row r="406" spans="1:109" ht="141.75" x14ac:dyDescent="0.25">
      <c r="A406" s="5">
        <f t="shared" si="196"/>
        <v>403</v>
      </c>
      <c r="B406" s="15">
        <v>111409</v>
      </c>
      <c r="C406" s="78">
        <v>193</v>
      </c>
      <c r="D406" s="5" t="s">
        <v>143</v>
      </c>
      <c r="E406" s="17" t="s">
        <v>271</v>
      </c>
      <c r="F406" s="119" t="s">
        <v>558</v>
      </c>
      <c r="G406" s="5" t="s">
        <v>557</v>
      </c>
      <c r="H406" s="5" t="s">
        <v>362</v>
      </c>
      <c r="I406" s="41" t="s">
        <v>559</v>
      </c>
      <c r="J406" s="2">
        <v>43271</v>
      </c>
      <c r="K406" s="2">
        <v>43819</v>
      </c>
      <c r="L406" s="16">
        <f t="shared" si="189"/>
        <v>82.304192821223239</v>
      </c>
      <c r="M406" s="5" t="s">
        <v>273</v>
      </c>
      <c r="N406" s="5" t="s">
        <v>262</v>
      </c>
      <c r="O406" s="5" t="s">
        <v>262</v>
      </c>
      <c r="P406" s="3" t="s">
        <v>275</v>
      </c>
      <c r="Q406" s="5" t="s">
        <v>34</v>
      </c>
      <c r="R406" s="199">
        <f t="shared" si="197"/>
        <v>813056.8</v>
      </c>
      <c r="S406" s="9">
        <v>655659.42000000004</v>
      </c>
      <c r="T406" s="9">
        <v>157397.38</v>
      </c>
      <c r="U406" s="9">
        <f t="shared" si="194"/>
        <v>155053.86000000002</v>
      </c>
      <c r="V406" s="53">
        <v>115704.6</v>
      </c>
      <c r="W406" s="53">
        <v>39349.26</v>
      </c>
      <c r="X406" s="9">
        <f t="shared" si="198"/>
        <v>0</v>
      </c>
      <c r="Y406" s="9">
        <v>0</v>
      </c>
      <c r="Z406" s="9">
        <v>0</v>
      </c>
      <c r="AA406" s="9">
        <f t="shared" si="199"/>
        <v>19757.36</v>
      </c>
      <c r="AB406" s="9">
        <v>15742.12</v>
      </c>
      <c r="AC406" s="9">
        <v>4015.24</v>
      </c>
      <c r="AD406" s="44">
        <f t="shared" si="195"/>
        <v>987868.02</v>
      </c>
      <c r="AE406" s="9">
        <v>0</v>
      </c>
      <c r="AF406" s="9">
        <f t="shared" si="200"/>
        <v>987868.02</v>
      </c>
      <c r="AG406" s="59" t="s">
        <v>966</v>
      </c>
      <c r="AH406" s="13" t="s">
        <v>1518</v>
      </c>
      <c r="AI406" s="1">
        <f>794317.39-32626.91</f>
        <v>761690.48</v>
      </c>
      <c r="AJ406" s="1">
        <f>142402.74+2855.49</f>
        <v>145258.22999999998</v>
      </c>
    </row>
    <row r="407" spans="1:109" ht="141.75" x14ac:dyDescent="0.25">
      <c r="A407" s="5">
        <f t="shared" si="196"/>
        <v>404</v>
      </c>
      <c r="B407" s="15">
        <v>118676</v>
      </c>
      <c r="C407" s="78">
        <v>432</v>
      </c>
      <c r="D407" s="8" t="s">
        <v>1986</v>
      </c>
      <c r="E407" s="17" t="s">
        <v>560</v>
      </c>
      <c r="F407" s="119" t="s">
        <v>561</v>
      </c>
      <c r="G407" s="5" t="s">
        <v>562</v>
      </c>
      <c r="H407" s="5" t="s">
        <v>563</v>
      </c>
      <c r="I407" s="41" t="s">
        <v>564</v>
      </c>
      <c r="J407" s="2">
        <v>43270</v>
      </c>
      <c r="K407" s="2">
        <v>44123</v>
      </c>
      <c r="L407" s="16">
        <f t="shared" si="189"/>
        <v>83.983865028301139</v>
      </c>
      <c r="M407" s="5" t="s">
        <v>273</v>
      </c>
      <c r="N407" s="5" t="s">
        <v>262</v>
      </c>
      <c r="O407" s="5" t="s">
        <v>262</v>
      </c>
      <c r="P407" s="3" t="s">
        <v>138</v>
      </c>
      <c r="Q407" s="5" t="s">
        <v>34</v>
      </c>
      <c r="R407" s="9">
        <f t="shared" si="197"/>
        <v>3030823.99</v>
      </c>
      <c r="S407" s="9">
        <v>2444095.48</v>
      </c>
      <c r="T407" s="9">
        <v>586728.51</v>
      </c>
      <c r="U407" s="9">
        <f t="shared" si="194"/>
        <v>0</v>
      </c>
      <c r="V407" s="53"/>
      <c r="W407" s="53"/>
      <c r="X407" s="9">
        <f t="shared" si="198"/>
        <v>577993</v>
      </c>
      <c r="Y407" s="9">
        <v>431310.9</v>
      </c>
      <c r="Z407" s="9">
        <v>146682.1</v>
      </c>
      <c r="AA407" s="9">
        <f t="shared" si="199"/>
        <v>0</v>
      </c>
      <c r="AB407" s="9">
        <v>0</v>
      </c>
      <c r="AC407" s="9">
        <v>0</v>
      </c>
      <c r="AD407" s="44">
        <f t="shared" si="195"/>
        <v>3608816.99</v>
      </c>
      <c r="AE407" s="9">
        <v>0</v>
      </c>
      <c r="AF407" s="9">
        <f t="shared" si="200"/>
        <v>3608816.99</v>
      </c>
      <c r="AG407" s="59" t="s">
        <v>966</v>
      </c>
      <c r="AH407" s="13" t="s">
        <v>1740</v>
      </c>
      <c r="AI407" s="1">
        <f>43102.2+366371.99+199.89+120510.92+225498.13+197283.1+424052.29+106695.85+434818.86+188984.59+142063.67</f>
        <v>2249581.4899999998</v>
      </c>
      <c r="AJ407" s="1">
        <v>0</v>
      </c>
    </row>
    <row r="408" spans="1:109" ht="323.25" customHeight="1" x14ac:dyDescent="0.25">
      <c r="A408" s="5">
        <f t="shared" si="196"/>
        <v>405</v>
      </c>
      <c r="B408" s="15">
        <v>111610</v>
      </c>
      <c r="C408" s="78">
        <v>374</v>
      </c>
      <c r="D408" s="134" t="s">
        <v>1988</v>
      </c>
      <c r="E408" s="17" t="s">
        <v>565</v>
      </c>
      <c r="F408" s="119" t="s">
        <v>567</v>
      </c>
      <c r="G408" s="5" t="s">
        <v>566</v>
      </c>
      <c r="H408" s="5" t="s">
        <v>568</v>
      </c>
      <c r="I408" s="41" t="s">
        <v>572</v>
      </c>
      <c r="J408" s="2">
        <v>43272</v>
      </c>
      <c r="K408" s="2">
        <v>43820</v>
      </c>
      <c r="L408" s="16">
        <f t="shared" si="189"/>
        <v>82.304186949685416</v>
      </c>
      <c r="M408" s="5" t="s">
        <v>273</v>
      </c>
      <c r="N408" s="5" t="s">
        <v>262</v>
      </c>
      <c r="O408" s="5" t="s">
        <v>262</v>
      </c>
      <c r="P408" s="3" t="s">
        <v>275</v>
      </c>
      <c r="Q408" s="5" t="s">
        <v>34</v>
      </c>
      <c r="R408" s="9">
        <f t="shared" si="197"/>
        <v>3413208.43</v>
      </c>
      <c r="S408" s="9">
        <v>2752455.22</v>
      </c>
      <c r="T408" s="9">
        <v>660753.21</v>
      </c>
      <c r="U408" s="9">
        <f t="shared" si="194"/>
        <v>650915.57999999996</v>
      </c>
      <c r="V408" s="53">
        <v>485727.31</v>
      </c>
      <c r="W408" s="53">
        <v>165188.26999999999</v>
      </c>
      <c r="X408" s="9">
        <f t="shared" si="198"/>
        <v>0</v>
      </c>
      <c r="Y408" s="9">
        <v>0</v>
      </c>
      <c r="Z408" s="9">
        <v>0</v>
      </c>
      <c r="AA408" s="9">
        <f t="shared" si="199"/>
        <v>82941.353863662065</v>
      </c>
      <c r="AB408" s="9">
        <v>66085.38</v>
      </c>
      <c r="AC408" s="9">
        <v>16855.97386366206</v>
      </c>
      <c r="AD408" s="44">
        <f t="shared" si="195"/>
        <v>4147065.3638636624</v>
      </c>
      <c r="AE408" s="9">
        <v>0</v>
      </c>
      <c r="AF408" s="9">
        <f t="shared" si="200"/>
        <v>4147065.3638636624</v>
      </c>
      <c r="AG408" s="59" t="s">
        <v>966</v>
      </c>
      <c r="AH408" s="13" t="s">
        <v>1516</v>
      </c>
      <c r="AI408" s="1">
        <f>413506.52+39634.08+203862.73+22675.21+238112.3-5677.61+315671.54+256839.5+48499.95+31156.55+577305.1+574631.44+238908.29+212961.41</f>
        <v>3168087.0100000002</v>
      </c>
      <c r="AJ408" s="1">
        <f>51329.52+25659.99+79433+5677.61+44422.4+12020.11+67601.69+43232.94+109585.05+124594.61+40612.79</f>
        <v>604169.71000000008</v>
      </c>
    </row>
    <row r="409" spans="1:109" ht="141.75" x14ac:dyDescent="0.25">
      <c r="A409" s="5">
        <f t="shared" si="196"/>
        <v>406</v>
      </c>
      <c r="B409" s="15">
        <v>110423</v>
      </c>
      <c r="C409" s="78">
        <v>207</v>
      </c>
      <c r="D409" s="5" t="s">
        <v>143</v>
      </c>
      <c r="E409" s="17" t="s">
        <v>271</v>
      </c>
      <c r="F409" s="119" t="s">
        <v>569</v>
      </c>
      <c r="G409" s="30" t="s">
        <v>570</v>
      </c>
      <c r="H409" s="5" t="s">
        <v>362</v>
      </c>
      <c r="I409" s="41" t="s">
        <v>571</v>
      </c>
      <c r="J409" s="2">
        <v>43272</v>
      </c>
      <c r="K409" s="2">
        <v>43820</v>
      </c>
      <c r="L409" s="16">
        <f t="shared" si="189"/>
        <v>82.304184780767926</v>
      </c>
      <c r="M409" s="5" t="s">
        <v>273</v>
      </c>
      <c r="N409" s="5" t="s">
        <v>262</v>
      </c>
      <c r="O409" s="5" t="s">
        <v>262</v>
      </c>
      <c r="P409" s="3" t="s">
        <v>275</v>
      </c>
      <c r="Q409" s="5" t="s">
        <v>34</v>
      </c>
      <c r="R409" s="9">
        <f t="shared" si="197"/>
        <v>823039.14</v>
      </c>
      <c r="S409" s="9">
        <v>663709.35</v>
      </c>
      <c r="T409" s="9">
        <v>159329.79</v>
      </c>
      <c r="U409" s="9">
        <f t="shared" ref="U409:U439" si="201">V409+W409</f>
        <v>156957.63</v>
      </c>
      <c r="V409" s="53">
        <v>117125.19</v>
      </c>
      <c r="W409" s="53">
        <v>39832.44</v>
      </c>
      <c r="X409" s="9">
        <f t="shared" si="198"/>
        <v>0</v>
      </c>
      <c r="Y409" s="9">
        <v>0</v>
      </c>
      <c r="Z409" s="9">
        <v>0</v>
      </c>
      <c r="AA409" s="9">
        <f t="shared" si="199"/>
        <v>19999.939999999999</v>
      </c>
      <c r="AB409" s="9">
        <v>15935.41</v>
      </c>
      <c r="AC409" s="9">
        <v>4064.53</v>
      </c>
      <c r="AD409" s="44">
        <f t="shared" si="195"/>
        <v>999996.71</v>
      </c>
      <c r="AE409" s="9">
        <v>0</v>
      </c>
      <c r="AF409" s="9">
        <f t="shared" si="200"/>
        <v>999996.71</v>
      </c>
      <c r="AG409" s="59" t="s">
        <v>966</v>
      </c>
      <c r="AH409" s="13" t="s">
        <v>1470</v>
      </c>
      <c r="AI409" s="1">
        <f>563686.25+9788.05+56761.68+161067.97+5325.05</f>
        <v>796629.00000000012</v>
      </c>
      <c r="AJ409" s="1">
        <f>88427.44+20936.91+10824.71+11646.17+20085.81</f>
        <v>151921.04</v>
      </c>
    </row>
    <row r="410" spans="1:109" ht="141.75" x14ac:dyDescent="0.25">
      <c r="A410" s="5">
        <f t="shared" si="196"/>
        <v>407</v>
      </c>
      <c r="B410" s="15">
        <v>111199</v>
      </c>
      <c r="C410" s="78">
        <v>147</v>
      </c>
      <c r="D410" s="5" t="s">
        <v>143</v>
      </c>
      <c r="E410" s="17" t="s">
        <v>271</v>
      </c>
      <c r="F410" s="119" t="s">
        <v>608</v>
      </c>
      <c r="G410" s="5" t="s">
        <v>609</v>
      </c>
      <c r="H410" s="5" t="s">
        <v>610</v>
      </c>
      <c r="I410" s="41" t="s">
        <v>611</v>
      </c>
      <c r="J410" s="2">
        <v>43277</v>
      </c>
      <c r="K410" s="2">
        <v>43764</v>
      </c>
      <c r="L410" s="16">
        <f t="shared" si="189"/>
        <v>82.524995224288418</v>
      </c>
      <c r="M410" s="5" t="s">
        <v>273</v>
      </c>
      <c r="N410" s="5" t="s">
        <v>262</v>
      </c>
      <c r="O410" s="5" t="s">
        <v>262</v>
      </c>
      <c r="P410" s="3" t="s">
        <v>275</v>
      </c>
      <c r="Q410" s="5" t="s">
        <v>34</v>
      </c>
      <c r="R410" s="9">
        <f t="shared" si="197"/>
        <v>825126.99</v>
      </c>
      <c r="S410" s="9">
        <v>665393.03</v>
      </c>
      <c r="T410" s="9">
        <v>159733.96</v>
      </c>
      <c r="U410" s="9">
        <f t="shared" si="201"/>
        <v>154726.99</v>
      </c>
      <c r="V410" s="53">
        <v>115327.75</v>
      </c>
      <c r="W410" s="53">
        <v>39399.24</v>
      </c>
      <c r="X410" s="9">
        <f t="shared" si="198"/>
        <v>0</v>
      </c>
      <c r="Y410" s="9">
        <v>0</v>
      </c>
      <c r="Z410" s="9">
        <v>0</v>
      </c>
      <c r="AA410" s="9">
        <f t="shared" si="199"/>
        <v>19997.02</v>
      </c>
      <c r="AB410" s="9">
        <v>15933.08</v>
      </c>
      <c r="AC410" s="9">
        <v>4063.94</v>
      </c>
      <c r="AD410" s="44">
        <f t="shared" si="195"/>
        <v>999851</v>
      </c>
      <c r="AE410" s="9">
        <v>0</v>
      </c>
      <c r="AF410" s="9">
        <f t="shared" si="200"/>
        <v>999851</v>
      </c>
      <c r="AG410" s="49" t="s">
        <v>966</v>
      </c>
      <c r="AH410" s="13" t="s">
        <v>151</v>
      </c>
      <c r="AI410" s="1">
        <f>468127.93-12613.35+243265.58</f>
        <v>698780.16000000003</v>
      </c>
      <c r="AJ410" s="1">
        <f>17105.45+14284.79+17404.21+19871.63+13778.33+48936.49</f>
        <v>131380.9</v>
      </c>
    </row>
    <row r="411" spans="1:109" ht="315" x14ac:dyDescent="0.25">
      <c r="A411" s="5">
        <f t="shared" si="196"/>
        <v>408</v>
      </c>
      <c r="B411" s="15">
        <v>111846</v>
      </c>
      <c r="C411" s="78">
        <v>165</v>
      </c>
      <c r="D411" s="5" t="s">
        <v>143</v>
      </c>
      <c r="E411" s="17" t="s">
        <v>271</v>
      </c>
      <c r="F411" s="8" t="s">
        <v>584</v>
      </c>
      <c r="G411" s="5" t="s">
        <v>585</v>
      </c>
      <c r="H411" s="5" t="s">
        <v>362</v>
      </c>
      <c r="I411" s="41" t="s">
        <v>586</v>
      </c>
      <c r="J411" s="2">
        <v>43278</v>
      </c>
      <c r="K411" s="2">
        <v>43643</v>
      </c>
      <c r="L411" s="16">
        <f t="shared" si="189"/>
        <v>82.304186166768261</v>
      </c>
      <c r="M411" s="5" t="s">
        <v>273</v>
      </c>
      <c r="N411" s="5" t="s">
        <v>262</v>
      </c>
      <c r="O411" s="5" t="s">
        <v>262</v>
      </c>
      <c r="P411" s="3" t="s">
        <v>275</v>
      </c>
      <c r="Q411" s="5" t="s">
        <v>34</v>
      </c>
      <c r="R411" s="9">
        <f t="shared" si="197"/>
        <v>693954.33</v>
      </c>
      <c r="S411" s="9">
        <v>559613.69999999995</v>
      </c>
      <c r="T411" s="9">
        <v>134340.63</v>
      </c>
      <c r="U411" s="9">
        <f t="shared" si="201"/>
        <v>132340.51</v>
      </c>
      <c r="V411" s="53">
        <v>98755.36</v>
      </c>
      <c r="W411" s="53">
        <v>33585.15</v>
      </c>
      <c r="X411" s="9">
        <f t="shared" si="198"/>
        <v>0</v>
      </c>
      <c r="Y411" s="9">
        <v>0</v>
      </c>
      <c r="Z411" s="9">
        <v>0</v>
      </c>
      <c r="AA411" s="9">
        <f t="shared" si="199"/>
        <v>16863.16</v>
      </c>
      <c r="AB411" s="9">
        <v>13436.1</v>
      </c>
      <c r="AC411" s="9">
        <v>3427.06</v>
      </c>
      <c r="AD411" s="44">
        <f t="shared" si="195"/>
        <v>843158</v>
      </c>
      <c r="AE411" s="9">
        <v>0</v>
      </c>
      <c r="AF411" s="9">
        <f t="shared" si="200"/>
        <v>843158</v>
      </c>
      <c r="AG411" s="49" t="s">
        <v>966</v>
      </c>
      <c r="AH411" s="13" t="s">
        <v>151</v>
      </c>
      <c r="AI411" s="1">
        <v>635983.98</v>
      </c>
      <c r="AJ411" s="1">
        <v>121285.28</v>
      </c>
    </row>
    <row r="412" spans="1:109" ht="409.5" x14ac:dyDescent="0.25">
      <c r="A412" s="5">
        <f t="shared" si="196"/>
        <v>409</v>
      </c>
      <c r="B412" s="15">
        <v>110795</v>
      </c>
      <c r="C412" s="15">
        <v>127</v>
      </c>
      <c r="D412" s="5" t="s">
        <v>143</v>
      </c>
      <c r="E412" s="17" t="s">
        <v>271</v>
      </c>
      <c r="F412" s="8" t="s">
        <v>587</v>
      </c>
      <c r="G412" s="5" t="s">
        <v>592</v>
      </c>
      <c r="H412" s="5" t="s">
        <v>593</v>
      </c>
      <c r="I412" s="14" t="s">
        <v>594</v>
      </c>
      <c r="J412" s="2">
        <v>43278</v>
      </c>
      <c r="K412" s="2">
        <v>43765</v>
      </c>
      <c r="L412" s="16">
        <f t="shared" si="189"/>
        <v>82.304181171723172</v>
      </c>
      <c r="M412" s="5" t="s">
        <v>273</v>
      </c>
      <c r="N412" s="5" t="s">
        <v>262</v>
      </c>
      <c r="O412" s="5" t="s">
        <v>262</v>
      </c>
      <c r="P412" s="3" t="s">
        <v>275</v>
      </c>
      <c r="Q412" s="5" t="s">
        <v>34</v>
      </c>
      <c r="R412" s="9">
        <f t="shared" si="197"/>
        <v>818511.09</v>
      </c>
      <c r="S412" s="9">
        <v>660057.88</v>
      </c>
      <c r="T412" s="9">
        <v>158453.21</v>
      </c>
      <c r="U412" s="9">
        <f t="shared" si="201"/>
        <v>156094.12</v>
      </c>
      <c r="V412" s="53">
        <v>116480.81</v>
      </c>
      <c r="W412" s="53">
        <v>39613.31</v>
      </c>
      <c r="X412" s="9">
        <f t="shared" si="198"/>
        <v>0</v>
      </c>
      <c r="Y412" s="9">
        <v>0</v>
      </c>
      <c r="Z412" s="9">
        <v>0</v>
      </c>
      <c r="AA412" s="9">
        <f t="shared" si="199"/>
        <v>19889.939999999999</v>
      </c>
      <c r="AB412" s="9">
        <v>15847.76</v>
      </c>
      <c r="AC412" s="9">
        <v>4042.18</v>
      </c>
      <c r="AD412" s="44">
        <f t="shared" si="195"/>
        <v>994495.14999999991</v>
      </c>
      <c r="AE412" s="9"/>
      <c r="AF412" s="9">
        <f t="shared" si="200"/>
        <v>994495.14999999991</v>
      </c>
      <c r="AG412" s="49" t="s">
        <v>966</v>
      </c>
      <c r="AH412" s="13" t="s">
        <v>1533</v>
      </c>
      <c r="AI412" s="1">
        <f>795982.47-5714.37</f>
        <v>790268.1</v>
      </c>
      <c r="AJ412" s="1">
        <f>11135.04+27716.68+9400.61+3526.85+11840.91+7483.51+15010.54+8062.74+19640.21+23451.37+13439.59</f>
        <v>150708.04999999999</v>
      </c>
    </row>
    <row r="413" spans="1:109" ht="173.25" x14ac:dyDescent="0.25">
      <c r="A413" s="5">
        <f t="shared" si="196"/>
        <v>410</v>
      </c>
      <c r="B413" s="15">
        <v>110651</v>
      </c>
      <c r="C413" s="15">
        <v>226</v>
      </c>
      <c r="D413" s="5" t="s">
        <v>143</v>
      </c>
      <c r="E413" s="17" t="s">
        <v>271</v>
      </c>
      <c r="F413" s="119" t="s">
        <v>588</v>
      </c>
      <c r="G413" s="5" t="s">
        <v>589</v>
      </c>
      <c r="H413" s="5" t="s">
        <v>590</v>
      </c>
      <c r="I413" s="14" t="s">
        <v>591</v>
      </c>
      <c r="J413" s="2">
        <v>43278</v>
      </c>
      <c r="K413" s="2">
        <v>43888</v>
      </c>
      <c r="L413" s="16">
        <f t="shared" si="189"/>
        <v>82.795867701166785</v>
      </c>
      <c r="M413" s="5" t="s">
        <v>273</v>
      </c>
      <c r="N413" s="5" t="s">
        <v>262</v>
      </c>
      <c r="O413" s="5" t="s">
        <v>262</v>
      </c>
      <c r="P413" s="3" t="s">
        <v>275</v>
      </c>
      <c r="Q413" s="5" t="s">
        <v>34</v>
      </c>
      <c r="R413" s="9">
        <f t="shared" si="197"/>
        <v>774090.99</v>
      </c>
      <c r="S413" s="9">
        <v>624236.93999999994</v>
      </c>
      <c r="T413" s="9">
        <v>149854.04999999999</v>
      </c>
      <c r="U413" s="9">
        <f t="shared" si="201"/>
        <v>142149.35</v>
      </c>
      <c r="V413" s="53">
        <v>105798.22</v>
      </c>
      <c r="W413" s="53">
        <v>36351.129999999997</v>
      </c>
      <c r="X413" s="9">
        <f t="shared" si="198"/>
        <v>0</v>
      </c>
      <c r="Y413" s="9">
        <v>0</v>
      </c>
      <c r="Z413" s="9">
        <v>0</v>
      </c>
      <c r="AA413" s="9">
        <f t="shared" si="199"/>
        <v>18698.82</v>
      </c>
      <c r="AB413" s="9">
        <v>14898.71</v>
      </c>
      <c r="AC413" s="9">
        <v>3800.11</v>
      </c>
      <c r="AD413" s="44">
        <f t="shared" si="195"/>
        <v>934939.15999999992</v>
      </c>
      <c r="AE413" s="9">
        <v>0</v>
      </c>
      <c r="AF413" s="9">
        <f t="shared" si="200"/>
        <v>934939.15999999992</v>
      </c>
      <c r="AG413" s="59" t="s">
        <v>1686</v>
      </c>
      <c r="AH413" s="13" t="s">
        <v>1629</v>
      </c>
      <c r="AI413" s="1">
        <f>290168.64+158796.65+191537.98+13320.11+41319.41+35445.84</f>
        <v>730588.63</v>
      </c>
      <c r="AJ413" s="1">
        <f>9460.82+5699.03+7815.58+13530.31+28217.32+52704.62+2540.21+7879.82+6718.82</f>
        <v>134566.53</v>
      </c>
    </row>
    <row r="414" spans="1:109" ht="283.5" x14ac:dyDescent="0.25">
      <c r="A414" s="5">
        <f t="shared" si="196"/>
        <v>411</v>
      </c>
      <c r="B414" s="15">
        <v>111787</v>
      </c>
      <c r="C414" s="78">
        <v>169</v>
      </c>
      <c r="D414" s="5" t="s">
        <v>143</v>
      </c>
      <c r="E414" s="17" t="s">
        <v>271</v>
      </c>
      <c r="F414" s="8" t="s">
        <v>595</v>
      </c>
      <c r="G414" s="5" t="s">
        <v>596</v>
      </c>
      <c r="H414" s="5" t="s">
        <v>362</v>
      </c>
      <c r="I414" s="14" t="s">
        <v>597</v>
      </c>
      <c r="J414" s="2">
        <v>43278</v>
      </c>
      <c r="K414" s="2">
        <v>43765</v>
      </c>
      <c r="L414" s="16">
        <f t="shared" si="189"/>
        <v>82.304186085847633</v>
      </c>
      <c r="M414" s="5" t="s">
        <v>273</v>
      </c>
      <c r="N414" s="5" t="s">
        <v>262</v>
      </c>
      <c r="O414" s="5" t="s">
        <v>262</v>
      </c>
      <c r="P414" s="3" t="s">
        <v>275</v>
      </c>
      <c r="Q414" s="5" t="s">
        <v>34</v>
      </c>
      <c r="R414" s="9">
        <f t="shared" si="197"/>
        <v>822921.16999999993</v>
      </c>
      <c r="S414" s="9">
        <v>663614.22</v>
      </c>
      <c r="T414" s="9">
        <v>159306.95000000001</v>
      </c>
      <c r="U414" s="9">
        <f t="shared" si="201"/>
        <v>156935.12</v>
      </c>
      <c r="V414" s="53">
        <v>117108.4</v>
      </c>
      <c r="W414" s="53">
        <v>39826.720000000001</v>
      </c>
      <c r="X414" s="9">
        <f t="shared" si="198"/>
        <v>0</v>
      </c>
      <c r="Y414" s="9">
        <v>0</v>
      </c>
      <c r="Z414" s="9">
        <v>0</v>
      </c>
      <c r="AA414" s="9">
        <f t="shared" si="199"/>
        <v>19997.07</v>
      </c>
      <c r="AB414" s="9">
        <v>15933.11</v>
      </c>
      <c r="AC414" s="9">
        <v>4063.96</v>
      </c>
      <c r="AD414" s="44">
        <f t="shared" si="195"/>
        <v>999853.35999999987</v>
      </c>
      <c r="AE414" s="9"/>
      <c r="AF414" s="9">
        <f t="shared" si="200"/>
        <v>999853.35999999987</v>
      </c>
      <c r="AG414" s="49" t="s">
        <v>966</v>
      </c>
      <c r="AH414" s="13"/>
      <c r="AI414" s="1">
        <f>632729.75+99985.33+30378.24</f>
        <v>763093.32</v>
      </c>
      <c r="AJ414" s="1">
        <f>120664.73+24860.93</f>
        <v>145525.66</v>
      </c>
    </row>
    <row r="415" spans="1:109" ht="267.75" x14ac:dyDescent="0.25">
      <c r="A415" s="5">
        <f t="shared" si="196"/>
        <v>412</v>
      </c>
      <c r="B415" s="15">
        <v>113139</v>
      </c>
      <c r="C415" s="78">
        <v>387</v>
      </c>
      <c r="D415" s="134" t="s">
        <v>1988</v>
      </c>
      <c r="E415" s="17" t="s">
        <v>565</v>
      </c>
      <c r="F415" s="8" t="s">
        <v>604</v>
      </c>
      <c r="G415" s="5" t="s">
        <v>603</v>
      </c>
      <c r="H415" s="5" t="s">
        <v>605</v>
      </c>
      <c r="I415" s="14" t="s">
        <v>606</v>
      </c>
      <c r="J415" s="2">
        <v>43273</v>
      </c>
      <c r="K415" s="2">
        <v>43821</v>
      </c>
      <c r="L415" s="16">
        <f t="shared" si="189"/>
        <v>82.304185877391092</v>
      </c>
      <c r="M415" s="5" t="s">
        <v>273</v>
      </c>
      <c r="N415" s="5" t="s">
        <v>262</v>
      </c>
      <c r="O415" s="5" t="s">
        <v>262</v>
      </c>
      <c r="P415" s="3" t="s">
        <v>275</v>
      </c>
      <c r="Q415" s="5" t="s">
        <v>34</v>
      </c>
      <c r="R415" s="9">
        <f t="shared" si="197"/>
        <v>3201407.49</v>
      </c>
      <c r="S415" s="9">
        <v>2581656.23</v>
      </c>
      <c r="T415" s="9">
        <v>619751.26</v>
      </c>
      <c r="U415" s="9">
        <f t="shared" si="201"/>
        <v>610524.19999999995</v>
      </c>
      <c r="V415" s="53">
        <v>455586.38</v>
      </c>
      <c r="W415" s="53">
        <v>154937.82</v>
      </c>
      <c r="X415" s="9">
        <f t="shared" si="198"/>
        <v>0</v>
      </c>
      <c r="Y415" s="9">
        <v>0</v>
      </c>
      <c r="Z415" s="9">
        <v>0</v>
      </c>
      <c r="AA415" s="9">
        <f t="shared" si="199"/>
        <v>77794.52</v>
      </c>
      <c r="AB415" s="9">
        <v>61984.53</v>
      </c>
      <c r="AC415" s="9">
        <v>15809.99</v>
      </c>
      <c r="AD415" s="44">
        <f t="shared" si="195"/>
        <v>3889726.2100000004</v>
      </c>
      <c r="AE415" s="9">
        <v>0</v>
      </c>
      <c r="AF415" s="9">
        <f t="shared" si="200"/>
        <v>3889726.2100000004</v>
      </c>
      <c r="AG415" s="59" t="s">
        <v>966</v>
      </c>
      <c r="AH415" s="149" t="s">
        <v>1638</v>
      </c>
      <c r="AI415" s="1">
        <f>2214779.71+463121.02-10623.72+221453.03</f>
        <v>2888730.0399999996</v>
      </c>
      <c r="AJ415" s="1">
        <f>422369.41+55414.99+30878.49+42232.21</f>
        <v>550895.1</v>
      </c>
    </row>
    <row r="416" spans="1:109" ht="299.25" x14ac:dyDescent="0.25">
      <c r="A416" s="5">
        <f t="shared" si="196"/>
        <v>413</v>
      </c>
      <c r="B416" s="15">
        <v>111603</v>
      </c>
      <c r="C416" s="78">
        <v>195</v>
      </c>
      <c r="D416" s="5" t="s">
        <v>143</v>
      </c>
      <c r="E416" s="17" t="s">
        <v>271</v>
      </c>
      <c r="F416" s="119" t="s">
        <v>617</v>
      </c>
      <c r="G416" s="31" t="s">
        <v>616</v>
      </c>
      <c r="H416" s="5" t="s">
        <v>615</v>
      </c>
      <c r="I416" s="14" t="s">
        <v>1602</v>
      </c>
      <c r="J416" s="2">
        <v>43283</v>
      </c>
      <c r="K416" s="2">
        <v>43832</v>
      </c>
      <c r="L416" s="16">
        <f t="shared" si="189"/>
        <v>82.551093571828332</v>
      </c>
      <c r="M416" s="5" t="s">
        <v>273</v>
      </c>
      <c r="N416" s="5" t="s">
        <v>262</v>
      </c>
      <c r="O416" s="5" t="s">
        <v>262</v>
      </c>
      <c r="P416" s="3" t="s">
        <v>275</v>
      </c>
      <c r="Q416" s="5" t="s">
        <v>34</v>
      </c>
      <c r="R416" s="9">
        <f t="shared" si="197"/>
        <v>821971.83000000007</v>
      </c>
      <c r="S416" s="9">
        <v>662848.68000000005</v>
      </c>
      <c r="T416" s="9">
        <v>159123.15</v>
      </c>
      <c r="U416" s="9">
        <f t="shared" si="201"/>
        <v>153826.60999999999</v>
      </c>
      <c r="V416" s="53">
        <v>114640.81</v>
      </c>
      <c r="W416" s="53">
        <v>39185.800000000003</v>
      </c>
      <c r="X416" s="9">
        <f t="shared" si="198"/>
        <v>0</v>
      </c>
      <c r="Y416" s="9">
        <v>0</v>
      </c>
      <c r="Z416" s="9">
        <v>0</v>
      </c>
      <c r="AA416" s="9">
        <f t="shared" si="199"/>
        <v>19914.39</v>
      </c>
      <c r="AB416" s="9">
        <v>15867.18</v>
      </c>
      <c r="AC416" s="9">
        <v>4047.21</v>
      </c>
      <c r="AD416" s="44">
        <f t="shared" si="195"/>
        <v>995712.83000000007</v>
      </c>
      <c r="AE416" s="9">
        <v>0</v>
      </c>
      <c r="AF416" s="9">
        <f t="shared" si="200"/>
        <v>995712.83000000007</v>
      </c>
      <c r="AG416" s="59" t="s">
        <v>966</v>
      </c>
      <c r="AH416" s="13" t="s">
        <v>1628</v>
      </c>
      <c r="AI416" s="1">
        <f>466245.36+6853.06+84110.02+169507.04+37084.55</f>
        <v>763800.03</v>
      </c>
      <c r="AJ416" s="1">
        <f>84901.98+1306.91+50214.53+6975.06</f>
        <v>143398.47999999998</v>
      </c>
    </row>
    <row r="417" spans="1:36" ht="141.75" x14ac:dyDescent="0.25">
      <c r="A417" s="5">
        <f t="shared" si="196"/>
        <v>414</v>
      </c>
      <c r="B417" s="15">
        <v>113188</v>
      </c>
      <c r="C417" s="78">
        <v>246</v>
      </c>
      <c r="D417" s="5" t="s">
        <v>143</v>
      </c>
      <c r="E417" s="17" t="s">
        <v>271</v>
      </c>
      <c r="F417" s="119" t="s">
        <v>622</v>
      </c>
      <c r="G417" s="5" t="s">
        <v>623</v>
      </c>
      <c r="H417" s="5" t="s">
        <v>362</v>
      </c>
      <c r="I417" s="14" t="s">
        <v>624</v>
      </c>
      <c r="J417" s="2">
        <v>43284</v>
      </c>
      <c r="K417" s="2">
        <v>43711</v>
      </c>
      <c r="L417" s="16">
        <f t="shared" si="189"/>
        <v>82.304188575115816</v>
      </c>
      <c r="M417" s="5" t="s">
        <v>273</v>
      </c>
      <c r="N417" s="5" t="s">
        <v>262</v>
      </c>
      <c r="O417" s="5" t="s">
        <v>262</v>
      </c>
      <c r="P417" s="3" t="s">
        <v>275</v>
      </c>
      <c r="Q417" s="5" t="s">
        <v>34</v>
      </c>
      <c r="R417" s="9">
        <f t="shared" si="197"/>
        <v>745468.83000000007</v>
      </c>
      <c r="S417" s="9">
        <v>601155.66</v>
      </c>
      <c r="T417" s="9">
        <v>144313.17000000001</v>
      </c>
      <c r="U417" s="9">
        <f t="shared" si="201"/>
        <v>142164.54</v>
      </c>
      <c r="V417" s="53">
        <v>106086.28</v>
      </c>
      <c r="W417" s="53">
        <v>36078.26</v>
      </c>
      <c r="X417" s="9">
        <f t="shared" si="198"/>
        <v>0</v>
      </c>
      <c r="Y417" s="9">
        <v>0</v>
      </c>
      <c r="Z417" s="9">
        <v>0</v>
      </c>
      <c r="AA417" s="9">
        <f t="shared" si="199"/>
        <v>18114.98</v>
      </c>
      <c r="AB417" s="9">
        <v>14433.5</v>
      </c>
      <c r="AC417" s="9">
        <v>3681.48</v>
      </c>
      <c r="AD417" s="44">
        <f t="shared" si="195"/>
        <v>905748.35000000009</v>
      </c>
      <c r="AE417" s="9">
        <v>0</v>
      </c>
      <c r="AF417" s="9">
        <f t="shared" si="200"/>
        <v>905748.35000000009</v>
      </c>
      <c r="AG417" s="49" t="s">
        <v>966</v>
      </c>
      <c r="AH417" s="13" t="s">
        <v>151</v>
      </c>
      <c r="AI417" s="1">
        <f>664924.33+44153.06</f>
        <v>709077.3899999999</v>
      </c>
      <c r="AJ417" s="1">
        <f>126804.37+8420.22</f>
        <v>135224.59</v>
      </c>
    </row>
    <row r="418" spans="1:36" ht="409.5" x14ac:dyDescent="0.25">
      <c r="A418" s="5">
        <f t="shared" si="196"/>
        <v>415</v>
      </c>
      <c r="B418" s="15">
        <v>109966</v>
      </c>
      <c r="C418" s="78">
        <v>368</v>
      </c>
      <c r="D418" s="5" t="s">
        <v>143</v>
      </c>
      <c r="E418" s="17" t="s">
        <v>271</v>
      </c>
      <c r="F418" s="200" t="s">
        <v>629</v>
      </c>
      <c r="G418" s="121" t="s">
        <v>630</v>
      </c>
      <c r="H418" s="5" t="s">
        <v>362</v>
      </c>
      <c r="I418" s="14" t="s">
        <v>631</v>
      </c>
      <c r="J418" s="2">
        <v>43284</v>
      </c>
      <c r="K418" s="2">
        <v>43772</v>
      </c>
      <c r="L418" s="16">
        <f t="shared" si="189"/>
        <v>82.304190385931335</v>
      </c>
      <c r="M418" s="5" t="s">
        <v>273</v>
      </c>
      <c r="N418" s="5" t="s">
        <v>269</v>
      </c>
      <c r="O418" s="5" t="s">
        <v>903</v>
      </c>
      <c r="P418" s="3" t="s">
        <v>275</v>
      </c>
      <c r="Q418" s="5" t="s">
        <v>34</v>
      </c>
      <c r="R418" s="9">
        <f t="shared" si="197"/>
        <v>820713.65</v>
      </c>
      <c r="S418" s="9">
        <v>661834.04</v>
      </c>
      <c r="T418" s="9">
        <v>158879.60999999999</v>
      </c>
      <c r="U418" s="9">
        <f t="shared" si="201"/>
        <v>156514.07999999999</v>
      </c>
      <c r="V418" s="53">
        <v>116794.2</v>
      </c>
      <c r="W418" s="53">
        <v>39719.879999999997</v>
      </c>
      <c r="X418" s="9">
        <f t="shared" si="198"/>
        <v>0</v>
      </c>
      <c r="Y418" s="9">
        <v>0</v>
      </c>
      <c r="Z418" s="9">
        <v>0</v>
      </c>
      <c r="AA418" s="9">
        <f t="shared" si="199"/>
        <v>19943.43</v>
      </c>
      <c r="AB418" s="9">
        <v>15890.39</v>
      </c>
      <c r="AC418" s="9">
        <v>4053.04</v>
      </c>
      <c r="AD418" s="44">
        <f t="shared" si="195"/>
        <v>997171.16</v>
      </c>
      <c r="AE418" s="9">
        <v>0</v>
      </c>
      <c r="AF418" s="9">
        <f t="shared" si="200"/>
        <v>997171.16</v>
      </c>
      <c r="AG418" s="49" t="s">
        <v>966</v>
      </c>
      <c r="AH418" s="13" t="s">
        <v>151</v>
      </c>
      <c r="AI418" s="1">
        <f>451378.67-10182.02+208239.85+24003.15</f>
        <v>673439.65</v>
      </c>
      <c r="AJ418" s="1">
        <f>16734.59+7125.74+9148.44+12691.77+4258.59+17107.67+10182.02+39712.4+11467</f>
        <v>128428.22</v>
      </c>
    </row>
    <row r="419" spans="1:36" ht="141.75" x14ac:dyDescent="0.25">
      <c r="A419" s="5">
        <f t="shared" si="196"/>
        <v>416</v>
      </c>
      <c r="B419" s="15">
        <v>112133</v>
      </c>
      <c r="C419" s="78">
        <v>149</v>
      </c>
      <c r="D419" s="5" t="s">
        <v>143</v>
      </c>
      <c r="E419" s="17" t="s">
        <v>271</v>
      </c>
      <c r="F419" s="119" t="s">
        <v>634</v>
      </c>
      <c r="G419" s="5" t="s">
        <v>635</v>
      </c>
      <c r="H419" s="5" t="s">
        <v>636</v>
      </c>
      <c r="I419" s="201" t="s">
        <v>637</v>
      </c>
      <c r="J419" s="2">
        <v>43286</v>
      </c>
      <c r="K419" s="2">
        <v>43774</v>
      </c>
      <c r="L419" s="16">
        <f t="shared" si="189"/>
        <v>82.304192989201169</v>
      </c>
      <c r="M419" s="5" t="s">
        <v>273</v>
      </c>
      <c r="N419" s="5" t="s">
        <v>638</v>
      </c>
      <c r="O419" s="5" t="s">
        <v>628</v>
      </c>
      <c r="P419" s="3" t="s">
        <v>275</v>
      </c>
      <c r="Q419" s="5" t="s">
        <v>34</v>
      </c>
      <c r="R419" s="9">
        <v>615782.40000000002</v>
      </c>
      <c r="S419" s="9">
        <v>496574.82</v>
      </c>
      <c r="T419" s="9">
        <v>119207.58</v>
      </c>
      <c r="U419" s="9">
        <f t="shared" si="201"/>
        <v>117432.69</v>
      </c>
      <c r="V419" s="53">
        <v>87630.81</v>
      </c>
      <c r="W419" s="53">
        <v>29801.88</v>
      </c>
      <c r="X419" s="9">
        <f t="shared" si="198"/>
        <v>0</v>
      </c>
      <c r="Y419" s="9">
        <v>0</v>
      </c>
      <c r="Z419" s="9">
        <v>0</v>
      </c>
      <c r="AA419" s="9">
        <f t="shared" si="199"/>
        <v>14963.56</v>
      </c>
      <c r="AB419" s="9">
        <v>11922.59</v>
      </c>
      <c r="AC419" s="9">
        <v>3040.97</v>
      </c>
      <c r="AD419" s="44">
        <f t="shared" si="195"/>
        <v>748178.65000000014</v>
      </c>
      <c r="AE419" s="9"/>
      <c r="AF419" s="9">
        <f t="shared" si="200"/>
        <v>748178.65000000014</v>
      </c>
      <c r="AG419" s="49" t="s">
        <v>966</v>
      </c>
      <c r="AH419" s="13" t="s">
        <v>151</v>
      </c>
      <c r="AI419" s="1">
        <f>439950.77+42401.19+33880.06+36167.03</f>
        <v>552399.05000000005</v>
      </c>
      <c r="AJ419" s="1">
        <f>71119.8+19653.29+7674.97+6897.24</f>
        <v>105345.3</v>
      </c>
    </row>
    <row r="420" spans="1:36" ht="141.75" x14ac:dyDescent="0.25">
      <c r="A420" s="5">
        <f t="shared" si="196"/>
        <v>417</v>
      </c>
      <c r="B420" s="15">
        <v>112698</v>
      </c>
      <c r="C420" s="78">
        <v>231</v>
      </c>
      <c r="D420" s="5" t="s">
        <v>143</v>
      </c>
      <c r="E420" s="17" t="s">
        <v>271</v>
      </c>
      <c r="F420" s="119" t="s">
        <v>643</v>
      </c>
      <c r="G420" s="5" t="s">
        <v>644</v>
      </c>
      <c r="H420" s="5" t="s">
        <v>645</v>
      </c>
      <c r="I420" s="201" t="s">
        <v>646</v>
      </c>
      <c r="J420" s="2">
        <v>43273</v>
      </c>
      <c r="K420" s="2">
        <v>43730</v>
      </c>
      <c r="L420" s="16">
        <f t="shared" si="189"/>
        <v>82.525665803949437</v>
      </c>
      <c r="M420" s="5" t="s">
        <v>273</v>
      </c>
      <c r="N420" s="5" t="s">
        <v>262</v>
      </c>
      <c r="O420" s="5" t="s">
        <v>262</v>
      </c>
      <c r="P420" s="3" t="s">
        <v>275</v>
      </c>
      <c r="Q420" s="5" t="s">
        <v>34</v>
      </c>
      <c r="R420" s="9">
        <f t="shared" ref="R420:R451" si="202">S420+T420</f>
        <v>814877.24</v>
      </c>
      <c r="S420" s="9">
        <v>657127.51</v>
      </c>
      <c r="T420" s="9">
        <v>157749.73000000001</v>
      </c>
      <c r="U420" s="9">
        <f t="shared" si="201"/>
        <v>134548.1</v>
      </c>
      <c r="V420" s="53">
        <v>100402.7</v>
      </c>
      <c r="W420" s="53">
        <v>34145.4</v>
      </c>
      <c r="X420" s="9">
        <f t="shared" si="198"/>
        <v>20853.009999999998</v>
      </c>
      <c r="Y420" s="9">
        <v>15560.97</v>
      </c>
      <c r="Z420" s="9">
        <v>5292.04</v>
      </c>
      <c r="AA420" s="9">
        <f t="shared" si="199"/>
        <v>17144.45</v>
      </c>
      <c r="AB420" s="9">
        <v>13660.23</v>
      </c>
      <c r="AC420" s="9">
        <v>3484.22</v>
      </c>
      <c r="AD420" s="44">
        <f t="shared" si="195"/>
        <v>987422.79999999993</v>
      </c>
      <c r="AE420" s="9"/>
      <c r="AF420" s="9">
        <f t="shared" si="200"/>
        <v>987422.79999999993</v>
      </c>
      <c r="AG420" s="49" t="s">
        <v>966</v>
      </c>
      <c r="AH420" s="13" t="s">
        <v>1315</v>
      </c>
      <c r="AI420" s="1">
        <f>85822.98+78186.5+192062.93</f>
        <v>356072.41</v>
      </c>
      <c r="AJ420" s="1">
        <f>14910.56+48890.63</f>
        <v>63801.189999999995</v>
      </c>
    </row>
    <row r="421" spans="1:36" ht="409.5" x14ac:dyDescent="0.25">
      <c r="A421" s="5">
        <f t="shared" si="196"/>
        <v>418</v>
      </c>
      <c r="B421" s="15">
        <v>112427</v>
      </c>
      <c r="C421" s="78">
        <v>367</v>
      </c>
      <c r="D421" s="5" t="s">
        <v>143</v>
      </c>
      <c r="E421" s="17" t="s">
        <v>271</v>
      </c>
      <c r="F421" s="119" t="s">
        <v>650</v>
      </c>
      <c r="G421" s="5" t="s">
        <v>651</v>
      </c>
      <c r="H421" s="5" t="s">
        <v>653</v>
      </c>
      <c r="I421" s="14" t="s">
        <v>652</v>
      </c>
      <c r="J421" s="2">
        <v>43290</v>
      </c>
      <c r="K421" s="2">
        <v>43778</v>
      </c>
      <c r="L421" s="16">
        <f t="shared" si="189"/>
        <v>82.304189883139372</v>
      </c>
      <c r="M421" s="5" t="s">
        <v>273</v>
      </c>
      <c r="N421" s="5" t="s">
        <v>262</v>
      </c>
      <c r="O421" s="5" t="s">
        <v>262</v>
      </c>
      <c r="P421" s="3" t="s">
        <v>275</v>
      </c>
      <c r="Q421" s="5" t="s">
        <v>34</v>
      </c>
      <c r="R421" s="9">
        <f t="shared" si="202"/>
        <v>785233.14</v>
      </c>
      <c r="S421" s="9">
        <v>633222.11</v>
      </c>
      <c r="T421" s="9">
        <v>152011.03</v>
      </c>
      <c r="U421" s="9">
        <f t="shared" si="201"/>
        <v>149747.75</v>
      </c>
      <c r="V421" s="53">
        <v>111745.03</v>
      </c>
      <c r="W421" s="53">
        <v>38002.720000000001</v>
      </c>
      <c r="X421" s="9">
        <f t="shared" si="198"/>
        <v>0</v>
      </c>
      <c r="Y421" s="9">
        <v>0</v>
      </c>
      <c r="Z421" s="9">
        <v>0</v>
      </c>
      <c r="AA421" s="9">
        <f t="shared" si="199"/>
        <v>19081.28</v>
      </c>
      <c r="AB421" s="9">
        <v>15203.43</v>
      </c>
      <c r="AC421" s="9">
        <v>3877.85</v>
      </c>
      <c r="AD421" s="44">
        <f t="shared" si="195"/>
        <v>954062.17</v>
      </c>
      <c r="AE421" s="9">
        <v>0</v>
      </c>
      <c r="AF421" s="9">
        <f t="shared" si="200"/>
        <v>954062.17</v>
      </c>
      <c r="AG421" s="49" t="s">
        <v>966</v>
      </c>
      <c r="AH421" s="13" t="s">
        <v>151</v>
      </c>
      <c r="AI421" s="1">
        <f>412777.32-11185.38+153298.14+162053.15</f>
        <v>716943.2300000001</v>
      </c>
      <c r="AJ421" s="1">
        <f>16617.93+10285.59+15452.81+18167.9+11690.43+33605.62+30904.31</f>
        <v>136724.59</v>
      </c>
    </row>
    <row r="422" spans="1:36" ht="141.75" x14ac:dyDescent="0.25">
      <c r="A422" s="5">
        <f t="shared" si="196"/>
        <v>419</v>
      </c>
      <c r="B422" s="15">
        <v>112409</v>
      </c>
      <c r="C422" s="78">
        <v>150</v>
      </c>
      <c r="D422" s="5" t="s">
        <v>143</v>
      </c>
      <c r="E422" s="17" t="s">
        <v>271</v>
      </c>
      <c r="F422" s="119" t="s">
        <v>654</v>
      </c>
      <c r="G422" s="5" t="s">
        <v>655</v>
      </c>
      <c r="H422" s="5" t="s">
        <v>299</v>
      </c>
      <c r="I422" s="14" t="s">
        <v>656</v>
      </c>
      <c r="J422" s="2">
        <v>43291</v>
      </c>
      <c r="K422" s="2">
        <v>43779</v>
      </c>
      <c r="L422" s="16">
        <f t="shared" si="189"/>
        <v>82.304188969946821</v>
      </c>
      <c r="M422" s="5" t="s">
        <v>273</v>
      </c>
      <c r="N422" s="5" t="s">
        <v>369</v>
      </c>
      <c r="O422" s="5" t="s">
        <v>256</v>
      </c>
      <c r="P422" s="3" t="s">
        <v>275</v>
      </c>
      <c r="Q422" s="5" t="s">
        <v>34</v>
      </c>
      <c r="R422" s="9">
        <f t="shared" si="202"/>
        <v>780523.20000000007</v>
      </c>
      <c r="S422" s="9">
        <v>629423.91</v>
      </c>
      <c r="T422" s="9">
        <v>151099.29</v>
      </c>
      <c r="U422" s="9">
        <f t="shared" si="201"/>
        <v>148849.57</v>
      </c>
      <c r="V422" s="53">
        <v>111074.8</v>
      </c>
      <c r="W422" s="53">
        <v>37774.769999999997</v>
      </c>
      <c r="X422" s="9">
        <f t="shared" si="198"/>
        <v>0</v>
      </c>
      <c r="Y422" s="9">
        <v>0</v>
      </c>
      <c r="Z422" s="9">
        <v>0</v>
      </c>
      <c r="AA422" s="9">
        <f t="shared" si="199"/>
        <v>18966.810000000001</v>
      </c>
      <c r="AB422" s="9">
        <v>15112.25</v>
      </c>
      <c r="AC422" s="9">
        <v>3854.56</v>
      </c>
      <c r="AD422" s="44">
        <f t="shared" si="195"/>
        <v>948339.58000000007</v>
      </c>
      <c r="AE422" s="9">
        <v>0</v>
      </c>
      <c r="AF422" s="9">
        <f t="shared" si="200"/>
        <v>948339.58000000007</v>
      </c>
      <c r="AG422" s="49" t="s">
        <v>966</v>
      </c>
      <c r="AH422" s="13" t="s">
        <v>151</v>
      </c>
      <c r="AI422" s="1">
        <f>479629.25+84387.23+5356.46</f>
        <v>569372.93999999994</v>
      </c>
      <c r="AJ422" s="1">
        <f>73382.49+16093.07+19106.61</f>
        <v>108582.17</v>
      </c>
    </row>
    <row r="423" spans="1:36" ht="141.75" x14ac:dyDescent="0.25">
      <c r="A423" s="5">
        <f t="shared" si="196"/>
        <v>420</v>
      </c>
      <c r="B423" s="15">
        <v>112861</v>
      </c>
      <c r="C423" s="78">
        <v>324</v>
      </c>
      <c r="D423" s="5" t="s">
        <v>143</v>
      </c>
      <c r="E423" s="17" t="s">
        <v>271</v>
      </c>
      <c r="F423" s="119" t="s">
        <v>657</v>
      </c>
      <c r="G423" s="5" t="s">
        <v>658</v>
      </c>
      <c r="H423" s="5" t="s">
        <v>299</v>
      </c>
      <c r="I423" s="74" t="s">
        <v>659</v>
      </c>
      <c r="J423" s="2">
        <v>43290</v>
      </c>
      <c r="K423" s="2">
        <v>43778</v>
      </c>
      <c r="L423" s="16">
        <f t="shared" si="189"/>
        <v>82.304190691615503</v>
      </c>
      <c r="M423" s="5" t="s">
        <v>273</v>
      </c>
      <c r="N423" s="5" t="s">
        <v>262</v>
      </c>
      <c r="O423" s="5" t="s">
        <v>262</v>
      </c>
      <c r="P423" s="3" t="s">
        <v>275</v>
      </c>
      <c r="Q423" s="5" t="s">
        <v>34</v>
      </c>
      <c r="R423" s="9">
        <f t="shared" si="202"/>
        <v>649951.84000000008</v>
      </c>
      <c r="S423" s="9">
        <v>524129.52</v>
      </c>
      <c r="T423" s="9">
        <v>125822.32</v>
      </c>
      <c r="U423" s="9">
        <f t="shared" si="201"/>
        <v>123949</v>
      </c>
      <c r="V423" s="53">
        <v>92493.43</v>
      </c>
      <c r="W423" s="53">
        <v>31455.57</v>
      </c>
      <c r="X423" s="9">
        <f t="shared" si="198"/>
        <v>0</v>
      </c>
      <c r="Y423" s="9">
        <v>0</v>
      </c>
      <c r="Z423" s="9">
        <v>0</v>
      </c>
      <c r="AA423" s="9">
        <f t="shared" si="199"/>
        <v>15793.869999999999</v>
      </c>
      <c r="AB423" s="9">
        <v>12584.14</v>
      </c>
      <c r="AC423" s="9">
        <v>3209.73</v>
      </c>
      <c r="AD423" s="44">
        <f t="shared" si="195"/>
        <v>789694.71000000008</v>
      </c>
      <c r="AE423" s="9">
        <v>0</v>
      </c>
      <c r="AF423" s="9">
        <f t="shared" si="200"/>
        <v>789694.71000000008</v>
      </c>
      <c r="AG423" s="49" t="s">
        <v>966</v>
      </c>
      <c r="AH423" s="13" t="s">
        <v>1036</v>
      </c>
      <c r="AI423" s="1">
        <f>78969.47+33506.04+30781.72+5848.53+60387.9+38197.37+82803.77+168161.44-11081.22</f>
        <v>487575.02</v>
      </c>
      <c r="AJ423" s="1">
        <f>6389.76+5870.23+1115.34+11516.25+7284.43+15791.09+32069.22+12946.63</f>
        <v>92982.950000000012</v>
      </c>
    </row>
    <row r="424" spans="1:36" ht="173.25" x14ac:dyDescent="0.25">
      <c r="A424" s="5">
        <f t="shared" si="196"/>
        <v>421</v>
      </c>
      <c r="B424" s="15">
        <v>110709</v>
      </c>
      <c r="C424" s="78">
        <v>313</v>
      </c>
      <c r="D424" s="5" t="s">
        <v>143</v>
      </c>
      <c r="E424" s="17" t="s">
        <v>271</v>
      </c>
      <c r="F424" s="119" t="s">
        <v>660</v>
      </c>
      <c r="G424" s="5" t="s">
        <v>661</v>
      </c>
      <c r="H424" s="5" t="s">
        <v>299</v>
      </c>
      <c r="I424" s="74" t="s">
        <v>662</v>
      </c>
      <c r="J424" s="2">
        <v>43291</v>
      </c>
      <c r="K424" s="2">
        <v>43779</v>
      </c>
      <c r="L424" s="16">
        <f t="shared" si="189"/>
        <v>82.304183081659716</v>
      </c>
      <c r="M424" s="5" t="s">
        <v>273</v>
      </c>
      <c r="N424" s="5" t="s">
        <v>262</v>
      </c>
      <c r="O424" s="5" t="s">
        <v>262</v>
      </c>
      <c r="P424" s="3" t="s">
        <v>275</v>
      </c>
      <c r="Q424" s="5" t="s">
        <v>34</v>
      </c>
      <c r="R424" s="9">
        <f t="shared" si="202"/>
        <v>821857.62999999989</v>
      </c>
      <c r="S424" s="9">
        <v>662756.56999999995</v>
      </c>
      <c r="T424" s="9">
        <v>159101.06</v>
      </c>
      <c r="U424" s="9">
        <f t="shared" si="201"/>
        <v>156732.34</v>
      </c>
      <c r="V424" s="53">
        <v>116957.1</v>
      </c>
      <c r="W424" s="53">
        <v>39775.24</v>
      </c>
      <c r="X424" s="9">
        <f t="shared" si="198"/>
        <v>0</v>
      </c>
      <c r="Y424" s="9">
        <v>0</v>
      </c>
      <c r="Z424" s="9">
        <v>0</v>
      </c>
      <c r="AA424" s="9">
        <f t="shared" si="199"/>
        <v>19971.22</v>
      </c>
      <c r="AB424" s="9">
        <v>15912.5</v>
      </c>
      <c r="AC424" s="9">
        <v>4058.72</v>
      </c>
      <c r="AD424" s="44">
        <f t="shared" si="195"/>
        <v>998561.18999999983</v>
      </c>
      <c r="AE424" s="9">
        <v>576</v>
      </c>
      <c r="AF424" s="9">
        <f t="shared" si="200"/>
        <v>999137.18999999983</v>
      </c>
      <c r="AG424" s="49" t="s">
        <v>966</v>
      </c>
      <c r="AH424" s="13" t="s">
        <v>151</v>
      </c>
      <c r="AI424" s="1">
        <f>489541.18+150804.97+87205.35</f>
        <v>727551.5</v>
      </c>
      <c r="AJ424" s="1">
        <f>93357.95+28759.24+16630.53</f>
        <v>138747.72</v>
      </c>
    </row>
    <row r="425" spans="1:36" ht="378" x14ac:dyDescent="0.25">
      <c r="A425" s="5">
        <f t="shared" si="196"/>
        <v>422</v>
      </c>
      <c r="B425" s="15">
        <v>113039</v>
      </c>
      <c r="C425" s="78">
        <v>200</v>
      </c>
      <c r="D425" s="5" t="s">
        <v>143</v>
      </c>
      <c r="E425" s="17" t="s">
        <v>271</v>
      </c>
      <c r="F425" s="119" t="s">
        <v>669</v>
      </c>
      <c r="G425" s="15" t="s">
        <v>670</v>
      </c>
      <c r="H425" s="5" t="s">
        <v>299</v>
      </c>
      <c r="I425" s="14" t="s">
        <v>671</v>
      </c>
      <c r="J425" s="2">
        <v>43291</v>
      </c>
      <c r="K425" s="2">
        <v>43779</v>
      </c>
      <c r="L425" s="16">
        <f t="shared" si="189"/>
        <v>82.30418382046426</v>
      </c>
      <c r="M425" s="5" t="s">
        <v>273</v>
      </c>
      <c r="N425" s="5" t="s">
        <v>232</v>
      </c>
      <c r="O425" s="5" t="s">
        <v>672</v>
      </c>
      <c r="P425" s="3" t="s">
        <v>275</v>
      </c>
      <c r="Q425" s="5" t="s">
        <v>34</v>
      </c>
      <c r="R425" s="9">
        <f t="shared" si="202"/>
        <v>812437.94000000006</v>
      </c>
      <c r="S425" s="9">
        <v>655160.41</v>
      </c>
      <c r="T425" s="9">
        <v>157277.53</v>
      </c>
      <c r="U425" s="9">
        <f t="shared" si="201"/>
        <v>154935.91999999998</v>
      </c>
      <c r="V425" s="53">
        <v>115616.54</v>
      </c>
      <c r="W425" s="53">
        <v>39319.379999999997</v>
      </c>
      <c r="X425" s="9">
        <f t="shared" si="198"/>
        <v>0</v>
      </c>
      <c r="Y425" s="9">
        <v>0</v>
      </c>
      <c r="Z425" s="9">
        <v>0</v>
      </c>
      <c r="AA425" s="9">
        <f t="shared" si="199"/>
        <v>19742.349999999999</v>
      </c>
      <c r="AB425" s="9">
        <v>15730.16</v>
      </c>
      <c r="AC425" s="9">
        <v>4012.19</v>
      </c>
      <c r="AD425" s="44">
        <f t="shared" si="195"/>
        <v>987116.21000000008</v>
      </c>
      <c r="AE425" s="9">
        <v>0</v>
      </c>
      <c r="AF425" s="9">
        <f t="shared" si="200"/>
        <v>987116.21000000008</v>
      </c>
      <c r="AG425" s="49" t="s">
        <v>966</v>
      </c>
      <c r="AH425" s="13" t="s">
        <v>1538</v>
      </c>
      <c r="AI425" s="1">
        <f>98711.62+82894.54-376.83+73798.02+80976.74+185141.28+260525.68-19533.72</f>
        <v>762137.33000000007</v>
      </c>
      <c r="AJ425" s="1">
        <f>15808.4+376.83+15333.49+13734.08+35307.36+49683.52+15099.61</f>
        <v>145343.28999999998</v>
      </c>
    </row>
    <row r="426" spans="1:36" ht="141.75" x14ac:dyDescent="0.25">
      <c r="A426" s="5">
        <f t="shared" si="196"/>
        <v>423</v>
      </c>
      <c r="B426" s="15">
        <v>113125</v>
      </c>
      <c r="C426" s="78">
        <v>230</v>
      </c>
      <c r="D426" s="5" t="s">
        <v>143</v>
      </c>
      <c r="E426" s="17" t="s">
        <v>271</v>
      </c>
      <c r="F426" s="119" t="s">
        <v>679</v>
      </c>
      <c r="G426" s="5" t="s">
        <v>680</v>
      </c>
      <c r="H426" s="5" t="s">
        <v>299</v>
      </c>
      <c r="I426" s="5" t="s">
        <v>681</v>
      </c>
      <c r="J426" s="2">
        <v>43291</v>
      </c>
      <c r="K426" s="2">
        <v>43718</v>
      </c>
      <c r="L426" s="16">
        <f t="shared" si="189"/>
        <v>82.304188716846156</v>
      </c>
      <c r="M426" s="5" t="s">
        <v>273</v>
      </c>
      <c r="N426" s="5" t="s">
        <v>262</v>
      </c>
      <c r="O426" s="5" t="s">
        <v>262</v>
      </c>
      <c r="P426" s="3" t="s">
        <v>275</v>
      </c>
      <c r="Q426" s="5" t="s">
        <v>34</v>
      </c>
      <c r="R426" s="9">
        <f t="shared" si="202"/>
        <v>736342.77</v>
      </c>
      <c r="S426" s="9">
        <v>593796.28</v>
      </c>
      <c r="T426" s="9">
        <v>142546.49</v>
      </c>
      <c r="U426" s="9">
        <f t="shared" si="201"/>
        <v>140424.16999999998</v>
      </c>
      <c r="V426" s="53">
        <v>104787.58</v>
      </c>
      <c r="W426" s="53">
        <v>35636.589999999997</v>
      </c>
      <c r="X426" s="9">
        <f t="shared" si="198"/>
        <v>0</v>
      </c>
      <c r="Y426" s="9">
        <v>0</v>
      </c>
      <c r="Z426" s="9">
        <v>0</v>
      </c>
      <c r="AA426" s="9">
        <f t="shared" si="199"/>
        <v>17893.2</v>
      </c>
      <c r="AB426" s="9">
        <v>14256.8</v>
      </c>
      <c r="AC426" s="9">
        <v>3636.4</v>
      </c>
      <c r="AD426" s="44">
        <f t="shared" si="195"/>
        <v>894660.1399999999</v>
      </c>
      <c r="AE426" s="9">
        <v>0</v>
      </c>
      <c r="AF426" s="9">
        <f t="shared" si="200"/>
        <v>894660.1399999999</v>
      </c>
      <c r="AG426" s="49" t="s">
        <v>966</v>
      </c>
      <c r="AH426" s="13" t="s">
        <v>362</v>
      </c>
      <c r="AI426" s="1">
        <f>431197.76+67607.74</f>
        <v>498805.5</v>
      </c>
      <c r="AJ426" s="1">
        <f>81263.8+12893.14</f>
        <v>94156.94</v>
      </c>
    </row>
    <row r="427" spans="1:36" ht="189" x14ac:dyDescent="0.25">
      <c r="A427" s="5">
        <f t="shared" si="196"/>
        <v>424</v>
      </c>
      <c r="B427" s="15">
        <v>112435</v>
      </c>
      <c r="C427" s="78">
        <v>323</v>
      </c>
      <c r="D427" s="5" t="s">
        <v>143</v>
      </c>
      <c r="E427" s="17" t="s">
        <v>271</v>
      </c>
      <c r="F427" s="119" t="s">
        <v>682</v>
      </c>
      <c r="G427" s="5" t="s">
        <v>683</v>
      </c>
      <c r="H427" s="5" t="s">
        <v>684</v>
      </c>
      <c r="I427" s="14" t="s">
        <v>685</v>
      </c>
      <c r="J427" s="2">
        <v>43292</v>
      </c>
      <c r="K427" s="2">
        <v>43780</v>
      </c>
      <c r="L427" s="16">
        <f t="shared" si="189"/>
        <v>82.304182891954625</v>
      </c>
      <c r="M427" s="5" t="s">
        <v>273</v>
      </c>
      <c r="N427" s="5" t="s">
        <v>281</v>
      </c>
      <c r="O427" s="5" t="s">
        <v>281</v>
      </c>
      <c r="P427" s="3" t="s">
        <v>275</v>
      </c>
      <c r="Q427" s="5" t="s">
        <v>34</v>
      </c>
      <c r="R427" s="9">
        <f t="shared" si="202"/>
        <v>815316.89</v>
      </c>
      <c r="S427" s="9">
        <v>657481.98</v>
      </c>
      <c r="T427" s="9">
        <v>157834.91</v>
      </c>
      <c r="U427" s="9">
        <f t="shared" si="201"/>
        <v>155484.97999999998</v>
      </c>
      <c r="V427" s="53">
        <v>116026.31</v>
      </c>
      <c r="W427" s="53">
        <v>39458.67</v>
      </c>
      <c r="X427" s="9">
        <f t="shared" si="198"/>
        <v>0</v>
      </c>
      <c r="Y427" s="9">
        <v>0</v>
      </c>
      <c r="Z427" s="9">
        <v>0</v>
      </c>
      <c r="AA427" s="9">
        <f t="shared" si="199"/>
        <v>19812.29</v>
      </c>
      <c r="AB427" s="9">
        <v>15785.9</v>
      </c>
      <c r="AC427" s="9">
        <v>4026.39</v>
      </c>
      <c r="AD427" s="44">
        <f t="shared" si="195"/>
        <v>990614.16</v>
      </c>
      <c r="AE427" s="9"/>
      <c r="AF427" s="9">
        <f t="shared" si="200"/>
        <v>990614.16</v>
      </c>
      <c r="AG427" s="49" t="s">
        <v>966</v>
      </c>
      <c r="AH427" s="13" t="s">
        <v>1338</v>
      </c>
      <c r="AI427" s="1">
        <f>694001.82-8054.22</f>
        <v>685947.6</v>
      </c>
      <c r="AJ427" s="1">
        <f>15703.63+42154.87+5183.15+19792.72+39704.75+8274.46</f>
        <v>130813.57999999999</v>
      </c>
    </row>
    <row r="428" spans="1:36" ht="141.75" x14ac:dyDescent="0.25">
      <c r="A428" s="5">
        <f t="shared" si="196"/>
        <v>425</v>
      </c>
      <c r="B428" s="15">
        <v>110839</v>
      </c>
      <c r="C428" s="78">
        <v>306</v>
      </c>
      <c r="D428" s="5" t="s">
        <v>143</v>
      </c>
      <c r="E428" s="17" t="s">
        <v>271</v>
      </c>
      <c r="F428" s="119" t="s">
        <v>686</v>
      </c>
      <c r="G428" s="5" t="s">
        <v>687</v>
      </c>
      <c r="H428" s="5" t="s">
        <v>689</v>
      </c>
      <c r="I428" s="8" t="s">
        <v>688</v>
      </c>
      <c r="J428" s="2">
        <v>43292</v>
      </c>
      <c r="K428" s="2">
        <v>43993</v>
      </c>
      <c r="L428" s="16">
        <f t="shared" si="189"/>
        <v>82.304186604752402</v>
      </c>
      <c r="M428" s="5" t="s">
        <v>273</v>
      </c>
      <c r="N428" s="5" t="s">
        <v>690</v>
      </c>
      <c r="O428" s="5" t="s">
        <v>690</v>
      </c>
      <c r="P428" s="3" t="s">
        <v>275</v>
      </c>
      <c r="Q428" s="5" t="s">
        <v>34</v>
      </c>
      <c r="R428" s="9">
        <f t="shared" si="202"/>
        <v>800537.35</v>
      </c>
      <c r="S428" s="9">
        <v>645563.62</v>
      </c>
      <c r="T428" s="9">
        <v>154973.73000000001</v>
      </c>
      <c r="U428" s="9">
        <f t="shared" si="201"/>
        <v>152666.38</v>
      </c>
      <c r="V428" s="53">
        <v>113922.98</v>
      </c>
      <c r="W428" s="53">
        <v>38743.4</v>
      </c>
      <c r="X428" s="9">
        <f t="shared" si="198"/>
        <v>0</v>
      </c>
      <c r="Y428" s="9">
        <v>0</v>
      </c>
      <c r="Z428" s="9">
        <v>0</v>
      </c>
      <c r="AA428" s="9">
        <f t="shared" si="199"/>
        <v>19453.169999999998</v>
      </c>
      <c r="AB428" s="9">
        <v>15499.74</v>
      </c>
      <c r="AC428" s="9">
        <v>3953.43</v>
      </c>
      <c r="AD428" s="44">
        <f t="shared" si="195"/>
        <v>972656.9</v>
      </c>
      <c r="AE428" s="9"/>
      <c r="AF428" s="9">
        <f t="shared" si="200"/>
        <v>972656.9</v>
      </c>
      <c r="AG428" s="59" t="s">
        <v>966</v>
      </c>
      <c r="AH428" s="13" t="s">
        <v>1624</v>
      </c>
      <c r="AI428" s="1">
        <f>655019.55+13323.41+14688.82</f>
        <v>683031.78</v>
      </c>
      <c r="AJ428" s="1">
        <f>124915.36+2540.83+2801.24</f>
        <v>130257.43000000001</v>
      </c>
    </row>
    <row r="429" spans="1:36" ht="141.75" x14ac:dyDescent="0.25">
      <c r="A429" s="5">
        <f t="shared" si="196"/>
        <v>426</v>
      </c>
      <c r="B429" s="15">
        <v>115895</v>
      </c>
      <c r="C429" s="78">
        <v>389</v>
      </c>
      <c r="D429" s="29" t="s">
        <v>143</v>
      </c>
      <c r="E429" s="178" t="s">
        <v>385</v>
      </c>
      <c r="F429" s="119" t="s">
        <v>695</v>
      </c>
      <c r="G429" s="125" t="s">
        <v>2079</v>
      </c>
      <c r="H429" s="5" t="s">
        <v>696</v>
      </c>
      <c r="I429" s="14" t="s">
        <v>697</v>
      </c>
      <c r="J429" s="2">
        <v>43293</v>
      </c>
      <c r="K429" s="2">
        <v>44451</v>
      </c>
      <c r="L429" s="16">
        <f t="shared" si="189"/>
        <v>83.983864548494978</v>
      </c>
      <c r="M429" s="5" t="s">
        <v>273</v>
      </c>
      <c r="N429" s="5" t="s">
        <v>262</v>
      </c>
      <c r="O429" s="5" t="s">
        <v>262</v>
      </c>
      <c r="P429" s="3" t="s">
        <v>138</v>
      </c>
      <c r="Q429" s="5" t="s">
        <v>34</v>
      </c>
      <c r="R429" s="9">
        <f t="shared" si="202"/>
        <v>2511117.5499999998</v>
      </c>
      <c r="S429" s="9">
        <v>2024997.51</v>
      </c>
      <c r="T429" s="9">
        <v>486120.04</v>
      </c>
      <c r="U429" s="9">
        <f t="shared" si="201"/>
        <v>0</v>
      </c>
      <c r="V429" s="53"/>
      <c r="W429" s="53"/>
      <c r="X429" s="9">
        <f t="shared" si="198"/>
        <v>478882.44999999995</v>
      </c>
      <c r="Y429" s="9">
        <v>357352.47</v>
      </c>
      <c r="Z429" s="9">
        <v>121529.98</v>
      </c>
      <c r="AA429" s="9">
        <f t="shared" si="199"/>
        <v>0</v>
      </c>
      <c r="AB429" s="9">
        <v>0</v>
      </c>
      <c r="AC429" s="9">
        <v>0</v>
      </c>
      <c r="AD429" s="44">
        <f t="shared" si="195"/>
        <v>2990000</v>
      </c>
      <c r="AE429" s="9">
        <v>0</v>
      </c>
      <c r="AF429" s="9">
        <f t="shared" si="200"/>
        <v>2990000</v>
      </c>
      <c r="AG429" s="59" t="s">
        <v>515</v>
      </c>
      <c r="AH429" s="13" t="s">
        <v>1517</v>
      </c>
      <c r="AI429" s="1">
        <f>1101841.06+308901.88+307109.67+140785.22+76589.93</f>
        <v>1935227.7599999998</v>
      </c>
      <c r="AJ429" s="1">
        <v>0</v>
      </c>
    </row>
    <row r="430" spans="1:36" ht="267.75" x14ac:dyDescent="0.25">
      <c r="A430" s="5">
        <f t="shared" si="196"/>
        <v>427</v>
      </c>
      <c r="B430" s="15">
        <v>111830</v>
      </c>
      <c r="C430" s="78">
        <v>377</v>
      </c>
      <c r="D430" s="134" t="s">
        <v>1988</v>
      </c>
      <c r="E430" s="178" t="s">
        <v>565</v>
      </c>
      <c r="F430" s="119" t="s">
        <v>1974</v>
      </c>
      <c r="G430" s="5" t="s">
        <v>698</v>
      </c>
      <c r="H430" s="5" t="s">
        <v>699</v>
      </c>
      <c r="I430" s="14" t="s">
        <v>700</v>
      </c>
      <c r="J430" s="2">
        <v>43297</v>
      </c>
      <c r="K430" s="2">
        <v>43906</v>
      </c>
      <c r="L430" s="16">
        <f t="shared" si="189"/>
        <v>83.143853842955224</v>
      </c>
      <c r="M430" s="5" t="s">
        <v>273</v>
      </c>
      <c r="N430" s="5" t="s">
        <v>262</v>
      </c>
      <c r="O430" s="5" t="s">
        <v>262</v>
      </c>
      <c r="P430" s="3" t="s">
        <v>138</v>
      </c>
      <c r="Q430" s="5" t="s">
        <v>34</v>
      </c>
      <c r="R430" s="9">
        <f t="shared" si="202"/>
        <v>5525318.4299999997</v>
      </c>
      <c r="S430" s="9">
        <v>4455687.8899999997</v>
      </c>
      <c r="T430" s="9">
        <v>1069630.54</v>
      </c>
      <c r="U430" s="9">
        <f t="shared" si="201"/>
        <v>987264.11999999988</v>
      </c>
      <c r="V430" s="53">
        <v>733359.19</v>
      </c>
      <c r="W430" s="53">
        <v>253904.93</v>
      </c>
      <c r="X430" s="9">
        <f t="shared" si="198"/>
        <v>0</v>
      </c>
      <c r="Y430" s="9">
        <v>0</v>
      </c>
      <c r="Z430" s="9">
        <v>0</v>
      </c>
      <c r="AA430" s="9">
        <f t="shared" si="199"/>
        <v>132909.78</v>
      </c>
      <c r="AB430" s="9">
        <v>105898.92</v>
      </c>
      <c r="AC430" s="9">
        <v>27010.86</v>
      </c>
      <c r="AD430" s="44">
        <f t="shared" si="195"/>
        <v>6645492.3300000001</v>
      </c>
      <c r="AE430" s="9">
        <v>0</v>
      </c>
      <c r="AF430" s="9">
        <f t="shared" si="200"/>
        <v>6645492.3300000001</v>
      </c>
      <c r="AG430" s="59" t="s">
        <v>966</v>
      </c>
      <c r="AH430" s="13" t="s">
        <v>1613</v>
      </c>
      <c r="AI430" s="1">
        <v>4546741.8800000018</v>
      </c>
      <c r="AJ430" s="1">
        <v>805170.18000000028</v>
      </c>
    </row>
    <row r="431" spans="1:36" ht="283.5" x14ac:dyDescent="0.25">
      <c r="A431" s="5">
        <f t="shared" si="196"/>
        <v>428</v>
      </c>
      <c r="B431" s="78">
        <v>126528</v>
      </c>
      <c r="C431" s="78">
        <v>496</v>
      </c>
      <c r="D431" s="134" t="s">
        <v>1988</v>
      </c>
      <c r="E431" s="8" t="s">
        <v>1130</v>
      </c>
      <c r="F431" s="55" t="s">
        <v>1180</v>
      </c>
      <c r="G431" s="5" t="s">
        <v>1179</v>
      </c>
      <c r="H431" s="5" t="s">
        <v>1186</v>
      </c>
      <c r="I431" s="174" t="s">
        <v>1183</v>
      </c>
      <c r="J431" s="2">
        <v>43552</v>
      </c>
      <c r="K431" s="2">
        <v>44283</v>
      </c>
      <c r="L431" s="16">
        <f t="shared" si="189"/>
        <v>83.538686217523377</v>
      </c>
      <c r="M431" s="5" t="s">
        <v>1181</v>
      </c>
      <c r="N431" s="5" t="s">
        <v>1182</v>
      </c>
      <c r="O431" s="5" t="s">
        <v>1182</v>
      </c>
      <c r="P431" s="5" t="s">
        <v>275</v>
      </c>
      <c r="Q431" s="5" t="s">
        <v>34</v>
      </c>
      <c r="R431" s="1">
        <f t="shared" si="202"/>
        <v>1949308.98</v>
      </c>
      <c r="S431" s="131">
        <v>1949308.98</v>
      </c>
      <c r="T431" s="54">
        <v>0</v>
      </c>
      <c r="U431" s="1">
        <f t="shared" si="201"/>
        <v>337443.27</v>
      </c>
      <c r="V431" s="71">
        <v>337443.27</v>
      </c>
      <c r="W431" s="71">
        <v>0</v>
      </c>
      <c r="X431" s="1">
        <f t="shared" si="198"/>
        <v>6552.42</v>
      </c>
      <c r="Y431" s="131">
        <v>6552.42</v>
      </c>
      <c r="Z431" s="54">
        <v>0</v>
      </c>
      <c r="AA431" s="9">
        <f t="shared" si="199"/>
        <v>40116.009999999995</v>
      </c>
      <c r="AB431" s="131">
        <f>23632.16+16483.85</f>
        <v>40116.009999999995</v>
      </c>
      <c r="AC431" s="54">
        <v>0</v>
      </c>
      <c r="AD431" s="44">
        <f t="shared" si="195"/>
        <v>2333420.6799999997</v>
      </c>
      <c r="AE431" s="11">
        <v>0</v>
      </c>
      <c r="AF431" s="9">
        <f t="shared" si="200"/>
        <v>2333420.6799999997</v>
      </c>
      <c r="AG431" s="59" t="s">
        <v>966</v>
      </c>
      <c r="AH431" s="11" t="s">
        <v>151</v>
      </c>
      <c r="AI431" s="1">
        <f>1124643.02+142130.56+141973.95+153503.61+152349.68+121455.81-7033.67-26450.13</f>
        <v>1802572.8300000003</v>
      </c>
      <c r="AJ431" s="1">
        <f>154526.42+24578.05+24562.15+26694.06+26553.69+25966.76+30122.6</f>
        <v>313003.73</v>
      </c>
    </row>
    <row r="432" spans="1:36" ht="141.75" x14ac:dyDescent="0.25">
      <c r="A432" s="5">
        <f t="shared" si="196"/>
        <v>429</v>
      </c>
      <c r="B432" s="15">
        <v>109927</v>
      </c>
      <c r="C432" s="78">
        <v>334</v>
      </c>
      <c r="D432" s="5" t="s">
        <v>143</v>
      </c>
      <c r="E432" s="17" t="s">
        <v>271</v>
      </c>
      <c r="F432" s="119" t="s">
        <v>703</v>
      </c>
      <c r="G432" s="5" t="s">
        <v>704</v>
      </c>
      <c r="H432" s="5" t="s">
        <v>296</v>
      </c>
      <c r="I432" s="14" t="s">
        <v>705</v>
      </c>
      <c r="J432" s="2">
        <v>43297</v>
      </c>
      <c r="K432" s="2">
        <v>43785</v>
      </c>
      <c r="L432" s="16">
        <f t="shared" ref="L432:L493" si="203">R432/AD432*100</f>
        <v>82.304185890830638</v>
      </c>
      <c r="M432" s="5" t="s">
        <v>273</v>
      </c>
      <c r="N432" s="5" t="s">
        <v>262</v>
      </c>
      <c r="O432" s="5" t="s">
        <v>262</v>
      </c>
      <c r="P432" s="3" t="s">
        <v>138</v>
      </c>
      <c r="Q432" s="5" t="s">
        <v>34</v>
      </c>
      <c r="R432" s="9">
        <f t="shared" si="202"/>
        <v>793991.64999999991</v>
      </c>
      <c r="S432" s="9">
        <v>640285.07999999996</v>
      </c>
      <c r="T432" s="9">
        <v>153706.57</v>
      </c>
      <c r="U432" s="9">
        <f t="shared" si="201"/>
        <v>151418.12</v>
      </c>
      <c r="V432" s="53">
        <v>112991.49</v>
      </c>
      <c r="W432" s="53">
        <v>38426.629999999997</v>
      </c>
      <c r="X432" s="9">
        <f t="shared" ref="X432:X463" si="204">Y432+Z432</f>
        <v>0</v>
      </c>
      <c r="Y432" s="9">
        <v>0</v>
      </c>
      <c r="Z432" s="9">
        <v>0</v>
      </c>
      <c r="AA432" s="9">
        <f t="shared" ref="AA432:AA463" si="205">AB432+AC432</f>
        <v>19294.080000000002</v>
      </c>
      <c r="AB432" s="9">
        <v>15373</v>
      </c>
      <c r="AC432" s="9">
        <v>3921.08</v>
      </c>
      <c r="AD432" s="44">
        <f t="shared" si="195"/>
        <v>964703.84999999986</v>
      </c>
      <c r="AE432" s="9">
        <v>0</v>
      </c>
      <c r="AF432" s="9">
        <f t="shared" ref="AF432:AF463" si="206">AD432+AE432</f>
        <v>964703.84999999986</v>
      </c>
      <c r="AG432" s="49" t="s">
        <v>966</v>
      </c>
      <c r="AH432" s="13" t="s">
        <v>1560</v>
      </c>
      <c r="AI432" s="1">
        <f>402453.38+117377.22+258590.23+5842.52</f>
        <v>784263.35</v>
      </c>
      <c r="AJ432" s="1">
        <f>14469.9+11972.92+31909.61+40781.81+49314.41+1114.21</f>
        <v>149562.85999999999</v>
      </c>
    </row>
    <row r="433" spans="1:109" ht="189" x14ac:dyDescent="0.25">
      <c r="A433" s="5">
        <f t="shared" si="196"/>
        <v>430</v>
      </c>
      <c r="B433" s="15">
        <v>111446</v>
      </c>
      <c r="C433" s="15">
        <v>161</v>
      </c>
      <c r="D433" s="5" t="s">
        <v>143</v>
      </c>
      <c r="E433" s="17" t="s">
        <v>271</v>
      </c>
      <c r="F433" s="119" t="s">
        <v>706</v>
      </c>
      <c r="G433" s="5" t="s">
        <v>707</v>
      </c>
      <c r="H433" s="5" t="s">
        <v>296</v>
      </c>
      <c r="I433" s="14" t="s">
        <v>708</v>
      </c>
      <c r="J433" s="2">
        <v>43297</v>
      </c>
      <c r="K433" s="2">
        <v>43785</v>
      </c>
      <c r="L433" s="16">
        <f t="shared" si="203"/>
        <v>82.304180439174772</v>
      </c>
      <c r="M433" s="5" t="s">
        <v>273</v>
      </c>
      <c r="N433" s="5" t="s">
        <v>262</v>
      </c>
      <c r="O433" s="5" t="s">
        <v>262</v>
      </c>
      <c r="P433" s="3" t="s">
        <v>275</v>
      </c>
      <c r="Q433" s="5" t="s">
        <v>34</v>
      </c>
      <c r="R433" s="9">
        <f t="shared" si="202"/>
        <v>820476.63</v>
      </c>
      <c r="S433" s="9">
        <v>661642.92000000004</v>
      </c>
      <c r="T433" s="9">
        <v>158833.71</v>
      </c>
      <c r="U433" s="9">
        <f t="shared" si="201"/>
        <v>156469</v>
      </c>
      <c r="V433" s="53">
        <v>116760.53</v>
      </c>
      <c r="W433" s="53">
        <v>39708.47</v>
      </c>
      <c r="X433" s="9">
        <f t="shared" si="204"/>
        <v>0</v>
      </c>
      <c r="Y433" s="9">
        <v>0</v>
      </c>
      <c r="Z433" s="9">
        <v>0</v>
      </c>
      <c r="AA433" s="9">
        <f t="shared" si="205"/>
        <v>19937.669999999998</v>
      </c>
      <c r="AB433" s="9">
        <v>15885.81</v>
      </c>
      <c r="AC433" s="9">
        <v>4051.86</v>
      </c>
      <c r="AD433" s="44">
        <f t="shared" si="195"/>
        <v>996883.3</v>
      </c>
      <c r="AE433" s="9"/>
      <c r="AF433" s="9">
        <f t="shared" si="206"/>
        <v>996883.3</v>
      </c>
      <c r="AG433" s="49" t="s">
        <v>966</v>
      </c>
      <c r="AH433" s="13" t="s">
        <v>296</v>
      </c>
      <c r="AI433" s="1">
        <f>172463.58+91295.09-2619.6+99688.33+6676.64+99688.33+83929.71+100258.16+75790.79</f>
        <v>727171.03</v>
      </c>
      <c r="AJ433" s="1">
        <f>13878.6+17410.43+18511.49+20284.35+16005.79+38130.79+14453.69</f>
        <v>138675.14000000001</v>
      </c>
    </row>
    <row r="434" spans="1:109" ht="141.75" x14ac:dyDescent="0.25">
      <c r="A434" s="5">
        <f t="shared" si="196"/>
        <v>431</v>
      </c>
      <c r="B434" s="15">
        <v>111890</v>
      </c>
      <c r="C434" s="78">
        <v>249</v>
      </c>
      <c r="D434" s="5" t="s">
        <v>143</v>
      </c>
      <c r="E434" s="17" t="s">
        <v>271</v>
      </c>
      <c r="F434" s="119" t="s">
        <v>729</v>
      </c>
      <c r="G434" s="5" t="s">
        <v>730</v>
      </c>
      <c r="H434" s="5" t="s">
        <v>731</v>
      </c>
      <c r="I434" s="41" t="s">
        <v>1603</v>
      </c>
      <c r="J434" s="2">
        <v>43301</v>
      </c>
      <c r="K434" s="2">
        <v>43789</v>
      </c>
      <c r="L434" s="16">
        <f t="shared" si="203"/>
        <v>82.304184196855573</v>
      </c>
      <c r="M434" s="5" t="s">
        <v>273</v>
      </c>
      <c r="N434" s="5" t="s">
        <v>732</v>
      </c>
      <c r="O434" s="5" t="s">
        <v>732</v>
      </c>
      <c r="P434" s="3" t="s">
        <v>275</v>
      </c>
      <c r="Q434" s="5" t="s">
        <v>34</v>
      </c>
      <c r="R434" s="9">
        <f t="shared" si="202"/>
        <v>729395.17</v>
      </c>
      <c r="S434" s="9">
        <v>588193.66</v>
      </c>
      <c r="T434" s="9">
        <v>141201.51</v>
      </c>
      <c r="U434" s="9">
        <f t="shared" si="201"/>
        <v>139099.28</v>
      </c>
      <c r="V434" s="53">
        <v>103798.89</v>
      </c>
      <c r="W434" s="53">
        <v>35300.39</v>
      </c>
      <c r="X434" s="9">
        <f t="shared" si="204"/>
        <v>0</v>
      </c>
      <c r="Y434" s="9">
        <v>0</v>
      </c>
      <c r="Z434" s="9">
        <v>0</v>
      </c>
      <c r="AA434" s="9">
        <f t="shared" si="205"/>
        <v>17724.370000000003</v>
      </c>
      <c r="AB434" s="9">
        <v>14122.29</v>
      </c>
      <c r="AC434" s="9">
        <v>3602.08</v>
      </c>
      <c r="AD434" s="44">
        <f t="shared" si="195"/>
        <v>886218.82000000007</v>
      </c>
      <c r="AE434" s="9">
        <v>0</v>
      </c>
      <c r="AF434" s="9">
        <f t="shared" si="206"/>
        <v>886218.82000000007</v>
      </c>
      <c r="AG434" s="49" t="s">
        <v>966</v>
      </c>
      <c r="AH434" s="13" t="s">
        <v>1506</v>
      </c>
      <c r="AI434" s="1">
        <f>416218.9+121145.8+152202.09-7471.8-36155.33</f>
        <v>645939.66</v>
      </c>
      <c r="AJ434" s="1">
        <f>14022.63+14374.66+9282.27+24787.75+23442.2+29025.69+8248.64</f>
        <v>123183.84</v>
      </c>
    </row>
    <row r="435" spans="1:109" ht="252" x14ac:dyDescent="0.25">
      <c r="A435" s="5">
        <f t="shared" si="196"/>
        <v>432</v>
      </c>
      <c r="B435" s="15">
        <v>126511</v>
      </c>
      <c r="C435" s="15">
        <v>499</v>
      </c>
      <c r="D435" s="134" t="s">
        <v>1988</v>
      </c>
      <c r="E435" s="8" t="s">
        <v>1130</v>
      </c>
      <c r="F435" s="8" t="s">
        <v>1163</v>
      </c>
      <c r="G435" s="5" t="s">
        <v>1164</v>
      </c>
      <c r="H435" s="5" t="s">
        <v>151</v>
      </c>
      <c r="I435" s="74" t="s">
        <v>1167</v>
      </c>
      <c r="J435" s="2">
        <v>43535</v>
      </c>
      <c r="K435" s="2">
        <v>44266</v>
      </c>
      <c r="L435" s="16">
        <f t="shared" si="203"/>
        <v>83.300000000000011</v>
      </c>
      <c r="M435" s="5" t="s">
        <v>1166</v>
      </c>
      <c r="N435" s="5" t="s">
        <v>1165</v>
      </c>
      <c r="O435" s="5" t="s">
        <v>1165</v>
      </c>
      <c r="P435" s="5" t="s">
        <v>275</v>
      </c>
      <c r="Q435" s="5" t="s">
        <v>34</v>
      </c>
      <c r="R435" s="1">
        <f t="shared" si="202"/>
        <v>2060383.85</v>
      </c>
      <c r="S435" s="9">
        <v>2060383.85</v>
      </c>
      <c r="T435" s="9">
        <v>0</v>
      </c>
      <c r="U435" s="1">
        <f t="shared" si="201"/>
        <v>363597.15</v>
      </c>
      <c r="V435" s="53">
        <v>363597.15</v>
      </c>
      <c r="W435" s="53">
        <v>0</v>
      </c>
      <c r="X435" s="1">
        <f t="shared" si="204"/>
        <v>0</v>
      </c>
      <c r="Y435" s="9">
        <v>0</v>
      </c>
      <c r="Z435" s="9">
        <v>0</v>
      </c>
      <c r="AA435" s="9">
        <f t="shared" si="205"/>
        <v>49469</v>
      </c>
      <c r="AB435" s="9">
        <v>49469</v>
      </c>
      <c r="AC435" s="9">
        <v>0</v>
      </c>
      <c r="AD435" s="44">
        <f t="shared" si="195"/>
        <v>2473450</v>
      </c>
      <c r="AE435" s="9">
        <v>0</v>
      </c>
      <c r="AF435" s="9">
        <f t="shared" si="206"/>
        <v>2473450</v>
      </c>
      <c r="AG435" s="59" t="s">
        <v>966</v>
      </c>
      <c r="AH435" s="13" t="s">
        <v>151</v>
      </c>
      <c r="AI435" s="1">
        <f>223418.82+247345-25227.12+247345+167983.62+12080.39+247345+335959.73+30394.68+247345+30380.57+158425.78</f>
        <v>1922796.47</v>
      </c>
      <c r="AJ435" s="1">
        <f>23926.18+54697.96+29644.16+45780.91+59287.01+49012.9+49010.35+27957.48</f>
        <v>339316.95</v>
      </c>
      <c r="AK435" s="72"/>
      <c r="AL435" s="72"/>
      <c r="AM435" s="72"/>
      <c r="AN435" s="72"/>
      <c r="AO435" s="72"/>
      <c r="AP435" s="72"/>
      <c r="AQ435" s="72"/>
      <c r="AR435" s="72"/>
      <c r="AS435" s="72"/>
      <c r="AT435" s="72"/>
      <c r="AU435" s="72"/>
      <c r="AV435" s="72"/>
      <c r="AW435" s="72"/>
      <c r="AX435" s="72"/>
      <c r="AY435" s="72"/>
      <c r="AZ435" s="72"/>
      <c r="BA435" s="72"/>
      <c r="BB435" s="72"/>
      <c r="BC435" s="72"/>
      <c r="BD435" s="72"/>
      <c r="BE435" s="72"/>
      <c r="BF435" s="72"/>
      <c r="BG435" s="72"/>
      <c r="BH435" s="72"/>
      <c r="BI435" s="72"/>
      <c r="BJ435" s="72"/>
      <c r="BK435" s="72"/>
      <c r="BL435" s="72"/>
      <c r="BM435" s="72"/>
      <c r="BN435" s="72"/>
      <c r="BO435" s="72"/>
      <c r="BP435" s="72"/>
      <c r="BQ435" s="72"/>
      <c r="BR435" s="72"/>
      <c r="BS435" s="72"/>
      <c r="BT435" s="72"/>
      <c r="BU435" s="72"/>
      <c r="BV435" s="72"/>
      <c r="BW435" s="72"/>
      <c r="BX435" s="72"/>
      <c r="BY435" s="72"/>
      <c r="BZ435" s="72"/>
      <c r="CA435" s="72"/>
      <c r="CB435" s="72"/>
      <c r="CC435" s="72"/>
      <c r="CD435" s="72"/>
      <c r="CE435" s="72"/>
      <c r="CF435" s="72"/>
      <c r="CG435" s="72"/>
      <c r="CH435" s="72"/>
      <c r="CI435" s="72"/>
      <c r="CJ435" s="72"/>
      <c r="CK435" s="72"/>
      <c r="CL435" s="72"/>
      <c r="CM435" s="72"/>
      <c r="CN435" s="72"/>
      <c r="CO435" s="72"/>
      <c r="CP435" s="72"/>
      <c r="CQ435" s="72"/>
      <c r="CR435" s="72"/>
      <c r="CS435" s="72"/>
      <c r="CT435" s="72"/>
      <c r="CU435" s="72"/>
      <c r="CV435" s="72"/>
      <c r="CW435" s="72"/>
      <c r="CX435" s="72"/>
      <c r="CY435" s="72"/>
      <c r="CZ435" s="72"/>
      <c r="DA435" s="72"/>
      <c r="DB435" s="72"/>
      <c r="DC435" s="72"/>
      <c r="DD435" s="72"/>
      <c r="DE435" s="72"/>
    </row>
    <row r="436" spans="1:109" ht="204.75" x14ac:dyDescent="0.25">
      <c r="A436" s="5">
        <f t="shared" si="196"/>
        <v>433</v>
      </c>
      <c r="B436" s="15">
        <v>113123</v>
      </c>
      <c r="C436" s="78">
        <v>217</v>
      </c>
      <c r="D436" s="5" t="s">
        <v>143</v>
      </c>
      <c r="E436" s="17" t="s">
        <v>271</v>
      </c>
      <c r="F436" s="8" t="s">
        <v>759</v>
      </c>
      <c r="G436" s="5" t="s">
        <v>760</v>
      </c>
      <c r="H436" s="5" t="s">
        <v>362</v>
      </c>
      <c r="I436" s="14" t="s">
        <v>761</v>
      </c>
      <c r="J436" s="2">
        <v>43312</v>
      </c>
      <c r="K436" s="2">
        <v>44012</v>
      </c>
      <c r="L436" s="16">
        <f t="shared" si="203"/>
        <v>82.304192539701532</v>
      </c>
      <c r="M436" s="5" t="s">
        <v>273</v>
      </c>
      <c r="N436" s="5" t="s">
        <v>262</v>
      </c>
      <c r="O436" s="5" t="s">
        <v>262</v>
      </c>
      <c r="P436" s="3" t="s">
        <v>275</v>
      </c>
      <c r="Q436" s="5" t="s">
        <v>34</v>
      </c>
      <c r="R436" s="9">
        <f t="shared" si="202"/>
        <v>457182.16000000003</v>
      </c>
      <c r="S436" s="9">
        <v>368677.58</v>
      </c>
      <c r="T436" s="9">
        <v>88504.58</v>
      </c>
      <c r="U436" s="9">
        <f t="shared" si="201"/>
        <v>87186.86</v>
      </c>
      <c r="V436" s="53">
        <v>65060.76</v>
      </c>
      <c r="W436" s="53">
        <v>22126.1</v>
      </c>
      <c r="X436" s="9">
        <f t="shared" si="204"/>
        <v>0</v>
      </c>
      <c r="Y436" s="9">
        <v>0</v>
      </c>
      <c r="Z436" s="9">
        <v>0</v>
      </c>
      <c r="AA436" s="9">
        <f t="shared" si="205"/>
        <v>11109.56</v>
      </c>
      <c r="AB436" s="9">
        <v>8851.75</v>
      </c>
      <c r="AC436" s="9">
        <v>2257.81</v>
      </c>
      <c r="AD436" s="44">
        <f t="shared" si="195"/>
        <v>555478.58000000007</v>
      </c>
      <c r="AE436" s="9"/>
      <c r="AF436" s="9">
        <f t="shared" si="206"/>
        <v>555478.58000000007</v>
      </c>
      <c r="AG436" s="59" t="s">
        <v>966</v>
      </c>
      <c r="AH436" s="13" t="s">
        <v>1810</v>
      </c>
      <c r="AI436" s="1">
        <f>290762.69+44490.67+37570.73+60763.37-29595.26</f>
        <v>403992.19999999995</v>
      </c>
      <c r="AJ436" s="1">
        <f>7748.65+9425.87-0.12+10127.9+16559.69+16272.7+10964.7+5943.9</f>
        <v>77043.289999999994</v>
      </c>
    </row>
    <row r="437" spans="1:109" ht="141.75" x14ac:dyDescent="0.25">
      <c r="A437" s="5">
        <f t="shared" si="196"/>
        <v>434</v>
      </c>
      <c r="B437" s="15">
        <v>112769</v>
      </c>
      <c r="C437" s="78">
        <v>154</v>
      </c>
      <c r="D437" s="5" t="s">
        <v>143</v>
      </c>
      <c r="E437" s="17" t="s">
        <v>271</v>
      </c>
      <c r="F437" s="8" t="s">
        <v>773</v>
      </c>
      <c r="G437" s="5" t="s">
        <v>774</v>
      </c>
      <c r="H437" s="5" t="s">
        <v>775</v>
      </c>
      <c r="I437" s="14" t="s">
        <v>776</v>
      </c>
      <c r="J437" s="2">
        <v>43312</v>
      </c>
      <c r="K437" s="2">
        <v>43799</v>
      </c>
      <c r="L437" s="16">
        <f t="shared" si="203"/>
        <v>82.304193908401487</v>
      </c>
      <c r="M437" s="5" t="s">
        <v>273</v>
      </c>
      <c r="N437" s="5" t="s">
        <v>262</v>
      </c>
      <c r="O437" s="5" t="s">
        <v>262</v>
      </c>
      <c r="P437" s="3" t="s">
        <v>275</v>
      </c>
      <c r="Q437" s="5" t="s">
        <v>34</v>
      </c>
      <c r="R437" s="9">
        <f t="shared" si="202"/>
        <v>810553.29</v>
      </c>
      <c r="S437" s="9">
        <v>653640.61</v>
      </c>
      <c r="T437" s="9">
        <v>156912.68</v>
      </c>
      <c r="U437" s="9">
        <f t="shared" si="201"/>
        <v>154576.41999999998</v>
      </c>
      <c r="V437" s="53">
        <v>115348.29</v>
      </c>
      <c r="W437" s="53">
        <v>39228.129999999997</v>
      </c>
      <c r="X437" s="9">
        <f t="shared" si="204"/>
        <v>0</v>
      </c>
      <c r="Y437" s="9">
        <v>0</v>
      </c>
      <c r="Z437" s="9">
        <v>0</v>
      </c>
      <c r="AA437" s="9">
        <f t="shared" si="205"/>
        <v>19696.52</v>
      </c>
      <c r="AB437" s="9">
        <v>15693.62</v>
      </c>
      <c r="AC437" s="9">
        <v>4002.9</v>
      </c>
      <c r="AD437" s="44">
        <f t="shared" si="195"/>
        <v>984826.23</v>
      </c>
      <c r="AE437" s="9"/>
      <c r="AF437" s="9">
        <f t="shared" si="206"/>
        <v>984826.23</v>
      </c>
      <c r="AG437" s="49" t="s">
        <v>966</v>
      </c>
      <c r="AH437" s="13" t="s">
        <v>151</v>
      </c>
      <c r="AI437" s="1">
        <f>505319.03+215529.97-3637.72</f>
        <v>717211.28</v>
      </c>
      <c r="AJ437" s="1">
        <f>15061.09+3.81+17176.67+17183.59+29510.05+41102.63+16737.76</f>
        <v>136775.6</v>
      </c>
    </row>
    <row r="438" spans="1:109" ht="162.75" customHeight="1" x14ac:dyDescent="0.25">
      <c r="A438" s="5">
        <f t="shared" si="196"/>
        <v>435</v>
      </c>
      <c r="B438" s="15">
        <v>118824</v>
      </c>
      <c r="C438" s="78">
        <v>451</v>
      </c>
      <c r="D438" s="8" t="s">
        <v>1986</v>
      </c>
      <c r="E438" s="17" t="s">
        <v>560</v>
      </c>
      <c r="F438" s="31" t="s">
        <v>779</v>
      </c>
      <c r="G438" s="5" t="s">
        <v>780</v>
      </c>
      <c r="H438" s="5" t="s">
        <v>781</v>
      </c>
      <c r="I438" s="8" t="s">
        <v>936</v>
      </c>
      <c r="J438" s="2">
        <v>43311</v>
      </c>
      <c r="K438" s="2">
        <v>44228</v>
      </c>
      <c r="L438" s="16">
        <f t="shared" si="203"/>
        <v>83.245540797683958</v>
      </c>
      <c r="M438" s="5" t="s">
        <v>273</v>
      </c>
      <c r="N438" s="5" t="s">
        <v>262</v>
      </c>
      <c r="O438" s="5" t="s">
        <v>262</v>
      </c>
      <c r="P438" s="3" t="s">
        <v>138</v>
      </c>
      <c r="Q438" s="5" t="s">
        <v>34</v>
      </c>
      <c r="R438" s="9">
        <f t="shared" si="202"/>
        <v>3071406.8699999992</v>
      </c>
      <c r="S438" s="9">
        <v>2476821.9799999991</v>
      </c>
      <c r="T438" s="9">
        <v>594584.89000000013</v>
      </c>
      <c r="U438" s="9">
        <f t="shared" si="201"/>
        <v>254554.26</v>
      </c>
      <c r="V438" s="53">
        <v>189953.91</v>
      </c>
      <c r="W438" s="53">
        <v>64600.35</v>
      </c>
      <c r="X438" s="9">
        <f t="shared" si="204"/>
        <v>331178.18</v>
      </c>
      <c r="Y438" s="9">
        <v>247132.34</v>
      </c>
      <c r="Z438" s="9">
        <v>84045.84</v>
      </c>
      <c r="AA438" s="9">
        <f t="shared" si="205"/>
        <v>32435.940000000002</v>
      </c>
      <c r="AB438" s="9">
        <v>25844.11</v>
      </c>
      <c r="AC438" s="9">
        <v>6591.83</v>
      </c>
      <c r="AD438" s="44">
        <f t="shared" si="195"/>
        <v>3689575.2499999991</v>
      </c>
      <c r="AE438" s="9"/>
      <c r="AF438" s="9">
        <f t="shared" si="206"/>
        <v>3689575.2499999991</v>
      </c>
      <c r="AG438" s="59" t="s">
        <v>966</v>
      </c>
      <c r="AH438" s="196" t="s">
        <v>1924</v>
      </c>
      <c r="AI438" s="1">
        <f>1525625.11+35665.38+461250.33+93312.31+190744.71+123191.32+39619.9+58518.28+50395.7-17494.62</f>
        <v>2560828.4199999995</v>
      </c>
      <c r="AJ438" s="1">
        <f>127973.9+32924.82+17795.12+23493.19+12881.11+5976.01</f>
        <v>221044.15000000002</v>
      </c>
    </row>
    <row r="439" spans="1:109" ht="189" x14ac:dyDescent="0.25">
      <c r="A439" s="5">
        <f t="shared" si="196"/>
        <v>436</v>
      </c>
      <c r="B439" s="15">
        <v>113009</v>
      </c>
      <c r="C439" s="78">
        <v>296</v>
      </c>
      <c r="D439" s="5" t="s">
        <v>143</v>
      </c>
      <c r="E439" s="17" t="s">
        <v>271</v>
      </c>
      <c r="F439" s="8" t="s">
        <v>788</v>
      </c>
      <c r="G439" s="5" t="s">
        <v>789</v>
      </c>
      <c r="H439" s="5" t="s">
        <v>790</v>
      </c>
      <c r="I439" s="14" t="s">
        <v>791</v>
      </c>
      <c r="J439" s="2">
        <v>43318</v>
      </c>
      <c r="K439" s="2">
        <v>43775</v>
      </c>
      <c r="L439" s="16">
        <f t="shared" si="203"/>
        <v>82.304184738955826</v>
      </c>
      <c r="M439" s="5" t="s">
        <v>273</v>
      </c>
      <c r="N439" s="5" t="s">
        <v>792</v>
      </c>
      <c r="O439" s="5" t="s">
        <v>793</v>
      </c>
      <c r="P439" s="3" t="s">
        <v>275</v>
      </c>
      <c r="Q439" s="5" t="s">
        <v>34</v>
      </c>
      <c r="R439" s="9">
        <f t="shared" si="202"/>
        <v>819749.67999999993</v>
      </c>
      <c r="S439" s="9">
        <v>661056.71</v>
      </c>
      <c r="T439" s="9">
        <v>158692.97</v>
      </c>
      <c r="U439" s="9">
        <f t="shared" si="201"/>
        <v>156330.31</v>
      </c>
      <c r="V439" s="53">
        <v>116657.06</v>
      </c>
      <c r="W439" s="53">
        <v>39673.25</v>
      </c>
      <c r="X439" s="9">
        <f t="shared" si="204"/>
        <v>0</v>
      </c>
      <c r="Y439" s="9">
        <v>0</v>
      </c>
      <c r="Z439" s="9">
        <v>0</v>
      </c>
      <c r="AA439" s="9">
        <f t="shared" si="205"/>
        <v>19920.010000000002</v>
      </c>
      <c r="AB439" s="9">
        <v>15871.7</v>
      </c>
      <c r="AC439" s="9">
        <v>4048.31</v>
      </c>
      <c r="AD439" s="44">
        <f t="shared" si="195"/>
        <v>996000</v>
      </c>
      <c r="AE439" s="9"/>
      <c r="AF439" s="9">
        <f t="shared" si="206"/>
        <v>996000</v>
      </c>
      <c r="AG439" s="49" t="s">
        <v>966</v>
      </c>
      <c r="AH439" s="13" t="s">
        <v>1421</v>
      </c>
      <c r="AI439" s="1">
        <f>11711.89+112463.33+73006.84+70941.22+395259.82+67590.34</f>
        <v>730973.44000000006</v>
      </c>
      <c r="AJ439" s="1">
        <f>2233.51+2453.09+13922.77+13528.85+75378+31884.01</f>
        <v>139400.23000000001</v>
      </c>
    </row>
    <row r="440" spans="1:109" ht="141.75" x14ac:dyDescent="0.25">
      <c r="A440" s="5">
        <f t="shared" si="196"/>
        <v>437</v>
      </c>
      <c r="B440" s="15">
        <v>112982</v>
      </c>
      <c r="C440" s="78">
        <v>297</v>
      </c>
      <c r="D440" s="5" t="s">
        <v>143</v>
      </c>
      <c r="E440" s="17" t="s">
        <v>271</v>
      </c>
      <c r="F440" s="119" t="s">
        <v>794</v>
      </c>
      <c r="G440" s="5" t="s">
        <v>795</v>
      </c>
      <c r="H440" s="5" t="s">
        <v>796</v>
      </c>
      <c r="I440" s="14" t="s">
        <v>797</v>
      </c>
      <c r="J440" s="2">
        <v>43318</v>
      </c>
      <c r="K440" s="2">
        <v>43683</v>
      </c>
      <c r="L440" s="16">
        <f t="shared" si="203"/>
        <v>82.304142421748935</v>
      </c>
      <c r="M440" s="5" t="s">
        <v>273</v>
      </c>
      <c r="N440" s="5" t="s">
        <v>765</v>
      </c>
      <c r="O440" s="5" t="s">
        <v>798</v>
      </c>
      <c r="P440" s="3" t="s">
        <v>275</v>
      </c>
      <c r="Q440" s="5" t="s">
        <v>34</v>
      </c>
      <c r="R440" s="9">
        <f t="shared" si="202"/>
        <v>819220.94</v>
      </c>
      <c r="S440" s="9">
        <f>660630.34</f>
        <v>660630.34</v>
      </c>
      <c r="T440" s="9">
        <f>158590.6</f>
        <v>158590.6</v>
      </c>
      <c r="U440" s="9">
        <f t="shared" ref="U440:U471" si="207">V440+W440</f>
        <v>156229.57</v>
      </c>
      <c r="V440" s="53">
        <f>116581.85</f>
        <v>116581.85</v>
      </c>
      <c r="W440" s="53">
        <f>39647.72</f>
        <v>39647.72</v>
      </c>
      <c r="X440" s="9">
        <f t="shared" si="204"/>
        <v>0</v>
      </c>
      <c r="Y440" s="9">
        <v>0</v>
      </c>
      <c r="Z440" s="9">
        <v>0</v>
      </c>
      <c r="AA440" s="9">
        <f t="shared" si="205"/>
        <v>19907.580000000002</v>
      </c>
      <c r="AB440" s="9">
        <f>15861.83</f>
        <v>15861.83</v>
      </c>
      <c r="AC440" s="9">
        <f>4045.75</f>
        <v>4045.75</v>
      </c>
      <c r="AD440" s="44">
        <f t="shared" si="195"/>
        <v>995358.09</v>
      </c>
      <c r="AE440" s="9"/>
      <c r="AF440" s="9">
        <f t="shared" si="206"/>
        <v>995358.09</v>
      </c>
      <c r="AG440" s="49" t="s">
        <v>966</v>
      </c>
      <c r="AH440" s="13"/>
      <c r="AI440" s="1">
        <f>764833.39+7900.03</f>
        <v>772733.42</v>
      </c>
      <c r="AJ440" s="1">
        <f>145857.5+1506.57</f>
        <v>147364.07</v>
      </c>
    </row>
    <row r="441" spans="1:109" ht="141.75" x14ac:dyDescent="0.25">
      <c r="A441" s="5">
        <f t="shared" si="196"/>
        <v>438</v>
      </c>
      <c r="B441" s="15">
        <v>110476</v>
      </c>
      <c r="C441" s="78">
        <v>203</v>
      </c>
      <c r="D441" s="5" t="s">
        <v>143</v>
      </c>
      <c r="E441" s="17" t="s">
        <v>271</v>
      </c>
      <c r="F441" s="119" t="s">
        <v>812</v>
      </c>
      <c r="G441" s="5" t="s">
        <v>811</v>
      </c>
      <c r="H441" s="5" t="s">
        <v>813</v>
      </c>
      <c r="I441" s="14" t="s">
        <v>814</v>
      </c>
      <c r="J441" s="2">
        <v>43321</v>
      </c>
      <c r="K441" s="2">
        <v>43808</v>
      </c>
      <c r="L441" s="16">
        <f t="shared" si="203"/>
        <v>82.304185104915661</v>
      </c>
      <c r="M441" s="5" t="s">
        <v>273</v>
      </c>
      <c r="N441" s="5" t="s">
        <v>292</v>
      </c>
      <c r="O441" s="5" t="s">
        <v>292</v>
      </c>
      <c r="P441" s="3" t="s">
        <v>275</v>
      </c>
      <c r="Q441" s="5" t="s">
        <v>34</v>
      </c>
      <c r="R441" s="9">
        <f t="shared" si="202"/>
        <v>792472.48</v>
      </c>
      <c r="S441" s="9">
        <v>639060</v>
      </c>
      <c r="T441" s="9">
        <v>153412.48000000001</v>
      </c>
      <c r="U441" s="9">
        <f t="shared" si="207"/>
        <v>151128.4</v>
      </c>
      <c r="V441" s="53">
        <v>112775.26</v>
      </c>
      <c r="W441" s="53">
        <v>38353.14</v>
      </c>
      <c r="X441" s="9">
        <f t="shared" si="204"/>
        <v>0</v>
      </c>
      <c r="Y441" s="9">
        <v>0</v>
      </c>
      <c r="Z441" s="9">
        <v>0</v>
      </c>
      <c r="AA441" s="9">
        <f t="shared" si="205"/>
        <v>19257.18</v>
      </c>
      <c r="AB441" s="9">
        <v>15343.63</v>
      </c>
      <c r="AC441" s="9">
        <v>3913.55</v>
      </c>
      <c r="AD441" s="44">
        <f t="shared" si="195"/>
        <v>962858.06</v>
      </c>
      <c r="AE441" s="9"/>
      <c r="AF441" s="9">
        <f t="shared" si="206"/>
        <v>962858.06</v>
      </c>
      <c r="AG441" s="49" t="s">
        <v>966</v>
      </c>
      <c r="AH441" s="13" t="s">
        <v>1460</v>
      </c>
      <c r="AI441" s="1">
        <f>428320.62+93776.01+55027.39+139592.25</f>
        <v>716716.27</v>
      </c>
      <c r="AJ441" s="1">
        <f>81204.25+10493.99+44983.15</f>
        <v>136681.39000000001</v>
      </c>
    </row>
    <row r="442" spans="1:109" ht="141.75" x14ac:dyDescent="0.25">
      <c r="A442" s="5">
        <f t="shared" si="196"/>
        <v>439</v>
      </c>
      <c r="B442" s="15">
        <v>111413</v>
      </c>
      <c r="C442" s="78">
        <v>245</v>
      </c>
      <c r="D442" s="5" t="s">
        <v>143</v>
      </c>
      <c r="E442" s="17" t="s">
        <v>271</v>
      </c>
      <c r="F442" s="119" t="s">
        <v>819</v>
      </c>
      <c r="G442" s="5" t="s">
        <v>820</v>
      </c>
      <c r="H442" s="5" t="s">
        <v>821</v>
      </c>
      <c r="I442" s="14" t="s">
        <v>822</v>
      </c>
      <c r="J442" s="2">
        <v>43325</v>
      </c>
      <c r="K442" s="2">
        <v>43812</v>
      </c>
      <c r="L442" s="16">
        <f t="shared" si="203"/>
        <v>82.510189524515496</v>
      </c>
      <c r="M442" s="5" t="s">
        <v>273</v>
      </c>
      <c r="N442" s="5" t="s">
        <v>262</v>
      </c>
      <c r="O442" s="5" t="s">
        <v>262</v>
      </c>
      <c r="P442" s="3" t="s">
        <v>275</v>
      </c>
      <c r="Q442" s="5" t="s">
        <v>34</v>
      </c>
      <c r="R442" s="9">
        <f t="shared" si="202"/>
        <v>805149.57</v>
      </c>
      <c r="S442" s="9">
        <v>649282.97</v>
      </c>
      <c r="T442" s="9">
        <v>155866.6</v>
      </c>
      <c r="U442" s="9">
        <f t="shared" si="207"/>
        <v>134378</v>
      </c>
      <c r="V442" s="53">
        <v>100275.78</v>
      </c>
      <c r="W442" s="53">
        <v>34102.22</v>
      </c>
      <c r="X442" s="9">
        <f t="shared" si="204"/>
        <v>19168</v>
      </c>
      <c r="Y442" s="9">
        <v>14303.59</v>
      </c>
      <c r="Z442" s="9">
        <v>4864.41</v>
      </c>
      <c r="AA442" s="9">
        <f t="shared" si="205"/>
        <v>17122.78</v>
      </c>
      <c r="AB442" s="9">
        <v>13642.95</v>
      </c>
      <c r="AC442" s="9">
        <v>3479.83</v>
      </c>
      <c r="AD442" s="44">
        <f t="shared" si="195"/>
        <v>975818.35</v>
      </c>
      <c r="AE442" s="9">
        <v>0</v>
      </c>
      <c r="AF442" s="9">
        <f t="shared" si="206"/>
        <v>975818.35</v>
      </c>
      <c r="AG442" s="49" t="s">
        <v>966</v>
      </c>
      <c r="AH442" s="13" t="s">
        <v>296</v>
      </c>
      <c r="AI442" s="1">
        <f>85600-10278.92+91440.93+64880.29+85600+67989.89+122279.98+103700.71+78599.18+1013.75+8269.89</f>
        <v>699095.70000000007</v>
      </c>
      <c r="AJ442" s="1">
        <f>10278.92+5199.07+27998.08+12966.01+23319.38+19776.21+14989.25+14467.31</f>
        <v>128994.23000000001</v>
      </c>
    </row>
    <row r="443" spans="1:109" ht="58.5" customHeight="1" x14ac:dyDescent="0.25">
      <c r="A443" s="5">
        <f t="shared" si="196"/>
        <v>440</v>
      </c>
      <c r="B443" s="15">
        <v>112299</v>
      </c>
      <c r="C443" s="78">
        <v>370</v>
      </c>
      <c r="D443" s="134" t="s">
        <v>1988</v>
      </c>
      <c r="E443" s="17" t="s">
        <v>565</v>
      </c>
      <c r="F443" s="119" t="s">
        <v>829</v>
      </c>
      <c r="G443" s="5" t="s">
        <v>830</v>
      </c>
      <c r="H443" s="5" t="s">
        <v>151</v>
      </c>
      <c r="I443" s="119" t="s">
        <v>831</v>
      </c>
      <c r="J443" s="2">
        <v>43322</v>
      </c>
      <c r="K443" s="2">
        <v>44206</v>
      </c>
      <c r="L443" s="16">
        <f t="shared" si="203"/>
        <v>82.304185787048553</v>
      </c>
      <c r="M443" s="5" t="s">
        <v>273</v>
      </c>
      <c r="N443" s="5" t="s">
        <v>262</v>
      </c>
      <c r="O443" s="5" t="s">
        <v>262</v>
      </c>
      <c r="P443" s="3" t="s">
        <v>275</v>
      </c>
      <c r="Q443" s="5" t="s">
        <v>34</v>
      </c>
      <c r="R443" s="9">
        <f t="shared" si="202"/>
        <v>5950616.5499999998</v>
      </c>
      <c r="S443" s="9">
        <v>4798653.8499999996</v>
      </c>
      <c r="T443" s="9">
        <v>1151962.7</v>
      </c>
      <c r="U443" s="9">
        <f t="shared" si="207"/>
        <v>1134811.9099999999</v>
      </c>
      <c r="V443" s="53">
        <v>846821.21</v>
      </c>
      <c r="W443" s="53">
        <v>287990.7</v>
      </c>
      <c r="X443" s="9">
        <f t="shared" si="204"/>
        <v>0</v>
      </c>
      <c r="Y443" s="9">
        <v>0</v>
      </c>
      <c r="Z443" s="9">
        <v>0</v>
      </c>
      <c r="AA443" s="9">
        <f t="shared" si="205"/>
        <v>144600.6</v>
      </c>
      <c r="AB443" s="9">
        <v>115213.75999999999</v>
      </c>
      <c r="AC443" s="9">
        <v>29386.84</v>
      </c>
      <c r="AD443" s="44">
        <f t="shared" si="195"/>
        <v>7230029.0599999996</v>
      </c>
      <c r="AE443" s="9">
        <v>125283.56</v>
      </c>
      <c r="AF443" s="9">
        <f t="shared" si="206"/>
        <v>7355312.6199999992</v>
      </c>
      <c r="AG443" s="59" t="s">
        <v>966</v>
      </c>
      <c r="AH443" s="13" t="s">
        <v>1719</v>
      </c>
      <c r="AI443" s="1">
        <f>2989084.5+138744.31+504052.17+175482.8+697385.83+985436.75-18731.85+479161.34-42061.19-32073.11-30697.52</f>
        <v>5845784.0299999993</v>
      </c>
      <c r="AJ443" s="1">
        <f>432152.92+26459.23+96125.26+71707.5+132994.92+240620.64+18731.85+23268.78+42061.19+30697.52</f>
        <v>1114819.81</v>
      </c>
    </row>
    <row r="444" spans="1:109" ht="119.25" customHeight="1" x14ac:dyDescent="0.25">
      <c r="A444" s="5">
        <f t="shared" si="196"/>
        <v>441</v>
      </c>
      <c r="B444" s="15">
        <v>112241</v>
      </c>
      <c r="C444" s="78">
        <v>291</v>
      </c>
      <c r="D444" s="5" t="s">
        <v>143</v>
      </c>
      <c r="E444" s="17" t="s">
        <v>271</v>
      </c>
      <c r="F444" s="119" t="s">
        <v>843</v>
      </c>
      <c r="G444" s="5" t="s">
        <v>844</v>
      </c>
      <c r="H444" s="5" t="s">
        <v>845</v>
      </c>
      <c r="I444" s="14" t="s">
        <v>846</v>
      </c>
      <c r="J444" s="2">
        <v>43332</v>
      </c>
      <c r="K444" s="2">
        <v>43819</v>
      </c>
      <c r="L444" s="16">
        <f t="shared" si="203"/>
        <v>82.583882850083839</v>
      </c>
      <c r="M444" s="3" t="s">
        <v>136</v>
      </c>
      <c r="N444" s="5" t="s">
        <v>638</v>
      </c>
      <c r="O444" s="5" t="s">
        <v>628</v>
      </c>
      <c r="P444" s="3" t="s">
        <v>275</v>
      </c>
      <c r="Q444" s="18" t="s">
        <v>34</v>
      </c>
      <c r="R444" s="9">
        <f t="shared" si="202"/>
        <v>824427.28</v>
      </c>
      <c r="S444" s="9">
        <v>664828.78</v>
      </c>
      <c r="T444" s="9">
        <v>159598.5</v>
      </c>
      <c r="U444" s="9">
        <f t="shared" si="207"/>
        <v>130597.97</v>
      </c>
      <c r="V444" s="53">
        <v>97455.03</v>
      </c>
      <c r="W444" s="53">
        <v>33142.94</v>
      </c>
      <c r="X444" s="9">
        <f t="shared" si="204"/>
        <v>26624.399999999998</v>
      </c>
      <c r="Y444" s="9">
        <v>19867.71</v>
      </c>
      <c r="Z444" s="9">
        <v>6756.69</v>
      </c>
      <c r="AA444" s="9">
        <f t="shared" si="205"/>
        <v>16641.12</v>
      </c>
      <c r="AB444" s="9">
        <v>13259.17</v>
      </c>
      <c r="AC444" s="9">
        <v>3381.95</v>
      </c>
      <c r="AD444" s="44">
        <f t="shared" si="195"/>
        <v>998290.77</v>
      </c>
      <c r="AE444" s="9"/>
      <c r="AF444" s="9">
        <f t="shared" si="206"/>
        <v>998290.77</v>
      </c>
      <c r="AG444" s="59" t="s">
        <v>966</v>
      </c>
      <c r="AH444" s="13"/>
      <c r="AI444" s="1">
        <f>750146.64-1652.46</f>
        <v>748494.18</v>
      </c>
      <c r="AJ444" s="1">
        <f>119349.39+1652.46</f>
        <v>121001.85</v>
      </c>
    </row>
    <row r="445" spans="1:109" ht="270" customHeight="1" x14ac:dyDescent="0.25">
      <c r="A445" s="5">
        <f t="shared" si="196"/>
        <v>442</v>
      </c>
      <c r="B445" s="15">
        <v>111881</v>
      </c>
      <c r="C445" s="78">
        <v>222</v>
      </c>
      <c r="D445" s="5" t="s">
        <v>143</v>
      </c>
      <c r="E445" s="17" t="s">
        <v>271</v>
      </c>
      <c r="F445" s="144" t="s">
        <v>847</v>
      </c>
      <c r="G445" s="3" t="s">
        <v>848</v>
      </c>
      <c r="H445" s="5" t="s">
        <v>849</v>
      </c>
      <c r="I445" s="41" t="s">
        <v>850</v>
      </c>
      <c r="J445" s="2">
        <v>43332</v>
      </c>
      <c r="K445" s="2">
        <v>43819</v>
      </c>
      <c r="L445" s="16">
        <f t="shared" si="203"/>
        <v>82.304193109047048</v>
      </c>
      <c r="M445" s="3" t="s">
        <v>136</v>
      </c>
      <c r="N445" s="5" t="s">
        <v>262</v>
      </c>
      <c r="O445" s="5" t="s">
        <v>262</v>
      </c>
      <c r="P445" s="3" t="s">
        <v>275</v>
      </c>
      <c r="Q445" s="5" t="s">
        <v>34</v>
      </c>
      <c r="R445" s="9">
        <f t="shared" si="202"/>
        <v>817219.92999999993</v>
      </c>
      <c r="S445" s="9">
        <v>659016.73</v>
      </c>
      <c r="T445" s="9">
        <v>158203.20000000001</v>
      </c>
      <c r="U445" s="9">
        <f t="shared" si="207"/>
        <v>155847.79</v>
      </c>
      <c r="V445" s="53">
        <v>116297.02</v>
      </c>
      <c r="W445" s="53">
        <v>39550.769999999997</v>
      </c>
      <c r="X445" s="9">
        <f t="shared" si="204"/>
        <v>19858.52</v>
      </c>
      <c r="Y445" s="9">
        <v>15822.64</v>
      </c>
      <c r="Z445" s="9">
        <v>4035.88</v>
      </c>
      <c r="AA445" s="9">
        <f t="shared" si="205"/>
        <v>0</v>
      </c>
      <c r="AB445" s="9">
        <v>0</v>
      </c>
      <c r="AC445" s="9">
        <v>0</v>
      </c>
      <c r="AD445" s="44">
        <f t="shared" si="195"/>
        <v>992926.24</v>
      </c>
      <c r="AE445" s="9"/>
      <c r="AF445" s="9">
        <f t="shared" si="206"/>
        <v>992926.24</v>
      </c>
      <c r="AG445" s="59" t="s">
        <v>966</v>
      </c>
      <c r="AH445" s="13" t="s">
        <v>1097</v>
      </c>
      <c r="AI445" s="1">
        <f>99292.62-14519.17+90653.42-15093.22+94237.53+80664.42-14592.29+91109.94+330680.29</f>
        <v>742433.54</v>
      </c>
      <c r="AJ445" s="1">
        <f>14519.17+15093.22+15383.12+14592.29+81997.93</f>
        <v>141585.72999999998</v>
      </c>
    </row>
    <row r="446" spans="1:109" ht="252" x14ac:dyDescent="0.25">
      <c r="A446" s="5">
        <f t="shared" si="196"/>
        <v>443</v>
      </c>
      <c r="B446" s="15">
        <v>111434</v>
      </c>
      <c r="C446" s="78">
        <v>141</v>
      </c>
      <c r="D446" s="5" t="s">
        <v>143</v>
      </c>
      <c r="E446" s="17" t="s">
        <v>271</v>
      </c>
      <c r="F446" s="119" t="s">
        <v>855</v>
      </c>
      <c r="G446" s="5" t="s">
        <v>856</v>
      </c>
      <c r="H446" s="5" t="s">
        <v>857</v>
      </c>
      <c r="I446" s="14" t="s">
        <v>921</v>
      </c>
      <c r="J446" s="2">
        <v>43332</v>
      </c>
      <c r="K446" s="2">
        <v>43881</v>
      </c>
      <c r="L446" s="16">
        <f t="shared" si="203"/>
        <v>82.30418537074344</v>
      </c>
      <c r="M446" s="5" t="s">
        <v>273</v>
      </c>
      <c r="N446" s="5" t="s">
        <v>262</v>
      </c>
      <c r="O446" s="5" t="s">
        <v>262</v>
      </c>
      <c r="P446" s="3" t="s">
        <v>275</v>
      </c>
      <c r="Q446" s="18" t="s">
        <v>34</v>
      </c>
      <c r="R446" s="9">
        <f t="shared" si="202"/>
        <v>822576.44</v>
      </c>
      <c r="S446" s="9">
        <v>663336.19999999995</v>
      </c>
      <c r="T446" s="9">
        <v>159240.24</v>
      </c>
      <c r="U446" s="9">
        <f t="shared" si="207"/>
        <v>156869.40000000002</v>
      </c>
      <c r="V446" s="53">
        <v>117059.35</v>
      </c>
      <c r="W446" s="53">
        <v>39810.050000000003</v>
      </c>
      <c r="X446" s="9">
        <f t="shared" si="204"/>
        <v>19988.68</v>
      </c>
      <c r="Y446" s="9">
        <v>15926.46</v>
      </c>
      <c r="Z446" s="9">
        <v>4062.22</v>
      </c>
      <c r="AA446" s="9">
        <f t="shared" si="205"/>
        <v>0</v>
      </c>
      <c r="AB446" s="9">
        <v>0</v>
      </c>
      <c r="AC446" s="9">
        <v>0</v>
      </c>
      <c r="AD446" s="44">
        <f t="shared" si="195"/>
        <v>999434.52</v>
      </c>
      <c r="AE446" s="9"/>
      <c r="AF446" s="9">
        <f t="shared" si="206"/>
        <v>999434.52</v>
      </c>
      <c r="AG446" s="59" t="s">
        <v>1686</v>
      </c>
      <c r="AH446" s="13" t="s">
        <v>1623</v>
      </c>
      <c r="AI446" s="1">
        <f>49971.72+83543.84+96913+21111.43+81377.76+128016.73+84993.07+90341.92+71327.12</f>
        <v>707596.59000000008</v>
      </c>
      <c r="AJ446" s="1">
        <f>24884.17+21127.4+22831.19+16208.59+25868.4+24022.36</f>
        <v>134942.10999999999</v>
      </c>
    </row>
    <row r="447" spans="1:109" ht="174" customHeight="1" x14ac:dyDescent="0.25">
      <c r="A447" s="5">
        <f t="shared" si="196"/>
        <v>444</v>
      </c>
      <c r="B447" s="15">
        <v>112374</v>
      </c>
      <c r="C447" s="78">
        <v>142</v>
      </c>
      <c r="D447" s="5" t="s">
        <v>143</v>
      </c>
      <c r="E447" s="17" t="s">
        <v>271</v>
      </c>
      <c r="F447" s="119" t="s">
        <v>860</v>
      </c>
      <c r="G447" s="5" t="s">
        <v>861</v>
      </c>
      <c r="H447" s="5" t="s">
        <v>299</v>
      </c>
      <c r="I447" s="14" t="s">
        <v>862</v>
      </c>
      <c r="J447" s="2">
        <v>43333</v>
      </c>
      <c r="K447" s="2">
        <v>43911</v>
      </c>
      <c r="L447" s="16">
        <f t="shared" si="203"/>
        <v>82.304182898535288</v>
      </c>
      <c r="M447" s="5" t="s">
        <v>273</v>
      </c>
      <c r="N447" s="5" t="s">
        <v>262</v>
      </c>
      <c r="O447" s="5" t="s">
        <v>262</v>
      </c>
      <c r="P447" s="3" t="s">
        <v>275</v>
      </c>
      <c r="Q447" s="5" t="s">
        <v>34</v>
      </c>
      <c r="R447" s="9">
        <f t="shared" si="202"/>
        <v>776266.51</v>
      </c>
      <c r="S447" s="9">
        <v>625991.30000000005</v>
      </c>
      <c r="T447" s="9">
        <v>150275.21</v>
      </c>
      <c r="U447" s="9">
        <f t="shared" si="207"/>
        <v>148037.87</v>
      </c>
      <c r="V447" s="53">
        <v>110469.08</v>
      </c>
      <c r="W447" s="53">
        <v>37568.79</v>
      </c>
      <c r="X447" s="9">
        <f t="shared" si="204"/>
        <v>0</v>
      </c>
      <c r="Y447" s="9">
        <v>0</v>
      </c>
      <c r="Z447" s="9">
        <v>0</v>
      </c>
      <c r="AA447" s="9">
        <f t="shared" si="205"/>
        <v>18863.37</v>
      </c>
      <c r="AB447" s="9">
        <v>15029.81</v>
      </c>
      <c r="AC447" s="9">
        <v>3833.56</v>
      </c>
      <c r="AD447" s="44">
        <f t="shared" si="195"/>
        <v>943167.75</v>
      </c>
      <c r="AE447" s="9">
        <v>0</v>
      </c>
      <c r="AF447" s="9">
        <f t="shared" si="206"/>
        <v>943167.75</v>
      </c>
      <c r="AG447" s="59" t="s">
        <v>966</v>
      </c>
      <c r="AH447" s="13" t="s">
        <v>1660</v>
      </c>
      <c r="AI447" s="1">
        <v>678261.97000000009</v>
      </c>
      <c r="AJ447" s="1">
        <v>129347.91000000002</v>
      </c>
    </row>
    <row r="448" spans="1:109" ht="189" x14ac:dyDescent="0.25">
      <c r="A448" s="5">
        <f t="shared" si="196"/>
        <v>445</v>
      </c>
      <c r="B448" s="15">
        <v>111379</v>
      </c>
      <c r="C448" s="78">
        <v>228</v>
      </c>
      <c r="D448" s="5" t="s">
        <v>143</v>
      </c>
      <c r="E448" s="17" t="s">
        <v>271</v>
      </c>
      <c r="F448" s="73" t="s">
        <v>863</v>
      </c>
      <c r="G448" s="32" t="s">
        <v>864</v>
      </c>
      <c r="H448" s="5" t="s">
        <v>865</v>
      </c>
      <c r="I448" s="14" t="s">
        <v>866</v>
      </c>
      <c r="J448" s="2">
        <v>43333</v>
      </c>
      <c r="K448" s="2">
        <v>43820</v>
      </c>
      <c r="L448" s="16">
        <f t="shared" si="203"/>
        <v>82.304192034439112</v>
      </c>
      <c r="M448" s="5" t="s">
        <v>273</v>
      </c>
      <c r="N448" s="5" t="s">
        <v>262</v>
      </c>
      <c r="O448" s="5" t="s">
        <v>262</v>
      </c>
      <c r="P448" s="3" t="s">
        <v>275</v>
      </c>
      <c r="Q448" s="5" t="s">
        <v>34</v>
      </c>
      <c r="R448" s="9">
        <f t="shared" si="202"/>
        <v>811155.73</v>
      </c>
      <c r="S448" s="9">
        <v>654126.39</v>
      </c>
      <c r="T448" s="9">
        <v>157029.34</v>
      </c>
      <c r="U448" s="9">
        <f t="shared" si="207"/>
        <v>154691.31</v>
      </c>
      <c r="V448" s="53">
        <v>115434</v>
      </c>
      <c r="W448" s="53">
        <v>39257.31</v>
      </c>
      <c r="X448" s="9">
        <f t="shared" si="204"/>
        <v>19711.18</v>
      </c>
      <c r="Y448" s="9">
        <v>15705.37</v>
      </c>
      <c r="Z448" s="9">
        <v>4005.81</v>
      </c>
      <c r="AA448" s="9">
        <f t="shared" si="205"/>
        <v>0</v>
      </c>
      <c r="AB448" s="9">
        <v>0</v>
      </c>
      <c r="AC448" s="9">
        <v>0</v>
      </c>
      <c r="AD448" s="44">
        <f t="shared" si="195"/>
        <v>985558.22000000009</v>
      </c>
      <c r="AE448" s="9"/>
      <c r="AF448" s="9">
        <f t="shared" si="206"/>
        <v>985558.22000000009</v>
      </c>
      <c r="AG448" s="59" t="s">
        <v>966</v>
      </c>
      <c r="AH448" s="13" t="s">
        <v>1519</v>
      </c>
      <c r="AI448" s="1">
        <f>91009.38-9270.26+57880.76-12678.05+33855.88+91009.38+115144.49+303539.89+74137.89</f>
        <v>744629.36</v>
      </c>
      <c r="AJ448" s="1">
        <f>9270.26+12678.05+8716.65+21958.63+75242.46+14138.42</f>
        <v>142004.47</v>
      </c>
    </row>
    <row r="449" spans="1:109" ht="264.75" customHeight="1" x14ac:dyDescent="0.25">
      <c r="A449" s="5">
        <f t="shared" si="196"/>
        <v>446</v>
      </c>
      <c r="B449" s="15">
        <v>112711</v>
      </c>
      <c r="C449" s="78">
        <v>209</v>
      </c>
      <c r="D449" s="102" t="s">
        <v>143</v>
      </c>
      <c r="E449" s="17" t="s">
        <v>271</v>
      </c>
      <c r="F449" s="119" t="s">
        <v>872</v>
      </c>
      <c r="G449" s="5" t="s">
        <v>873</v>
      </c>
      <c r="H449" s="102" t="s">
        <v>874</v>
      </c>
      <c r="I449" s="41" t="s">
        <v>875</v>
      </c>
      <c r="J449" s="2">
        <v>43335</v>
      </c>
      <c r="K449" s="2">
        <v>43822</v>
      </c>
      <c r="L449" s="16">
        <f t="shared" si="203"/>
        <v>82.640124999999998</v>
      </c>
      <c r="M449" s="5" t="s">
        <v>273</v>
      </c>
      <c r="N449" s="5" t="s">
        <v>262</v>
      </c>
      <c r="O449" s="5" t="s">
        <v>262</v>
      </c>
      <c r="P449" s="3" t="s">
        <v>275</v>
      </c>
      <c r="Q449" s="5" t="s">
        <v>34</v>
      </c>
      <c r="R449" s="9">
        <f t="shared" si="202"/>
        <v>826401.25</v>
      </c>
      <c r="S449" s="9">
        <v>666420.59</v>
      </c>
      <c r="T449" s="9">
        <v>159980.66</v>
      </c>
      <c r="U449" s="9">
        <f t="shared" si="207"/>
        <v>153598.75</v>
      </c>
      <c r="V449" s="53">
        <v>114416.53</v>
      </c>
      <c r="W449" s="53">
        <v>39182.22</v>
      </c>
      <c r="X449" s="9">
        <f t="shared" si="204"/>
        <v>20000</v>
      </c>
      <c r="Y449" s="9">
        <v>15935.46</v>
      </c>
      <c r="Z449" s="9">
        <v>4064.54</v>
      </c>
      <c r="AA449" s="9">
        <f t="shared" si="205"/>
        <v>0</v>
      </c>
      <c r="AB449" s="9">
        <v>0</v>
      </c>
      <c r="AC449" s="9">
        <v>0</v>
      </c>
      <c r="AD449" s="44">
        <f t="shared" si="195"/>
        <v>1000000</v>
      </c>
      <c r="AE449" s="9"/>
      <c r="AF449" s="9">
        <f t="shared" si="206"/>
        <v>1000000</v>
      </c>
      <c r="AG449" s="59" t="s">
        <v>966</v>
      </c>
      <c r="AH449" s="13" t="s">
        <v>849</v>
      </c>
      <c r="AI449" s="1">
        <f>98952.8+38728.19+96005.78+68225.96+103165.27+4938.26+145762.12+161102.5+9031.2+61138.02</f>
        <v>787050.1</v>
      </c>
      <c r="AJ449" s="1">
        <f>24992.94+30773.35+1365.53+941.74+26883.3+29808.77+1722.28+29615.87</f>
        <v>146103.78</v>
      </c>
    </row>
    <row r="450" spans="1:109" ht="146.25" customHeight="1" x14ac:dyDescent="0.25">
      <c r="A450" s="5">
        <f t="shared" si="196"/>
        <v>447</v>
      </c>
      <c r="B450" s="15">
        <v>112827</v>
      </c>
      <c r="C450" s="78">
        <v>305</v>
      </c>
      <c r="D450" s="5" t="s">
        <v>143</v>
      </c>
      <c r="E450" s="17" t="s">
        <v>271</v>
      </c>
      <c r="F450" s="119" t="s">
        <v>881</v>
      </c>
      <c r="G450" s="31" t="s">
        <v>880</v>
      </c>
      <c r="H450" s="5" t="s">
        <v>882</v>
      </c>
      <c r="I450" s="14" t="s">
        <v>883</v>
      </c>
      <c r="J450" s="2">
        <v>43325</v>
      </c>
      <c r="K450" s="2">
        <v>43812</v>
      </c>
      <c r="L450" s="16">
        <f t="shared" si="203"/>
        <v>82.304185909112974</v>
      </c>
      <c r="M450" s="5" t="s">
        <v>273</v>
      </c>
      <c r="N450" s="5" t="s">
        <v>264</v>
      </c>
      <c r="O450" s="5" t="s">
        <v>884</v>
      </c>
      <c r="P450" s="3" t="s">
        <v>275</v>
      </c>
      <c r="Q450" s="5" t="s">
        <v>34</v>
      </c>
      <c r="R450" s="9">
        <f t="shared" si="202"/>
        <v>819344.36</v>
      </c>
      <c r="S450" s="9">
        <v>660729.87</v>
      </c>
      <c r="T450" s="9">
        <v>158614.49</v>
      </c>
      <c r="U450" s="9">
        <f t="shared" si="207"/>
        <v>156253</v>
      </c>
      <c r="V450" s="53">
        <v>116599.38</v>
      </c>
      <c r="W450" s="53">
        <v>39653.620000000003</v>
      </c>
      <c r="X450" s="9">
        <f t="shared" si="204"/>
        <v>0</v>
      </c>
      <c r="Y450" s="9">
        <v>0</v>
      </c>
      <c r="Z450" s="9">
        <v>0</v>
      </c>
      <c r="AA450" s="9">
        <f t="shared" si="205"/>
        <v>19910.16</v>
      </c>
      <c r="AB450" s="9">
        <v>15863.84</v>
      </c>
      <c r="AC450" s="9">
        <v>4046.32</v>
      </c>
      <c r="AD450" s="44">
        <f t="shared" si="195"/>
        <v>995507.52</v>
      </c>
      <c r="AE450" s="9"/>
      <c r="AF450" s="9">
        <f t="shared" si="206"/>
        <v>995507.52</v>
      </c>
      <c r="AG450" s="49" t="s">
        <v>966</v>
      </c>
      <c r="AH450" s="13" t="s">
        <v>1554</v>
      </c>
      <c r="AI450" s="1">
        <f>165274.95+38664.92+10408+235707.44+78966.94+38496.07-3710.24+4162.74</f>
        <v>567970.81999999995</v>
      </c>
      <c r="AJ450" s="1">
        <f>22672.13+60694.84+16616.38+7341.42+990.1</f>
        <v>108314.87000000001</v>
      </c>
    </row>
    <row r="451" spans="1:109" ht="141.75" x14ac:dyDescent="0.25">
      <c r="A451" s="5">
        <f t="shared" si="196"/>
        <v>448</v>
      </c>
      <c r="B451" s="15">
        <v>112220</v>
      </c>
      <c r="C451" s="78">
        <v>239</v>
      </c>
      <c r="D451" s="102" t="s">
        <v>143</v>
      </c>
      <c r="E451" s="17" t="s">
        <v>271</v>
      </c>
      <c r="F451" s="8" t="s">
        <v>893</v>
      </c>
      <c r="G451" s="5" t="s">
        <v>1412</v>
      </c>
      <c r="H451" s="5" t="s">
        <v>894</v>
      </c>
      <c r="I451" s="14" t="s">
        <v>896</v>
      </c>
      <c r="J451" s="2">
        <v>43346</v>
      </c>
      <c r="K451" s="2">
        <v>43772</v>
      </c>
      <c r="L451" s="16">
        <f t="shared" si="203"/>
        <v>82.53761528755669</v>
      </c>
      <c r="M451" s="5" t="s">
        <v>273</v>
      </c>
      <c r="N451" s="5" t="s">
        <v>182</v>
      </c>
      <c r="O451" s="5" t="s">
        <v>895</v>
      </c>
      <c r="P451" s="3" t="s">
        <v>275</v>
      </c>
      <c r="Q451" s="5" t="s">
        <v>34</v>
      </c>
      <c r="R451" s="9">
        <f t="shared" si="202"/>
        <v>770988.47</v>
      </c>
      <c r="S451" s="9">
        <v>621735</v>
      </c>
      <c r="T451" s="9">
        <v>149253.47</v>
      </c>
      <c r="U451" s="9">
        <f t="shared" si="207"/>
        <v>126240.19</v>
      </c>
      <c r="V451" s="53">
        <v>94203.17</v>
      </c>
      <c r="W451" s="53">
        <v>32037.02</v>
      </c>
      <c r="X451" s="9">
        <f t="shared" si="204"/>
        <v>20791.07</v>
      </c>
      <c r="Y451" s="9">
        <v>15514.77</v>
      </c>
      <c r="Z451" s="9">
        <v>5276.3</v>
      </c>
      <c r="AA451" s="9">
        <f t="shared" si="205"/>
        <v>16085.85</v>
      </c>
      <c r="AB451" s="9">
        <v>12816.75</v>
      </c>
      <c r="AC451" s="9">
        <v>3269.1</v>
      </c>
      <c r="AD451" s="44">
        <f t="shared" si="195"/>
        <v>934105.57999999984</v>
      </c>
      <c r="AE451" s="9"/>
      <c r="AF451" s="9">
        <f t="shared" si="206"/>
        <v>934105.57999999984</v>
      </c>
      <c r="AG451" s="49" t="s">
        <v>966</v>
      </c>
      <c r="AH451" s="13" t="s">
        <v>296</v>
      </c>
      <c r="AI451" s="1">
        <f>539565.25+96369.35+53688.91+16794.02</f>
        <v>706417.53</v>
      </c>
      <c r="AJ451" s="1">
        <f>81386.87+28616.84+7174.44</f>
        <v>117178.15</v>
      </c>
    </row>
    <row r="452" spans="1:109" ht="141.75" x14ac:dyDescent="0.25">
      <c r="A452" s="5">
        <f t="shared" si="196"/>
        <v>449</v>
      </c>
      <c r="B452" s="15">
        <v>111775</v>
      </c>
      <c r="C452" s="78">
        <v>364</v>
      </c>
      <c r="D452" s="102" t="s">
        <v>143</v>
      </c>
      <c r="E452" s="17" t="s">
        <v>271</v>
      </c>
      <c r="F452" s="200" t="s">
        <v>897</v>
      </c>
      <c r="G452" s="33" t="s">
        <v>898</v>
      </c>
      <c r="H452" s="5" t="s">
        <v>899</v>
      </c>
      <c r="I452" s="14" t="s">
        <v>900</v>
      </c>
      <c r="J452" s="2">
        <v>43346</v>
      </c>
      <c r="K452" s="2">
        <v>43833</v>
      </c>
      <c r="L452" s="16">
        <f t="shared" si="203"/>
        <v>82.30418188922819</v>
      </c>
      <c r="M452" s="5" t="s">
        <v>273</v>
      </c>
      <c r="N452" s="5" t="s">
        <v>182</v>
      </c>
      <c r="O452" s="5" t="s">
        <v>406</v>
      </c>
      <c r="P452" s="3" t="s">
        <v>275</v>
      </c>
      <c r="Q452" s="5" t="s">
        <v>34</v>
      </c>
      <c r="R452" s="9">
        <f t="shared" ref="R452:R482" si="208">S452+T452</f>
        <v>779789.21</v>
      </c>
      <c r="S452" s="9">
        <v>628832.06999999995</v>
      </c>
      <c r="T452" s="9">
        <v>150957.14000000001</v>
      </c>
      <c r="U452" s="9">
        <f t="shared" si="207"/>
        <v>148709.68</v>
      </c>
      <c r="V452" s="53">
        <v>110970.39</v>
      </c>
      <c r="W452" s="53">
        <v>37739.29</v>
      </c>
      <c r="X452" s="9">
        <f t="shared" si="204"/>
        <v>0</v>
      </c>
      <c r="Y452" s="9">
        <v>0</v>
      </c>
      <c r="Z452" s="9">
        <v>0</v>
      </c>
      <c r="AA452" s="9">
        <f t="shared" si="205"/>
        <v>18948.97</v>
      </c>
      <c r="AB452" s="9">
        <v>15098.01</v>
      </c>
      <c r="AC452" s="9">
        <v>3850.96</v>
      </c>
      <c r="AD452" s="44">
        <f t="shared" si="195"/>
        <v>947447.85999999987</v>
      </c>
      <c r="AE452" s="9">
        <v>0</v>
      </c>
      <c r="AF452" s="9">
        <f t="shared" si="206"/>
        <v>947447.85999999987</v>
      </c>
      <c r="AG452" s="59" t="s">
        <v>966</v>
      </c>
      <c r="AH452" s="13" t="s">
        <v>296</v>
      </c>
      <c r="AI452" s="1">
        <f>94744.78+10125.98+94121.04-10122.56+91207.91+17880.02+109270.79+147206.72+63316.18</f>
        <v>617750.8600000001</v>
      </c>
      <c r="AJ452" s="1">
        <f>7252.41+12628.02+15463.44+21478.12+20838.49+28073.09+12074.67</f>
        <v>117808.24</v>
      </c>
    </row>
    <row r="453" spans="1:109" ht="141.75" x14ac:dyDescent="0.25">
      <c r="A453" s="5">
        <f t="shared" si="196"/>
        <v>450</v>
      </c>
      <c r="B453" s="15">
        <v>112027</v>
      </c>
      <c r="C453" s="78">
        <v>290</v>
      </c>
      <c r="D453" s="102" t="s">
        <v>143</v>
      </c>
      <c r="E453" s="17" t="s">
        <v>271</v>
      </c>
      <c r="F453" s="202" t="s">
        <v>904</v>
      </c>
      <c r="G453" s="20" t="s">
        <v>905</v>
      </c>
      <c r="H453" s="20" t="s">
        <v>299</v>
      </c>
      <c r="I453" s="14" t="s">
        <v>906</v>
      </c>
      <c r="J453" s="2">
        <v>43346</v>
      </c>
      <c r="K453" s="2">
        <v>43833</v>
      </c>
      <c r="L453" s="16">
        <f t="shared" si="203"/>
        <v>82.30418483269878</v>
      </c>
      <c r="M453" s="5" t="s">
        <v>273</v>
      </c>
      <c r="N453" s="5" t="s">
        <v>262</v>
      </c>
      <c r="O453" s="5" t="s">
        <v>262</v>
      </c>
      <c r="P453" s="3" t="s">
        <v>275</v>
      </c>
      <c r="Q453" s="5" t="s">
        <v>34</v>
      </c>
      <c r="R453" s="9">
        <f t="shared" si="208"/>
        <v>765927.6</v>
      </c>
      <c r="S453" s="9">
        <v>617653.87</v>
      </c>
      <c r="T453" s="9">
        <v>148273.73000000001</v>
      </c>
      <c r="U453" s="9">
        <f t="shared" si="207"/>
        <v>146066.19</v>
      </c>
      <c r="V453" s="53">
        <v>108997.75999999999</v>
      </c>
      <c r="W453" s="53">
        <v>37068.43</v>
      </c>
      <c r="X453" s="9">
        <f t="shared" si="204"/>
        <v>0</v>
      </c>
      <c r="Y453" s="9">
        <v>0</v>
      </c>
      <c r="Z453" s="9">
        <v>0</v>
      </c>
      <c r="AA453" s="9">
        <f t="shared" si="205"/>
        <v>18612.11</v>
      </c>
      <c r="AB453" s="9">
        <v>14829.62</v>
      </c>
      <c r="AC453" s="9">
        <v>3782.49</v>
      </c>
      <c r="AD453" s="44">
        <f t="shared" ref="AD453:AD516" si="209">R453+U453+X453+AA453</f>
        <v>930605.9</v>
      </c>
      <c r="AE453" s="9"/>
      <c r="AF453" s="9">
        <f t="shared" si="206"/>
        <v>930605.9</v>
      </c>
      <c r="AG453" s="59" t="s">
        <v>966</v>
      </c>
      <c r="AH453" s="13" t="s">
        <v>1248</v>
      </c>
      <c r="AI453" s="1">
        <f>459559.75+93000+163179.08+18037.22</f>
        <v>733776.04999999993</v>
      </c>
      <c r="AJ453" s="1">
        <f>87640.32+31119.04+21175.37</f>
        <v>139934.73000000001</v>
      </c>
    </row>
    <row r="454" spans="1:109" ht="141.75" x14ac:dyDescent="0.25">
      <c r="A454" s="5">
        <f t="shared" ref="A454:A517" si="210">A453+1</f>
        <v>451</v>
      </c>
      <c r="B454" s="15">
        <v>112733</v>
      </c>
      <c r="C454" s="78">
        <v>146</v>
      </c>
      <c r="D454" s="102" t="s">
        <v>143</v>
      </c>
      <c r="E454" s="17" t="s">
        <v>271</v>
      </c>
      <c r="F454" s="119" t="s">
        <v>910</v>
      </c>
      <c r="G454" s="5" t="s">
        <v>911</v>
      </c>
      <c r="H454" s="5" t="s">
        <v>912</v>
      </c>
      <c r="I454" s="14" t="s">
        <v>913</v>
      </c>
      <c r="J454" s="2">
        <v>43349</v>
      </c>
      <c r="K454" s="2">
        <v>43836</v>
      </c>
      <c r="L454" s="16">
        <f t="shared" si="203"/>
        <v>82.53318349196968</v>
      </c>
      <c r="M454" s="5" t="s">
        <v>273</v>
      </c>
      <c r="N454" s="5" t="s">
        <v>137</v>
      </c>
      <c r="O454" s="5" t="s">
        <v>137</v>
      </c>
      <c r="P454" s="3" t="s">
        <v>275</v>
      </c>
      <c r="Q454" s="5" t="s">
        <v>34</v>
      </c>
      <c r="R454" s="9">
        <f t="shared" si="208"/>
        <v>819750.19</v>
      </c>
      <c r="S454" s="9">
        <v>661057.13</v>
      </c>
      <c r="T454" s="9">
        <v>158693.06</v>
      </c>
      <c r="U454" s="9">
        <f t="shared" si="207"/>
        <v>134642.41999999998</v>
      </c>
      <c r="V454" s="53">
        <v>100473.09</v>
      </c>
      <c r="W454" s="53">
        <v>34169.33</v>
      </c>
      <c r="X454" s="9">
        <f t="shared" si="204"/>
        <v>21688.010000000002</v>
      </c>
      <c r="Y454" s="9">
        <v>16184.04</v>
      </c>
      <c r="Z454" s="9">
        <v>5503.97</v>
      </c>
      <c r="AA454" s="9">
        <f t="shared" si="205"/>
        <v>17156.47</v>
      </c>
      <c r="AB454" s="9">
        <v>13669.8</v>
      </c>
      <c r="AC454" s="9">
        <v>3486.67</v>
      </c>
      <c r="AD454" s="44">
        <f t="shared" si="209"/>
        <v>993237.08999999985</v>
      </c>
      <c r="AE454" s="9"/>
      <c r="AF454" s="9">
        <f t="shared" si="206"/>
        <v>993237.08999999985</v>
      </c>
      <c r="AG454" s="59" t="s">
        <v>966</v>
      </c>
      <c r="AH454" s="13" t="s">
        <v>296</v>
      </c>
      <c r="AI454" s="1">
        <f>85782.36-3113.23+78199.1+6754.09+75351.32+67788.76+80934.28+47367.75+243835.23+7975.27+6575.1</f>
        <v>697450.03</v>
      </c>
      <c r="AJ454" s="1">
        <f>12524.47+12068.37+12962.55+11810.14+16080.76+46500.56+1520.93</f>
        <v>113467.78</v>
      </c>
    </row>
    <row r="455" spans="1:109" ht="155.25" customHeight="1" x14ac:dyDescent="0.25">
      <c r="A455" s="5">
        <f t="shared" si="210"/>
        <v>452</v>
      </c>
      <c r="B455" s="15">
        <v>111432</v>
      </c>
      <c r="C455" s="78">
        <v>277</v>
      </c>
      <c r="D455" s="102" t="s">
        <v>143</v>
      </c>
      <c r="E455" s="17" t="s">
        <v>271</v>
      </c>
      <c r="F455" s="17" t="s">
        <v>915</v>
      </c>
      <c r="G455" s="5" t="s">
        <v>914</v>
      </c>
      <c r="H455" s="5" t="s">
        <v>916</v>
      </c>
      <c r="I455" s="41" t="s">
        <v>917</v>
      </c>
      <c r="J455" s="2">
        <v>43349</v>
      </c>
      <c r="K455" s="2">
        <v>43836</v>
      </c>
      <c r="L455" s="16">
        <f t="shared" si="203"/>
        <v>82.304186591731991</v>
      </c>
      <c r="M455" s="5" t="s">
        <v>273</v>
      </c>
      <c r="N455" s="5" t="s">
        <v>137</v>
      </c>
      <c r="O455" s="5" t="s">
        <v>137</v>
      </c>
      <c r="P455" s="3" t="s">
        <v>275</v>
      </c>
      <c r="Q455" s="5" t="s">
        <v>34</v>
      </c>
      <c r="R455" s="9">
        <f t="shared" si="208"/>
        <v>811369.98</v>
      </c>
      <c r="S455" s="9">
        <v>654299.23</v>
      </c>
      <c r="T455" s="9">
        <v>157070.75</v>
      </c>
      <c r="U455" s="9">
        <f t="shared" si="207"/>
        <v>154732.24</v>
      </c>
      <c r="V455" s="53">
        <v>115464.54</v>
      </c>
      <c r="W455" s="53">
        <v>39267.699999999997</v>
      </c>
      <c r="X455" s="9">
        <f t="shared" si="204"/>
        <v>0</v>
      </c>
      <c r="Y455" s="9">
        <v>0</v>
      </c>
      <c r="Z455" s="9">
        <v>0</v>
      </c>
      <c r="AA455" s="9">
        <f t="shared" si="205"/>
        <v>19716.38</v>
      </c>
      <c r="AB455" s="9">
        <v>15709.45</v>
      </c>
      <c r="AC455" s="9">
        <v>4006.93</v>
      </c>
      <c r="AD455" s="44">
        <f t="shared" si="209"/>
        <v>985818.6</v>
      </c>
      <c r="AE455" s="9">
        <v>0</v>
      </c>
      <c r="AF455" s="9">
        <f t="shared" si="206"/>
        <v>985818.6</v>
      </c>
      <c r="AG455" s="59" t="s">
        <v>966</v>
      </c>
      <c r="AH455" s="13" t="s">
        <v>1631</v>
      </c>
      <c r="AI455" s="1">
        <f>98500+28477.95+215174.75+92328.2+224990.6+149766.49-5027.14-10718.19</f>
        <v>793492.66</v>
      </c>
      <c r="AJ455" s="1">
        <f>23037.95+41034.92+43208.62+30634.3+13407.25</f>
        <v>151323.03999999998</v>
      </c>
    </row>
    <row r="456" spans="1:109" ht="330.75" x14ac:dyDescent="0.25">
      <c r="A456" s="5">
        <f t="shared" si="210"/>
        <v>453</v>
      </c>
      <c r="B456" s="15">
        <v>112592</v>
      </c>
      <c r="C456" s="15">
        <v>144</v>
      </c>
      <c r="D456" s="5" t="s">
        <v>143</v>
      </c>
      <c r="E456" s="17" t="s">
        <v>271</v>
      </c>
      <c r="F456" s="17" t="s">
        <v>918</v>
      </c>
      <c r="G456" s="5" t="s">
        <v>919</v>
      </c>
      <c r="H456" s="5" t="s">
        <v>296</v>
      </c>
      <c r="I456" s="14" t="s">
        <v>920</v>
      </c>
      <c r="J456" s="2">
        <v>43349</v>
      </c>
      <c r="K456" s="2">
        <v>43836</v>
      </c>
      <c r="L456" s="16">
        <f t="shared" si="203"/>
        <v>82.304195666897996</v>
      </c>
      <c r="M456" s="5" t="s">
        <v>273</v>
      </c>
      <c r="N456" s="5" t="s">
        <v>262</v>
      </c>
      <c r="O456" s="5" t="s">
        <v>262</v>
      </c>
      <c r="P456" s="3" t="s">
        <v>275</v>
      </c>
      <c r="Q456" s="18" t="s">
        <v>34</v>
      </c>
      <c r="R456" s="9">
        <f t="shared" si="208"/>
        <v>809057.98</v>
      </c>
      <c r="S456" s="9">
        <v>652434.75</v>
      </c>
      <c r="T456" s="9">
        <v>156623.23000000001</v>
      </c>
      <c r="U456" s="9">
        <f t="shared" si="207"/>
        <v>154291.24</v>
      </c>
      <c r="V456" s="53">
        <v>115135.49</v>
      </c>
      <c r="W456" s="53">
        <v>39155.75</v>
      </c>
      <c r="X456" s="9">
        <f t="shared" si="204"/>
        <v>0</v>
      </c>
      <c r="Y456" s="9">
        <v>0</v>
      </c>
      <c r="Z456" s="9">
        <v>0</v>
      </c>
      <c r="AA456" s="9">
        <f t="shared" si="205"/>
        <v>19660.18</v>
      </c>
      <c r="AB456" s="9">
        <v>15664.68</v>
      </c>
      <c r="AC456" s="9">
        <v>3995.5</v>
      </c>
      <c r="AD456" s="44">
        <f t="shared" si="209"/>
        <v>983009.4</v>
      </c>
      <c r="AE456" s="9">
        <v>0</v>
      </c>
      <c r="AF456" s="9">
        <f t="shared" si="206"/>
        <v>983009.4</v>
      </c>
      <c r="AG456" s="59" t="s">
        <v>966</v>
      </c>
      <c r="AH456" s="13" t="s">
        <v>296</v>
      </c>
      <c r="AI456" s="1">
        <f>409932.52+98300+186513.93+69525</f>
        <v>764271.45</v>
      </c>
      <c r="AJ456" s="1">
        <f>78176.15+54315.44+13258.71</f>
        <v>145750.29999999999</v>
      </c>
    </row>
    <row r="457" spans="1:109" ht="267.75" x14ac:dyDescent="0.25">
      <c r="A457" s="5">
        <f t="shared" si="210"/>
        <v>454</v>
      </c>
      <c r="B457" s="15">
        <v>111141</v>
      </c>
      <c r="C457" s="15">
        <v>312</v>
      </c>
      <c r="D457" s="5" t="s">
        <v>143</v>
      </c>
      <c r="E457" s="17" t="s">
        <v>271</v>
      </c>
      <c r="F457" s="17" t="s">
        <v>927</v>
      </c>
      <c r="G457" s="5" t="s">
        <v>928</v>
      </c>
      <c r="H457" s="5" t="s">
        <v>929</v>
      </c>
      <c r="I457" s="14" t="s">
        <v>930</v>
      </c>
      <c r="J457" s="2">
        <v>43349</v>
      </c>
      <c r="K457" s="2">
        <v>43836</v>
      </c>
      <c r="L457" s="16">
        <f t="shared" si="203"/>
        <v>82.8034002708998</v>
      </c>
      <c r="M457" s="5" t="s">
        <v>273</v>
      </c>
      <c r="N457" s="5" t="s">
        <v>262</v>
      </c>
      <c r="O457" s="5" t="s">
        <v>262</v>
      </c>
      <c r="P457" s="3" t="s">
        <v>275</v>
      </c>
      <c r="Q457" s="18" t="s">
        <v>34</v>
      </c>
      <c r="R457" s="9">
        <f t="shared" si="208"/>
        <v>826298.46000000008</v>
      </c>
      <c r="S457" s="9">
        <v>666337.68000000005</v>
      </c>
      <c r="T457" s="9">
        <v>159960.78</v>
      </c>
      <c r="U457" s="9">
        <f t="shared" si="207"/>
        <v>151647.47000000003</v>
      </c>
      <c r="V457" s="53">
        <v>112862.79000000001</v>
      </c>
      <c r="W457" s="53">
        <v>38784.680000000008</v>
      </c>
      <c r="X457" s="9">
        <f t="shared" si="204"/>
        <v>0</v>
      </c>
      <c r="Y457" s="9">
        <v>0</v>
      </c>
      <c r="Z457" s="9">
        <v>0</v>
      </c>
      <c r="AA457" s="9">
        <f t="shared" si="205"/>
        <v>19958.09</v>
      </c>
      <c r="AB457" s="9">
        <v>15902.08</v>
      </c>
      <c r="AC457" s="9">
        <v>4056.01</v>
      </c>
      <c r="AD457" s="44">
        <f t="shared" si="209"/>
        <v>997904.02000000014</v>
      </c>
      <c r="AE457" s="9">
        <v>0</v>
      </c>
      <c r="AF457" s="9">
        <f t="shared" si="206"/>
        <v>997904.02000000014</v>
      </c>
      <c r="AG457" s="59" t="s">
        <v>966</v>
      </c>
      <c r="AH457" s="13"/>
      <c r="AI457" s="1">
        <f>632254.35-10189.51+33087.89+85540.85+35748.72</f>
        <v>776442.29999999993</v>
      </c>
      <c r="AJ457" s="1">
        <f>11343.79+2719.14+19935.24+14501.99+9712.84+39877.8+10189.51+12230.9+14249.55+7931</f>
        <v>142691.75999999998</v>
      </c>
    </row>
    <row r="458" spans="1:109" ht="346.5" x14ac:dyDescent="0.25">
      <c r="A458" s="5">
        <f t="shared" si="210"/>
        <v>455</v>
      </c>
      <c r="B458" s="15">
        <v>110676</v>
      </c>
      <c r="C458" s="78">
        <v>129</v>
      </c>
      <c r="D458" s="5" t="s">
        <v>143</v>
      </c>
      <c r="E458" s="17" t="s">
        <v>271</v>
      </c>
      <c r="F458" s="8" t="s">
        <v>931</v>
      </c>
      <c r="G458" s="5" t="s">
        <v>932</v>
      </c>
      <c r="H458" s="5"/>
      <c r="I458" s="14" t="s">
        <v>933</v>
      </c>
      <c r="J458" s="2">
        <v>43350</v>
      </c>
      <c r="K458" s="2">
        <v>43715</v>
      </c>
      <c r="L458" s="16">
        <f t="shared" si="203"/>
        <v>82.304181371109394</v>
      </c>
      <c r="M458" s="5" t="s">
        <v>273</v>
      </c>
      <c r="N458" s="5" t="s">
        <v>262</v>
      </c>
      <c r="O458" s="5" t="s">
        <v>262</v>
      </c>
      <c r="P458" s="3" t="s">
        <v>275</v>
      </c>
      <c r="Q458" s="18" t="s">
        <v>34</v>
      </c>
      <c r="R458" s="9">
        <f t="shared" si="208"/>
        <v>815129.60000000009</v>
      </c>
      <c r="S458" s="9">
        <v>657331.03</v>
      </c>
      <c r="T458" s="9">
        <v>157798.57</v>
      </c>
      <c r="U458" s="9">
        <f t="shared" si="207"/>
        <v>155449.32</v>
      </c>
      <c r="V458" s="53">
        <v>115999.63</v>
      </c>
      <c r="W458" s="53">
        <v>39449.69</v>
      </c>
      <c r="X458" s="9">
        <f t="shared" si="204"/>
        <v>0</v>
      </c>
      <c r="Y458" s="9">
        <v>0</v>
      </c>
      <c r="Z458" s="9">
        <v>0</v>
      </c>
      <c r="AA458" s="9">
        <f t="shared" si="205"/>
        <v>19807.7</v>
      </c>
      <c r="AB458" s="9">
        <v>15782.23</v>
      </c>
      <c r="AC458" s="9">
        <v>4025.47</v>
      </c>
      <c r="AD458" s="44">
        <f t="shared" si="209"/>
        <v>990386.62000000011</v>
      </c>
      <c r="AE458" s="9">
        <v>0</v>
      </c>
      <c r="AF458" s="9">
        <f t="shared" si="206"/>
        <v>990386.62000000011</v>
      </c>
      <c r="AG458" s="49" t="s">
        <v>966</v>
      </c>
      <c r="AH458" s="13" t="s">
        <v>1124</v>
      </c>
      <c r="AI458" s="1">
        <f>743622.47+43643.44+7380.99</f>
        <v>794646.89999999991</v>
      </c>
      <c r="AJ458" s="1">
        <f>123314.06+26821.35+1407.6</f>
        <v>151543.01</v>
      </c>
    </row>
    <row r="459" spans="1:109" ht="189" x14ac:dyDescent="0.25">
      <c r="A459" s="5">
        <f t="shared" si="210"/>
        <v>456</v>
      </c>
      <c r="B459" s="15">
        <v>111475</v>
      </c>
      <c r="C459" s="78">
        <v>168</v>
      </c>
      <c r="D459" s="5" t="s">
        <v>143</v>
      </c>
      <c r="E459" s="17" t="s">
        <v>271</v>
      </c>
      <c r="F459" s="17" t="s">
        <v>938</v>
      </c>
      <c r="G459" s="5" t="s">
        <v>939</v>
      </c>
      <c r="H459" s="5"/>
      <c r="I459" s="14" t="s">
        <v>940</v>
      </c>
      <c r="J459" s="2">
        <v>43353</v>
      </c>
      <c r="K459" s="2">
        <v>44022</v>
      </c>
      <c r="L459" s="16">
        <f t="shared" si="203"/>
        <v>82.304183420576962</v>
      </c>
      <c r="M459" s="5" t="s">
        <v>273</v>
      </c>
      <c r="N459" s="5" t="s">
        <v>262</v>
      </c>
      <c r="O459" s="5" t="s">
        <v>262</v>
      </c>
      <c r="P459" s="3" t="s">
        <v>275</v>
      </c>
      <c r="Q459" s="18" t="s">
        <v>34</v>
      </c>
      <c r="R459" s="9">
        <f t="shared" si="208"/>
        <v>771409.35000000009</v>
      </c>
      <c r="S459" s="9">
        <v>622074.41</v>
      </c>
      <c r="T459" s="9">
        <v>149334.94</v>
      </c>
      <c r="U459" s="9">
        <f t="shared" si="207"/>
        <v>147111.59</v>
      </c>
      <c r="V459" s="53">
        <v>109777.84</v>
      </c>
      <c r="W459" s="53">
        <v>37333.75</v>
      </c>
      <c r="X459" s="9">
        <f t="shared" si="204"/>
        <v>0</v>
      </c>
      <c r="Y459" s="9">
        <v>0</v>
      </c>
      <c r="Z459" s="9">
        <v>0</v>
      </c>
      <c r="AA459" s="9">
        <f t="shared" si="205"/>
        <v>18745.329999999998</v>
      </c>
      <c r="AB459" s="9">
        <v>14935.8</v>
      </c>
      <c r="AC459" s="9">
        <v>3809.53</v>
      </c>
      <c r="AD459" s="44">
        <f t="shared" si="209"/>
        <v>937266.27</v>
      </c>
      <c r="AE459" s="9">
        <v>0</v>
      </c>
      <c r="AF459" s="9">
        <f t="shared" si="206"/>
        <v>937266.27</v>
      </c>
      <c r="AG459" s="49" t="s">
        <v>966</v>
      </c>
      <c r="AH459" s="13" t="s">
        <v>1539</v>
      </c>
      <c r="AI459" s="1">
        <f>588678.78+85709.9-9801.35</f>
        <v>664587.33000000007</v>
      </c>
      <c r="AJ459" s="1">
        <f>94389.89+16345.34+16004.96</f>
        <v>126740.19</v>
      </c>
    </row>
    <row r="460" spans="1:109" ht="173.25" x14ac:dyDescent="0.25">
      <c r="A460" s="5">
        <f t="shared" si="210"/>
        <v>457</v>
      </c>
      <c r="B460" s="27">
        <v>118813</v>
      </c>
      <c r="C460" s="33">
        <v>449</v>
      </c>
      <c r="D460" s="8" t="s">
        <v>1986</v>
      </c>
      <c r="E460" s="17" t="s">
        <v>560</v>
      </c>
      <c r="F460" s="3" t="s">
        <v>935</v>
      </c>
      <c r="G460" s="5" t="s">
        <v>2097</v>
      </c>
      <c r="H460" s="3" t="s">
        <v>1594</v>
      </c>
      <c r="I460" s="203" t="s">
        <v>937</v>
      </c>
      <c r="J460" s="2">
        <v>43350</v>
      </c>
      <c r="K460" s="2">
        <v>44537</v>
      </c>
      <c r="L460" s="16">
        <f t="shared" si="203"/>
        <v>83.983861774070718</v>
      </c>
      <c r="M460" s="5" t="s">
        <v>273</v>
      </c>
      <c r="N460" s="5" t="s">
        <v>262</v>
      </c>
      <c r="O460" s="5" t="s">
        <v>262</v>
      </c>
      <c r="P460" s="3" t="s">
        <v>138</v>
      </c>
      <c r="Q460" s="18" t="s">
        <v>34</v>
      </c>
      <c r="R460" s="9">
        <f t="shared" si="208"/>
        <v>4791834.12</v>
      </c>
      <c r="S460" s="9">
        <v>3864196.71</v>
      </c>
      <c r="T460" s="9">
        <v>927637.41</v>
      </c>
      <c r="U460" s="9">
        <f t="shared" si="207"/>
        <v>0</v>
      </c>
      <c r="V460" s="53">
        <v>0</v>
      </c>
      <c r="W460" s="53">
        <v>0</v>
      </c>
      <c r="X460" s="9">
        <f t="shared" si="204"/>
        <v>913826.49</v>
      </c>
      <c r="Y460" s="9">
        <v>681917.14</v>
      </c>
      <c r="Z460" s="9">
        <v>231909.35</v>
      </c>
      <c r="AA460" s="9">
        <f t="shared" si="205"/>
        <v>0</v>
      </c>
      <c r="AB460" s="9">
        <v>0</v>
      </c>
      <c r="AC460" s="9">
        <v>0</v>
      </c>
      <c r="AD460" s="44">
        <f t="shared" si="209"/>
        <v>5705660.6100000003</v>
      </c>
      <c r="AE460" s="9">
        <v>0</v>
      </c>
      <c r="AF460" s="9">
        <f t="shared" si="206"/>
        <v>5705660.6100000003</v>
      </c>
      <c r="AG460" s="59" t="s">
        <v>515</v>
      </c>
      <c r="AH460" s="196" t="s">
        <v>2047</v>
      </c>
      <c r="AI460" s="1">
        <f>15282.4+285261.79+452078.97</f>
        <v>752623.15999999992</v>
      </c>
      <c r="AJ460" s="1">
        <v>0</v>
      </c>
    </row>
    <row r="461" spans="1:109" ht="236.25" x14ac:dyDescent="0.25">
      <c r="A461" s="5">
        <f t="shared" si="210"/>
        <v>458</v>
      </c>
      <c r="B461" s="15">
        <v>126532</v>
      </c>
      <c r="C461" s="15">
        <v>500</v>
      </c>
      <c r="D461" s="134" t="s">
        <v>1988</v>
      </c>
      <c r="E461" s="8" t="s">
        <v>1130</v>
      </c>
      <c r="F461" s="8" t="s">
        <v>1134</v>
      </c>
      <c r="G461" s="5" t="s">
        <v>1133</v>
      </c>
      <c r="H461" s="5" t="s">
        <v>151</v>
      </c>
      <c r="I461" s="74" t="s">
        <v>1135</v>
      </c>
      <c r="J461" s="2">
        <v>43516</v>
      </c>
      <c r="K461" s="2">
        <v>44336</v>
      </c>
      <c r="L461" s="16">
        <f t="shared" si="203"/>
        <v>83.299999838210468</v>
      </c>
      <c r="M461" s="5" t="s">
        <v>1136</v>
      </c>
      <c r="N461" s="5" t="s">
        <v>1137</v>
      </c>
      <c r="O461" s="5" t="s">
        <v>1137</v>
      </c>
      <c r="P461" s="5" t="s">
        <v>275</v>
      </c>
      <c r="Q461" s="5" t="s">
        <v>34</v>
      </c>
      <c r="R461" s="1">
        <f t="shared" si="208"/>
        <v>2059465.88</v>
      </c>
      <c r="S461" s="9">
        <v>2059465.88</v>
      </c>
      <c r="T461" s="9">
        <v>0</v>
      </c>
      <c r="U461" s="1">
        <f t="shared" si="207"/>
        <v>363435.16</v>
      </c>
      <c r="V461" s="53">
        <v>363435.16</v>
      </c>
      <c r="W461" s="53">
        <v>0</v>
      </c>
      <c r="X461" s="1">
        <f t="shared" si="204"/>
        <v>0</v>
      </c>
      <c r="Y461" s="9">
        <v>0</v>
      </c>
      <c r="Z461" s="9">
        <v>0</v>
      </c>
      <c r="AA461" s="9">
        <f t="shared" si="205"/>
        <v>49446.96</v>
      </c>
      <c r="AB461" s="9">
        <v>49446.96</v>
      </c>
      <c r="AC461" s="9">
        <v>0</v>
      </c>
      <c r="AD461" s="44">
        <f t="shared" si="209"/>
        <v>2472348</v>
      </c>
      <c r="AE461" s="9">
        <v>0</v>
      </c>
      <c r="AF461" s="9">
        <f t="shared" si="206"/>
        <v>2472348</v>
      </c>
      <c r="AG461" s="59" t="s">
        <v>966</v>
      </c>
      <c r="AH461" s="13" t="s">
        <v>2112</v>
      </c>
      <c r="AI461" s="1">
        <f>1040799.12+310822.29+233529.06-13700.94</f>
        <v>1571449.53</v>
      </c>
      <c r="AJ461" s="1">
        <f>140041.6+54850.99+41211+41211</f>
        <v>277314.58999999997</v>
      </c>
      <c r="AK461" s="72"/>
      <c r="AL461" s="72"/>
      <c r="AM461" s="72"/>
      <c r="AN461" s="72"/>
      <c r="AO461" s="72"/>
      <c r="AP461" s="72"/>
      <c r="AQ461" s="72"/>
      <c r="AR461" s="72"/>
      <c r="AS461" s="72"/>
      <c r="AT461" s="72"/>
      <c r="AU461" s="72"/>
      <c r="AV461" s="72"/>
      <c r="AW461" s="72"/>
      <c r="AX461" s="72"/>
      <c r="AY461" s="72"/>
      <c r="AZ461" s="72"/>
      <c r="BA461" s="72"/>
      <c r="BB461" s="72"/>
      <c r="BC461" s="72"/>
      <c r="BD461" s="72"/>
      <c r="BE461" s="72"/>
      <c r="BF461" s="72"/>
      <c r="BG461" s="72"/>
      <c r="BH461" s="72"/>
      <c r="BI461" s="72"/>
      <c r="BJ461" s="72"/>
      <c r="BK461" s="72"/>
      <c r="BL461" s="72"/>
      <c r="BM461" s="72"/>
      <c r="BN461" s="72"/>
      <c r="BO461" s="72"/>
      <c r="BP461" s="72"/>
      <c r="BQ461" s="72"/>
      <c r="BR461" s="72"/>
      <c r="BS461" s="72"/>
      <c r="BT461" s="72"/>
      <c r="BU461" s="72"/>
      <c r="BV461" s="72"/>
      <c r="BW461" s="72"/>
      <c r="BX461" s="72"/>
      <c r="BY461" s="72"/>
      <c r="BZ461" s="72"/>
      <c r="CA461" s="72"/>
      <c r="CB461" s="72"/>
      <c r="CC461" s="72"/>
      <c r="CD461" s="72"/>
      <c r="CE461" s="72"/>
      <c r="CF461" s="72"/>
      <c r="CG461" s="72"/>
      <c r="CH461" s="72"/>
      <c r="CI461" s="72"/>
      <c r="CJ461" s="72"/>
      <c r="CK461" s="72"/>
      <c r="CL461" s="72"/>
      <c r="CM461" s="72"/>
      <c r="CN461" s="72"/>
      <c r="CO461" s="72"/>
      <c r="CP461" s="72"/>
      <c r="CQ461" s="72"/>
      <c r="CR461" s="72"/>
      <c r="CS461" s="72"/>
      <c r="CT461" s="72"/>
      <c r="CU461" s="72"/>
      <c r="CV461" s="72"/>
      <c r="CW461" s="72"/>
      <c r="CX461" s="72"/>
      <c r="CY461" s="72"/>
      <c r="CZ461" s="72"/>
      <c r="DA461" s="72"/>
      <c r="DB461" s="72"/>
      <c r="DC461" s="72"/>
      <c r="DD461" s="72"/>
      <c r="DE461" s="72"/>
    </row>
    <row r="462" spans="1:109" ht="189" x14ac:dyDescent="0.25">
      <c r="A462" s="5">
        <f t="shared" si="210"/>
        <v>459</v>
      </c>
      <c r="B462" s="15">
        <v>112820</v>
      </c>
      <c r="C462" s="78">
        <v>158</v>
      </c>
      <c r="D462" s="5" t="s">
        <v>143</v>
      </c>
      <c r="E462" s="17" t="s">
        <v>271</v>
      </c>
      <c r="F462" s="3" t="s">
        <v>945</v>
      </c>
      <c r="G462" s="3" t="s">
        <v>946</v>
      </c>
      <c r="H462" s="5" t="s">
        <v>296</v>
      </c>
      <c r="I462" s="14" t="s">
        <v>947</v>
      </c>
      <c r="J462" s="2">
        <v>43361</v>
      </c>
      <c r="K462" s="2">
        <v>43848</v>
      </c>
      <c r="L462" s="16">
        <f t="shared" si="203"/>
        <v>82.304187792803134</v>
      </c>
      <c r="M462" s="5" t="s">
        <v>273</v>
      </c>
      <c r="N462" s="5" t="s">
        <v>189</v>
      </c>
      <c r="O462" s="5" t="s">
        <v>948</v>
      </c>
      <c r="P462" s="3" t="s">
        <v>275</v>
      </c>
      <c r="Q462" s="18" t="s">
        <v>34</v>
      </c>
      <c r="R462" s="9">
        <f t="shared" si="208"/>
        <v>812316.49</v>
      </c>
      <c r="S462" s="9">
        <v>655062.44999999995</v>
      </c>
      <c r="T462" s="9">
        <v>157254.04</v>
      </c>
      <c r="U462" s="9">
        <f t="shared" si="207"/>
        <v>154912.73000000001</v>
      </c>
      <c r="V462" s="53">
        <v>115599.25</v>
      </c>
      <c r="W462" s="53">
        <v>39313.480000000003</v>
      </c>
      <c r="X462" s="9">
        <f t="shared" si="204"/>
        <v>0</v>
      </c>
      <c r="Y462" s="9">
        <v>0</v>
      </c>
      <c r="Z462" s="9">
        <v>0</v>
      </c>
      <c r="AA462" s="9">
        <f t="shared" si="205"/>
        <v>19739.38</v>
      </c>
      <c r="AB462" s="9">
        <v>15727.81</v>
      </c>
      <c r="AC462" s="9">
        <v>4011.57</v>
      </c>
      <c r="AD462" s="44">
        <f t="shared" si="209"/>
        <v>986968.6</v>
      </c>
      <c r="AE462" s="9"/>
      <c r="AF462" s="9">
        <f t="shared" si="206"/>
        <v>986968.6</v>
      </c>
      <c r="AG462" s="59" t="s">
        <v>966</v>
      </c>
      <c r="AH462" s="13"/>
      <c r="AI462" s="1">
        <f>385890.19+98696.6+156767.33+71161.76+44833.4</f>
        <v>757349.28</v>
      </c>
      <c r="AJ462" s="1">
        <f>73591.17+48718.2+13570.88+8549.93</f>
        <v>144430.18</v>
      </c>
    </row>
    <row r="463" spans="1:109" ht="204.75" x14ac:dyDescent="0.25">
      <c r="A463" s="5">
        <f t="shared" si="210"/>
        <v>460</v>
      </c>
      <c r="B463" s="15">
        <v>111916</v>
      </c>
      <c r="C463" s="78">
        <v>145</v>
      </c>
      <c r="D463" s="5" t="s">
        <v>143</v>
      </c>
      <c r="E463" s="17" t="s">
        <v>271</v>
      </c>
      <c r="F463" s="3" t="s">
        <v>949</v>
      </c>
      <c r="G463" s="3" t="s">
        <v>950</v>
      </c>
      <c r="H463" s="5" t="s">
        <v>296</v>
      </c>
      <c r="I463" s="14" t="s">
        <v>951</v>
      </c>
      <c r="J463" s="2">
        <v>43361</v>
      </c>
      <c r="K463" s="2">
        <v>43848</v>
      </c>
      <c r="L463" s="16">
        <f t="shared" si="203"/>
        <v>82.304185955094169</v>
      </c>
      <c r="M463" s="5" t="s">
        <v>273</v>
      </c>
      <c r="N463" s="5" t="s">
        <v>853</v>
      </c>
      <c r="O463" s="5" t="s">
        <v>853</v>
      </c>
      <c r="P463" s="3" t="s">
        <v>275</v>
      </c>
      <c r="Q463" s="18" t="s">
        <v>34</v>
      </c>
      <c r="R463" s="9">
        <f t="shared" si="208"/>
        <v>810699.03</v>
      </c>
      <c r="S463" s="9">
        <v>653758.11</v>
      </c>
      <c r="T463" s="9">
        <v>156940.92000000001</v>
      </c>
      <c r="U463" s="9">
        <f t="shared" si="207"/>
        <v>154604.29</v>
      </c>
      <c r="V463" s="53">
        <v>115369.07</v>
      </c>
      <c r="W463" s="53">
        <v>39235.22</v>
      </c>
      <c r="X463" s="9">
        <f t="shared" si="204"/>
        <v>0</v>
      </c>
      <c r="Y463" s="9">
        <v>0</v>
      </c>
      <c r="Z463" s="9">
        <v>0</v>
      </c>
      <c r="AA463" s="9">
        <f t="shared" si="205"/>
        <v>19700.080000000002</v>
      </c>
      <c r="AB463" s="9">
        <v>15696.51</v>
      </c>
      <c r="AC463" s="9">
        <v>4003.57</v>
      </c>
      <c r="AD463" s="44">
        <f t="shared" si="209"/>
        <v>985003.4</v>
      </c>
      <c r="AE463" s="9"/>
      <c r="AF463" s="9">
        <f t="shared" si="206"/>
        <v>985003.4</v>
      </c>
      <c r="AG463" s="59" t="s">
        <v>966</v>
      </c>
      <c r="AH463" s="13"/>
      <c r="AI463" s="1">
        <f>98000+15936.3+98000+14229.11+98000+184958.55+34915.59+218662.58+34786.69</f>
        <v>797488.81999999983</v>
      </c>
      <c r="AJ463" s="1">
        <f>21728.22+21402.65+35272.51+25347.65+41700.04+6633.99</f>
        <v>152085.06</v>
      </c>
    </row>
    <row r="464" spans="1:109" ht="96" customHeight="1" x14ac:dyDescent="0.25">
      <c r="A464" s="5">
        <f t="shared" si="210"/>
        <v>461</v>
      </c>
      <c r="B464" s="15">
        <v>116156</v>
      </c>
      <c r="C464" s="15">
        <v>392</v>
      </c>
      <c r="D464" s="5" t="s">
        <v>143</v>
      </c>
      <c r="E464" s="17" t="s">
        <v>385</v>
      </c>
      <c r="F464" s="31" t="s">
        <v>952</v>
      </c>
      <c r="G464" s="62" t="s">
        <v>2211</v>
      </c>
      <c r="H464" s="5" t="s">
        <v>953</v>
      </c>
      <c r="I464" s="8" t="s">
        <v>1913</v>
      </c>
      <c r="J464" s="2">
        <v>43356</v>
      </c>
      <c r="K464" s="2">
        <v>44452</v>
      </c>
      <c r="L464" s="16">
        <f t="shared" si="203"/>
        <v>83.98386240618575</v>
      </c>
      <c r="M464" s="5" t="s">
        <v>273</v>
      </c>
      <c r="N464" s="5" t="s">
        <v>262</v>
      </c>
      <c r="O464" s="5" t="s">
        <v>262</v>
      </c>
      <c r="P464" s="3" t="s">
        <v>138</v>
      </c>
      <c r="Q464" s="5" t="s">
        <v>34</v>
      </c>
      <c r="R464" s="9">
        <f t="shared" si="208"/>
        <v>2443303.91</v>
      </c>
      <c r="S464" s="9">
        <v>1970311.71</v>
      </c>
      <c r="T464" s="9">
        <v>472992.2</v>
      </c>
      <c r="U464" s="9">
        <f t="shared" si="207"/>
        <v>0</v>
      </c>
      <c r="V464" s="53">
        <v>0</v>
      </c>
      <c r="W464" s="53">
        <v>0</v>
      </c>
      <c r="X464" s="9">
        <f t="shared" ref="X464:X480" si="211">Y464+Z464</f>
        <v>465950.13</v>
      </c>
      <c r="Y464" s="9">
        <v>347702.1</v>
      </c>
      <c r="Z464" s="9">
        <v>118248.03</v>
      </c>
      <c r="AA464" s="9">
        <f t="shared" ref="AA464:AA487" si="212">AB464+AC464</f>
        <v>0</v>
      </c>
      <c r="AB464" s="9">
        <v>0</v>
      </c>
      <c r="AC464" s="9">
        <v>0</v>
      </c>
      <c r="AD464" s="44">
        <f t="shared" si="209"/>
        <v>2909254.04</v>
      </c>
      <c r="AE464" s="9"/>
      <c r="AF464" s="9">
        <f t="shared" ref="AF464:AF493" si="213">AD464+AE464</f>
        <v>2909254.04</v>
      </c>
      <c r="AG464" s="59" t="s">
        <v>1668</v>
      </c>
      <c r="AH464" s="13" t="s">
        <v>1989</v>
      </c>
      <c r="AI464" s="1">
        <f>194922.68+48813.95+146150.63+39090.27+127031.01+26684.2+32010.45+45499.94</f>
        <v>660203.12999999989</v>
      </c>
      <c r="AJ464" s="1">
        <v>0</v>
      </c>
    </row>
    <row r="465" spans="1:36" ht="141.75" x14ac:dyDescent="0.25">
      <c r="A465" s="5">
        <f t="shared" si="210"/>
        <v>462</v>
      </c>
      <c r="B465" s="15">
        <v>109770</v>
      </c>
      <c r="C465" s="78">
        <v>300</v>
      </c>
      <c r="D465" s="5" t="s">
        <v>143</v>
      </c>
      <c r="E465" s="17" t="s">
        <v>271</v>
      </c>
      <c r="F465" s="7" t="s">
        <v>1676</v>
      </c>
      <c r="G465" s="5" t="s">
        <v>954</v>
      </c>
      <c r="H465" s="5" t="s">
        <v>296</v>
      </c>
      <c r="I465" s="14" t="s">
        <v>955</v>
      </c>
      <c r="J465" s="2">
        <v>43362</v>
      </c>
      <c r="K465" s="2">
        <v>43849</v>
      </c>
      <c r="L465" s="16">
        <f t="shared" si="203"/>
        <v>82.304184197970017</v>
      </c>
      <c r="M465" s="5" t="s">
        <v>273</v>
      </c>
      <c r="N465" s="5" t="s">
        <v>262</v>
      </c>
      <c r="O465" s="5" t="s">
        <v>262</v>
      </c>
      <c r="P465" s="3" t="s">
        <v>275</v>
      </c>
      <c r="Q465" s="5" t="s">
        <v>34</v>
      </c>
      <c r="R465" s="9">
        <f t="shared" si="208"/>
        <v>786369.83000000007</v>
      </c>
      <c r="S465" s="9">
        <v>634138.80000000005</v>
      </c>
      <c r="T465" s="9">
        <v>152231.03</v>
      </c>
      <c r="U465" s="9">
        <f t="shared" si="207"/>
        <v>149964.62</v>
      </c>
      <c r="V465" s="53">
        <v>111906.86</v>
      </c>
      <c r="W465" s="53">
        <v>38057.760000000002</v>
      </c>
      <c r="X465" s="9">
        <f t="shared" si="211"/>
        <v>0</v>
      </c>
      <c r="Y465" s="9">
        <v>0</v>
      </c>
      <c r="Z465" s="9">
        <v>0</v>
      </c>
      <c r="AA465" s="9">
        <f t="shared" si="212"/>
        <v>19108.870000000003</v>
      </c>
      <c r="AB465" s="9">
        <v>15225.37</v>
      </c>
      <c r="AC465" s="9">
        <v>3883.5</v>
      </c>
      <c r="AD465" s="44">
        <f t="shared" si="209"/>
        <v>955443.32000000007</v>
      </c>
      <c r="AE465" s="9"/>
      <c r="AF465" s="9">
        <f t="shared" si="213"/>
        <v>955443.32000000007</v>
      </c>
      <c r="AG465" s="59" t="s">
        <v>966</v>
      </c>
      <c r="AH465" s="13"/>
      <c r="AI465" s="1">
        <f>495588.73+36434.18+37098.36+130866.04+63944.95-22724.91</f>
        <v>741207.35</v>
      </c>
      <c r="AJ465" s="1">
        <f>13512.19+19201.01+11646.04+10486.67+21444.53+15302.78+16400.64+17142.5+2328.48+13886.98</f>
        <v>141351.82</v>
      </c>
    </row>
    <row r="466" spans="1:36" ht="141.75" x14ac:dyDescent="0.25">
      <c r="A466" s="5">
        <f t="shared" si="210"/>
        <v>463</v>
      </c>
      <c r="B466" s="15">
        <v>112155</v>
      </c>
      <c r="C466" s="78">
        <v>224</v>
      </c>
      <c r="D466" s="5" t="s">
        <v>143</v>
      </c>
      <c r="E466" s="17" t="s">
        <v>271</v>
      </c>
      <c r="F466" s="31" t="s">
        <v>956</v>
      </c>
      <c r="G466" s="5" t="s">
        <v>1572</v>
      </c>
      <c r="H466" s="5" t="s">
        <v>957</v>
      </c>
      <c r="I466" s="14" t="s">
        <v>958</v>
      </c>
      <c r="J466" s="2">
        <v>43362</v>
      </c>
      <c r="K466" s="2">
        <v>44031</v>
      </c>
      <c r="L466" s="16">
        <f t="shared" si="203"/>
        <v>82.838167350644355</v>
      </c>
      <c r="M466" s="5" t="s">
        <v>273</v>
      </c>
      <c r="N466" s="5" t="s">
        <v>853</v>
      </c>
      <c r="O466" s="5" t="s">
        <v>853</v>
      </c>
      <c r="P466" s="3" t="s">
        <v>275</v>
      </c>
      <c r="Q466" s="5" t="s">
        <v>34</v>
      </c>
      <c r="R466" s="9">
        <f t="shared" si="208"/>
        <v>821979.65</v>
      </c>
      <c r="S466" s="9">
        <v>662854.93000000005</v>
      </c>
      <c r="T466" s="9">
        <v>159124.72</v>
      </c>
      <c r="U466" s="9">
        <f t="shared" si="207"/>
        <v>150446.54</v>
      </c>
      <c r="V466" s="53">
        <v>111947.56</v>
      </c>
      <c r="W466" s="53">
        <v>38498.980000000003</v>
      </c>
      <c r="X466" s="9">
        <f t="shared" si="211"/>
        <v>6308.99</v>
      </c>
      <c r="Y466" s="9">
        <v>5026.84</v>
      </c>
      <c r="Z466" s="9">
        <v>1282.1500000000001</v>
      </c>
      <c r="AA466" s="9">
        <f t="shared" si="212"/>
        <v>13536.47</v>
      </c>
      <c r="AB466" s="9">
        <v>10785.49</v>
      </c>
      <c r="AC466" s="9">
        <v>2750.98</v>
      </c>
      <c r="AD466" s="44">
        <f t="shared" si="209"/>
        <v>992271.65</v>
      </c>
      <c r="AE466" s="9"/>
      <c r="AF466" s="9">
        <f t="shared" si="213"/>
        <v>992271.65</v>
      </c>
      <c r="AG466" s="59" t="s">
        <v>966</v>
      </c>
      <c r="AH466" s="13" t="s">
        <v>1906</v>
      </c>
      <c r="AI466" s="1">
        <f>680682.08+95992.86</f>
        <v>776674.94</v>
      </c>
      <c r="AJ466" s="1">
        <f>124682.16+17920.66</f>
        <v>142602.82</v>
      </c>
    </row>
    <row r="467" spans="1:36" ht="267.75" x14ac:dyDescent="0.25">
      <c r="A467" s="5">
        <f t="shared" si="210"/>
        <v>464</v>
      </c>
      <c r="B467" s="15">
        <v>111612</v>
      </c>
      <c r="C467" s="78">
        <v>153</v>
      </c>
      <c r="D467" s="5" t="s">
        <v>143</v>
      </c>
      <c r="E467" s="17" t="s">
        <v>271</v>
      </c>
      <c r="F467" s="8" t="s">
        <v>962</v>
      </c>
      <c r="G467" s="5" t="s">
        <v>963</v>
      </c>
      <c r="H467" s="5" t="s">
        <v>964</v>
      </c>
      <c r="I467" s="14" t="s">
        <v>965</v>
      </c>
      <c r="J467" s="2">
        <v>43371</v>
      </c>
      <c r="K467" s="2">
        <v>43889</v>
      </c>
      <c r="L467" s="16">
        <f t="shared" si="203"/>
        <v>82.304183068176116</v>
      </c>
      <c r="M467" s="5" t="s">
        <v>273</v>
      </c>
      <c r="N467" s="5" t="s">
        <v>262</v>
      </c>
      <c r="O467" s="5" t="s">
        <v>262</v>
      </c>
      <c r="P467" s="3" t="s">
        <v>275</v>
      </c>
      <c r="Q467" s="5" t="s">
        <v>34</v>
      </c>
      <c r="R467" s="9">
        <f t="shared" si="208"/>
        <v>719578.88</v>
      </c>
      <c r="S467" s="9">
        <v>580277.67000000004</v>
      </c>
      <c r="T467" s="9">
        <v>139301.21</v>
      </c>
      <c r="U467" s="9">
        <f t="shared" si="207"/>
        <v>137227.27000000002</v>
      </c>
      <c r="V467" s="53">
        <v>102401.97</v>
      </c>
      <c r="W467" s="53">
        <v>34825.300000000003</v>
      </c>
      <c r="X467" s="9">
        <f t="shared" si="211"/>
        <v>0</v>
      </c>
      <c r="Y467" s="9">
        <v>0</v>
      </c>
      <c r="Z467" s="9">
        <v>0</v>
      </c>
      <c r="AA467" s="9">
        <f t="shared" si="212"/>
        <v>17485.84</v>
      </c>
      <c r="AB467" s="9">
        <v>13932.24</v>
      </c>
      <c r="AC467" s="9">
        <v>3553.6</v>
      </c>
      <c r="AD467" s="44">
        <f t="shared" si="209"/>
        <v>874291.99</v>
      </c>
      <c r="AE467" s="9"/>
      <c r="AF467" s="9">
        <f t="shared" si="213"/>
        <v>874291.99</v>
      </c>
      <c r="AG467" s="59" t="s">
        <v>1686</v>
      </c>
      <c r="AH467" s="13"/>
      <c r="AI467" s="1">
        <v>557994.05000000005</v>
      </c>
      <c r="AJ467" s="1">
        <v>106412.25</v>
      </c>
    </row>
    <row r="468" spans="1:36" ht="390" customHeight="1" x14ac:dyDescent="0.25">
      <c r="A468" s="5">
        <f t="shared" si="210"/>
        <v>465</v>
      </c>
      <c r="B468" s="15">
        <v>110058</v>
      </c>
      <c r="C468" s="78">
        <v>302</v>
      </c>
      <c r="D468" s="5" t="s">
        <v>143</v>
      </c>
      <c r="E468" s="17" t="s">
        <v>271</v>
      </c>
      <c r="F468" s="31" t="s">
        <v>967</v>
      </c>
      <c r="G468" s="5" t="s">
        <v>968</v>
      </c>
      <c r="H468" s="5" t="s">
        <v>969</v>
      </c>
      <c r="I468" s="41" t="s">
        <v>970</v>
      </c>
      <c r="J468" s="2">
        <v>43370</v>
      </c>
      <c r="K468" s="2">
        <v>43857</v>
      </c>
      <c r="L468" s="16">
        <f t="shared" si="203"/>
        <v>82.767157561916832</v>
      </c>
      <c r="M468" s="5" t="s">
        <v>273</v>
      </c>
      <c r="N468" s="5" t="s">
        <v>262</v>
      </c>
      <c r="O468" s="5" t="s">
        <v>262</v>
      </c>
      <c r="P468" s="3" t="s">
        <v>275</v>
      </c>
      <c r="Q468" s="5" t="s">
        <v>34</v>
      </c>
      <c r="R468" s="9">
        <f t="shared" si="208"/>
        <v>803873.75</v>
      </c>
      <c r="S468" s="9">
        <v>648254.14</v>
      </c>
      <c r="T468" s="9">
        <v>155619.60999999999</v>
      </c>
      <c r="U468" s="9">
        <f t="shared" si="207"/>
        <v>147948.57</v>
      </c>
      <c r="V468" s="53">
        <v>110131.78</v>
      </c>
      <c r="W468" s="53">
        <v>37816.79</v>
      </c>
      <c r="X468" s="9">
        <f t="shared" si="211"/>
        <v>0</v>
      </c>
      <c r="Y468" s="9">
        <v>0</v>
      </c>
      <c r="Z468" s="9">
        <v>0</v>
      </c>
      <c r="AA468" s="9">
        <f t="shared" si="212"/>
        <v>19424.939999999999</v>
      </c>
      <c r="AB468" s="9">
        <v>15477.26</v>
      </c>
      <c r="AC468" s="9">
        <v>3947.68</v>
      </c>
      <c r="AD468" s="44">
        <f t="shared" si="209"/>
        <v>971247.26</v>
      </c>
      <c r="AE468" s="10"/>
      <c r="AF468" s="9">
        <f t="shared" si="213"/>
        <v>971247.26</v>
      </c>
      <c r="AG468" s="59" t="s">
        <v>966</v>
      </c>
      <c r="AH468" s="13"/>
      <c r="AI468" s="1">
        <v>445374.68</v>
      </c>
      <c r="AJ468" s="1">
        <v>64020.07</v>
      </c>
    </row>
    <row r="469" spans="1:36" ht="390" customHeight="1" x14ac:dyDescent="0.25">
      <c r="A469" s="5">
        <f t="shared" si="210"/>
        <v>466</v>
      </c>
      <c r="B469" s="15">
        <v>111482</v>
      </c>
      <c r="C469" s="78">
        <v>133</v>
      </c>
      <c r="D469" s="5" t="s">
        <v>143</v>
      </c>
      <c r="E469" s="17" t="s">
        <v>271</v>
      </c>
      <c r="F469" s="8" t="s">
        <v>974</v>
      </c>
      <c r="G469" s="5" t="s">
        <v>973</v>
      </c>
      <c r="H469" s="5" t="s">
        <v>975</v>
      </c>
      <c r="I469" s="41" t="s">
        <v>976</v>
      </c>
      <c r="J469" s="2">
        <v>43376</v>
      </c>
      <c r="K469" s="2">
        <v>43864</v>
      </c>
      <c r="L469" s="16">
        <f t="shared" si="203"/>
        <v>82.928005929547282</v>
      </c>
      <c r="M469" s="5" t="s">
        <v>273</v>
      </c>
      <c r="N469" s="5" t="s">
        <v>255</v>
      </c>
      <c r="O469" s="5" t="s">
        <v>977</v>
      </c>
      <c r="P469" s="3" t="s">
        <v>275</v>
      </c>
      <c r="Q469" s="5" t="s">
        <v>34</v>
      </c>
      <c r="R469" s="9">
        <f t="shared" si="208"/>
        <v>795878.74</v>
      </c>
      <c r="S469" s="9">
        <v>641806.86</v>
      </c>
      <c r="T469" s="9">
        <v>154071.88</v>
      </c>
      <c r="U469" s="9">
        <f t="shared" si="207"/>
        <v>144649.33000000002</v>
      </c>
      <c r="V469" s="53">
        <v>107580.1</v>
      </c>
      <c r="W469" s="53">
        <v>37069.230000000003</v>
      </c>
      <c r="X469" s="9">
        <f t="shared" si="211"/>
        <v>0</v>
      </c>
      <c r="Y469" s="9">
        <v>0</v>
      </c>
      <c r="Z469" s="9">
        <v>0</v>
      </c>
      <c r="AA469" s="9">
        <f t="shared" si="212"/>
        <v>19194.440000000002</v>
      </c>
      <c r="AB469" s="9">
        <v>15293.61</v>
      </c>
      <c r="AC469" s="9">
        <v>3900.83</v>
      </c>
      <c r="AD469" s="44">
        <f t="shared" si="209"/>
        <v>959722.51</v>
      </c>
      <c r="AE469" s="10"/>
      <c r="AF469" s="9">
        <f t="shared" si="213"/>
        <v>959722.51</v>
      </c>
      <c r="AG469" s="59" t="s">
        <v>1686</v>
      </c>
      <c r="AH469" s="13"/>
      <c r="AI469" s="1">
        <f>452366.02+99602.01+111344.12+21724.75+63905.55-5611.91+3477.02</f>
        <v>746807.56</v>
      </c>
      <c r="AJ469" s="1">
        <f>80055.29+4398.75+19458.27+15146.77+4830.12+12009.98</f>
        <v>135899.18</v>
      </c>
    </row>
    <row r="470" spans="1:36" ht="390" customHeight="1" x14ac:dyDescent="0.25">
      <c r="A470" s="5">
        <f t="shared" si="210"/>
        <v>467</v>
      </c>
      <c r="B470" s="15">
        <v>112266</v>
      </c>
      <c r="C470" s="78">
        <v>310</v>
      </c>
      <c r="D470" s="5" t="s">
        <v>143</v>
      </c>
      <c r="E470" s="17" t="s">
        <v>271</v>
      </c>
      <c r="F470" s="8" t="s">
        <v>978</v>
      </c>
      <c r="G470" s="5" t="s">
        <v>979</v>
      </c>
      <c r="H470" s="5" t="s">
        <v>980</v>
      </c>
      <c r="I470" s="41" t="s">
        <v>981</v>
      </c>
      <c r="J470" s="2">
        <v>43376</v>
      </c>
      <c r="K470" s="2">
        <v>43802</v>
      </c>
      <c r="L470" s="16">
        <f t="shared" si="203"/>
        <v>83.010839519489394</v>
      </c>
      <c r="M470" s="5" t="s">
        <v>273</v>
      </c>
      <c r="N470" s="5" t="s">
        <v>262</v>
      </c>
      <c r="O470" s="5" t="s">
        <v>262</v>
      </c>
      <c r="P470" s="3" t="s">
        <v>138</v>
      </c>
      <c r="Q470" s="5" t="s">
        <v>34</v>
      </c>
      <c r="R470" s="9">
        <f t="shared" si="208"/>
        <v>830076.27</v>
      </c>
      <c r="S470" s="9">
        <v>669384.21</v>
      </c>
      <c r="T470" s="9">
        <v>160692.06</v>
      </c>
      <c r="U470" s="9">
        <f t="shared" si="207"/>
        <v>149885.79999999999</v>
      </c>
      <c r="V470" s="53">
        <v>111422.7</v>
      </c>
      <c r="W470" s="53">
        <v>38463.1</v>
      </c>
      <c r="X470" s="9">
        <f t="shared" si="211"/>
        <v>0</v>
      </c>
      <c r="Y470" s="9">
        <v>0</v>
      </c>
      <c r="Z470" s="9">
        <v>0</v>
      </c>
      <c r="AA470" s="9">
        <f t="shared" si="212"/>
        <v>19999.23</v>
      </c>
      <c r="AB470" s="9">
        <v>15934.82</v>
      </c>
      <c r="AC470" s="9">
        <v>4064.41</v>
      </c>
      <c r="AD470" s="44">
        <f t="shared" si="209"/>
        <v>999961.3</v>
      </c>
      <c r="AE470" s="10"/>
      <c r="AF470" s="9">
        <f t="shared" si="213"/>
        <v>999961.3</v>
      </c>
      <c r="AG470" s="49" t="s">
        <v>966</v>
      </c>
      <c r="AH470" s="13"/>
      <c r="AI470" s="1">
        <f>469376.77+159988.61+70050.81+33529.44+16757.29</f>
        <v>749702.91999999993</v>
      </c>
      <c r="AJ470" s="1">
        <f>66498.13+28816.19+19174.69+12319.23+7898.78</f>
        <v>134707.02000000002</v>
      </c>
    </row>
    <row r="471" spans="1:36" ht="390" customHeight="1" x14ac:dyDescent="0.25">
      <c r="A471" s="5">
        <f t="shared" si="210"/>
        <v>468</v>
      </c>
      <c r="B471" s="15">
        <v>118704</v>
      </c>
      <c r="C471" s="78">
        <v>434</v>
      </c>
      <c r="D471" s="8" t="s">
        <v>1986</v>
      </c>
      <c r="E471" s="17" t="s">
        <v>560</v>
      </c>
      <c r="F471" s="31" t="s">
        <v>982</v>
      </c>
      <c r="G471" s="5" t="s">
        <v>983</v>
      </c>
      <c r="H471" s="5" t="s">
        <v>299</v>
      </c>
      <c r="I471" s="41" t="s">
        <v>984</v>
      </c>
      <c r="J471" s="2">
        <v>43389</v>
      </c>
      <c r="K471" s="2">
        <v>43906</v>
      </c>
      <c r="L471" s="16">
        <f t="shared" si="203"/>
        <v>83.983864465105967</v>
      </c>
      <c r="M471" s="5" t="s">
        <v>273</v>
      </c>
      <c r="N471" s="5" t="s">
        <v>262</v>
      </c>
      <c r="O471" s="5" t="s">
        <v>262</v>
      </c>
      <c r="P471" s="3" t="s">
        <v>138</v>
      </c>
      <c r="Q471" s="18" t="s">
        <v>34</v>
      </c>
      <c r="R471" s="9">
        <f t="shared" si="208"/>
        <v>1448623.93</v>
      </c>
      <c r="S471" s="9">
        <v>1168188.98</v>
      </c>
      <c r="T471" s="9">
        <v>280434.95</v>
      </c>
      <c r="U471" s="9">
        <f t="shared" si="207"/>
        <v>0</v>
      </c>
      <c r="V471" s="53">
        <v>0</v>
      </c>
      <c r="W471" s="53">
        <v>0</v>
      </c>
      <c r="X471" s="9">
        <f t="shared" si="211"/>
        <v>0</v>
      </c>
      <c r="Y471" s="9">
        <v>0</v>
      </c>
      <c r="Z471" s="9">
        <v>0</v>
      </c>
      <c r="AA471" s="9">
        <f t="shared" si="212"/>
        <v>276259.7</v>
      </c>
      <c r="AB471" s="9">
        <v>206150.98</v>
      </c>
      <c r="AC471" s="9">
        <v>70108.72</v>
      </c>
      <c r="AD471" s="44">
        <f t="shared" si="209"/>
        <v>1724883.63</v>
      </c>
      <c r="AE471" s="10">
        <v>442846.63</v>
      </c>
      <c r="AF471" s="9">
        <f t="shared" si="213"/>
        <v>2167730.2599999998</v>
      </c>
      <c r="AG471" s="59" t="s">
        <v>966</v>
      </c>
      <c r="AH471" s="13" t="s">
        <v>1642</v>
      </c>
      <c r="AI471" s="1">
        <v>1389240.11</v>
      </c>
      <c r="AJ471" s="1">
        <v>0</v>
      </c>
    </row>
    <row r="472" spans="1:36" ht="288.75" customHeight="1" x14ac:dyDescent="0.25">
      <c r="A472" s="5">
        <f t="shared" si="210"/>
        <v>469</v>
      </c>
      <c r="B472" s="15">
        <v>111265</v>
      </c>
      <c r="C472" s="78">
        <v>156</v>
      </c>
      <c r="D472" s="5" t="s">
        <v>143</v>
      </c>
      <c r="E472" s="17" t="s">
        <v>271</v>
      </c>
      <c r="F472" s="31" t="s">
        <v>989</v>
      </c>
      <c r="G472" s="5" t="s">
        <v>1014</v>
      </c>
      <c r="H472" s="5" t="s">
        <v>990</v>
      </c>
      <c r="I472" s="41" t="s">
        <v>991</v>
      </c>
      <c r="J472" s="2">
        <v>43390</v>
      </c>
      <c r="K472" s="2">
        <v>44029</v>
      </c>
      <c r="L472" s="16">
        <f t="shared" si="203"/>
        <v>82.304182001288282</v>
      </c>
      <c r="M472" s="5" t="s">
        <v>273</v>
      </c>
      <c r="N472" s="5" t="s">
        <v>227</v>
      </c>
      <c r="O472" s="5" t="s">
        <v>227</v>
      </c>
      <c r="P472" s="3" t="s">
        <v>275</v>
      </c>
      <c r="Q472" s="5" t="s">
        <v>34</v>
      </c>
      <c r="R472" s="9">
        <f t="shared" si="208"/>
        <v>800497.47</v>
      </c>
      <c r="S472" s="9">
        <v>645531.5</v>
      </c>
      <c r="T472" s="9">
        <v>154965.97</v>
      </c>
      <c r="U472" s="9">
        <f>V472+W472</f>
        <v>152658.85</v>
      </c>
      <c r="V472" s="53">
        <v>113917.34</v>
      </c>
      <c r="W472" s="53">
        <v>38741.51</v>
      </c>
      <c r="X472" s="9">
        <f t="shared" si="211"/>
        <v>0</v>
      </c>
      <c r="Y472" s="9">
        <v>0</v>
      </c>
      <c r="Z472" s="9">
        <v>0</v>
      </c>
      <c r="AA472" s="9">
        <f t="shared" si="212"/>
        <v>19452.18</v>
      </c>
      <c r="AB472" s="9">
        <v>15498.93</v>
      </c>
      <c r="AC472" s="9">
        <v>3953.25</v>
      </c>
      <c r="AD472" s="44">
        <f t="shared" si="209"/>
        <v>972608.5</v>
      </c>
      <c r="AE472" s="10"/>
      <c r="AF472" s="9">
        <f t="shared" si="213"/>
        <v>972608.5</v>
      </c>
      <c r="AG472" s="59" t="s">
        <v>966</v>
      </c>
      <c r="AH472" s="13" t="s">
        <v>1908</v>
      </c>
      <c r="AI472" s="1">
        <f>699788.34+65000-20399.56</f>
        <v>744388.77999999991</v>
      </c>
      <c r="AJ472" s="1">
        <f>130435.52+11523.1</f>
        <v>141958.62</v>
      </c>
    </row>
    <row r="473" spans="1:36" ht="390" customHeight="1" x14ac:dyDescent="0.25">
      <c r="A473" s="5">
        <f t="shared" si="210"/>
        <v>470</v>
      </c>
      <c r="B473" s="15">
        <v>112719</v>
      </c>
      <c r="C473" s="78">
        <v>287</v>
      </c>
      <c r="D473" s="5" t="s">
        <v>143</v>
      </c>
      <c r="E473" s="17" t="s">
        <v>271</v>
      </c>
      <c r="F473" s="31" t="s">
        <v>1000</v>
      </c>
      <c r="G473" s="5" t="s">
        <v>1001</v>
      </c>
      <c r="H473" s="5" t="s">
        <v>1002</v>
      </c>
      <c r="I473" s="41" t="s">
        <v>1003</v>
      </c>
      <c r="J473" s="2">
        <v>43399</v>
      </c>
      <c r="K473" s="2">
        <v>43887</v>
      </c>
      <c r="L473" s="16">
        <f t="shared" si="203"/>
        <v>82.304184463081299</v>
      </c>
      <c r="M473" s="5" t="s">
        <v>273</v>
      </c>
      <c r="N473" s="5" t="s">
        <v>137</v>
      </c>
      <c r="O473" s="5" t="s">
        <v>137</v>
      </c>
      <c r="P473" s="3" t="s">
        <v>275</v>
      </c>
      <c r="Q473" s="5" t="s">
        <v>34</v>
      </c>
      <c r="R473" s="9">
        <f t="shared" si="208"/>
        <v>780735</v>
      </c>
      <c r="S473" s="9">
        <v>629594.75</v>
      </c>
      <c r="T473" s="9">
        <v>151140.25</v>
      </c>
      <c r="U473" s="9">
        <f t="shared" ref="U473:U499" si="214">V473+W473</f>
        <v>148890.03999999998</v>
      </c>
      <c r="V473" s="53">
        <v>111105.01</v>
      </c>
      <c r="W473" s="53">
        <v>37785.03</v>
      </c>
      <c r="X473" s="9">
        <f t="shared" si="211"/>
        <v>0</v>
      </c>
      <c r="Y473" s="9">
        <v>0</v>
      </c>
      <c r="Z473" s="9">
        <v>0</v>
      </c>
      <c r="AA473" s="9">
        <f t="shared" si="212"/>
        <v>18971.93</v>
      </c>
      <c r="AB473" s="9">
        <v>15116.28</v>
      </c>
      <c r="AC473" s="9">
        <v>3855.65</v>
      </c>
      <c r="AD473" s="44">
        <f t="shared" si="209"/>
        <v>948596.97000000009</v>
      </c>
      <c r="AE473" s="10"/>
      <c r="AF473" s="9">
        <f t="shared" si="213"/>
        <v>948596.97000000009</v>
      </c>
      <c r="AG473" s="59" t="s">
        <v>966</v>
      </c>
      <c r="AH473" s="13"/>
      <c r="AI473" s="1">
        <v>771851.04999999993</v>
      </c>
      <c r="AJ473" s="1">
        <v>147195.82</v>
      </c>
    </row>
    <row r="474" spans="1:36" ht="390" customHeight="1" x14ac:dyDescent="0.25">
      <c r="A474" s="5">
        <f t="shared" si="210"/>
        <v>471</v>
      </c>
      <c r="B474" s="15">
        <v>112591</v>
      </c>
      <c r="C474" s="78">
        <v>205</v>
      </c>
      <c r="D474" s="5" t="s">
        <v>143</v>
      </c>
      <c r="E474" s="17" t="s">
        <v>271</v>
      </c>
      <c r="F474" s="31" t="s">
        <v>1004</v>
      </c>
      <c r="G474" s="5" t="s">
        <v>1005</v>
      </c>
      <c r="H474" s="5" t="s">
        <v>1007</v>
      </c>
      <c r="I474" s="41" t="s">
        <v>1006</v>
      </c>
      <c r="J474" s="2">
        <v>43404</v>
      </c>
      <c r="K474" s="2">
        <v>44043</v>
      </c>
      <c r="L474" s="16">
        <f t="shared" si="203"/>
        <v>82.304185509371194</v>
      </c>
      <c r="M474" s="5" t="s">
        <v>273</v>
      </c>
      <c r="N474" s="5" t="s">
        <v>262</v>
      </c>
      <c r="O474" s="5" t="s">
        <v>262</v>
      </c>
      <c r="P474" s="3" t="s">
        <v>275</v>
      </c>
      <c r="Q474" s="5" t="s">
        <v>34</v>
      </c>
      <c r="R474" s="9">
        <f t="shared" si="208"/>
        <v>767059.33000000007</v>
      </c>
      <c r="S474" s="9">
        <v>618566.54</v>
      </c>
      <c r="T474" s="9">
        <v>148492.79</v>
      </c>
      <c r="U474" s="9">
        <f t="shared" si="214"/>
        <v>146282</v>
      </c>
      <c r="V474" s="53">
        <v>109158.78</v>
      </c>
      <c r="W474" s="53">
        <v>37123.22</v>
      </c>
      <c r="X474" s="9">
        <f t="shared" si="211"/>
        <v>0</v>
      </c>
      <c r="Y474" s="9">
        <v>0</v>
      </c>
      <c r="Z474" s="9">
        <v>0</v>
      </c>
      <c r="AA474" s="9">
        <f t="shared" si="212"/>
        <v>18639.620000000003</v>
      </c>
      <c r="AB474" s="9">
        <v>14851.53</v>
      </c>
      <c r="AC474" s="9">
        <v>3788.09</v>
      </c>
      <c r="AD474" s="44">
        <f t="shared" si="209"/>
        <v>931980.95000000007</v>
      </c>
      <c r="AE474" s="10"/>
      <c r="AF474" s="9">
        <f t="shared" si="213"/>
        <v>931980.95000000007</v>
      </c>
      <c r="AG474" s="59" t="s">
        <v>966</v>
      </c>
      <c r="AH474" s="13" t="s">
        <v>1691</v>
      </c>
      <c r="AI474" s="1">
        <f>666492.64+22146.42-19754.94</f>
        <v>668884.12000000011</v>
      </c>
      <c r="AJ474" s="1">
        <f>109685.73+4223.42+13650.28</f>
        <v>127559.43</v>
      </c>
    </row>
    <row r="475" spans="1:36" ht="390" customHeight="1" x14ac:dyDescent="0.25">
      <c r="A475" s="5">
        <f t="shared" si="210"/>
        <v>472</v>
      </c>
      <c r="B475" s="15">
        <v>109897</v>
      </c>
      <c r="C475" s="78">
        <v>159</v>
      </c>
      <c r="D475" s="5" t="s">
        <v>143</v>
      </c>
      <c r="E475" s="17" t="s">
        <v>271</v>
      </c>
      <c r="F475" s="31" t="s">
        <v>1012</v>
      </c>
      <c r="G475" s="5" t="s">
        <v>1013</v>
      </c>
      <c r="H475" s="5" t="s">
        <v>296</v>
      </c>
      <c r="I475" s="41" t="s">
        <v>1604</v>
      </c>
      <c r="J475" s="2">
        <v>43418</v>
      </c>
      <c r="K475" s="2">
        <v>44179</v>
      </c>
      <c r="L475" s="16">
        <f t="shared" si="203"/>
        <v>82.304185631079861</v>
      </c>
      <c r="M475" s="5" t="s">
        <v>273</v>
      </c>
      <c r="N475" s="5" t="s">
        <v>262</v>
      </c>
      <c r="O475" s="5" t="s">
        <v>137</v>
      </c>
      <c r="P475" s="3" t="s">
        <v>275</v>
      </c>
      <c r="Q475" s="5" t="s">
        <v>34</v>
      </c>
      <c r="R475" s="9">
        <f t="shared" si="208"/>
        <v>763718.81</v>
      </c>
      <c r="S475" s="9">
        <v>615872.68000000005</v>
      </c>
      <c r="T475" s="9">
        <v>147846.13</v>
      </c>
      <c r="U475" s="9">
        <f t="shared" si="214"/>
        <v>145644.94</v>
      </c>
      <c r="V475" s="53">
        <v>108683.39</v>
      </c>
      <c r="W475" s="53">
        <v>36961.550000000003</v>
      </c>
      <c r="X475" s="9">
        <f t="shared" si="211"/>
        <v>0</v>
      </c>
      <c r="Y475" s="9">
        <v>0</v>
      </c>
      <c r="Z475" s="9">
        <v>0</v>
      </c>
      <c r="AA475" s="9">
        <f t="shared" si="212"/>
        <v>18558.45</v>
      </c>
      <c r="AB475" s="9">
        <v>14786.89</v>
      </c>
      <c r="AC475" s="9">
        <v>3771.56</v>
      </c>
      <c r="AD475" s="44">
        <f t="shared" si="209"/>
        <v>927922.2</v>
      </c>
      <c r="AE475" s="10"/>
      <c r="AF475" s="9">
        <f t="shared" si="213"/>
        <v>927922.2</v>
      </c>
      <c r="AG475" s="59" t="s">
        <v>966</v>
      </c>
      <c r="AH475" s="13" t="s">
        <v>2020</v>
      </c>
      <c r="AI475" s="1">
        <f>574601.53+25027.07+25599.89+28316.77+19320.08</f>
        <v>672865.34</v>
      </c>
      <c r="AJ475" s="1">
        <f>109579.31+4772.77+4882.03+5400.13+3684.44</f>
        <v>128318.68000000001</v>
      </c>
    </row>
    <row r="476" spans="1:36" ht="141.75" x14ac:dyDescent="0.25">
      <c r="A476" s="5">
        <f t="shared" si="210"/>
        <v>473</v>
      </c>
      <c r="B476" s="15">
        <v>127778</v>
      </c>
      <c r="C476" s="78">
        <v>580</v>
      </c>
      <c r="D476" s="5" t="s">
        <v>143</v>
      </c>
      <c r="E476" s="17" t="s">
        <v>1125</v>
      </c>
      <c r="F476" s="31" t="s">
        <v>1061</v>
      </c>
      <c r="G476" s="3" t="s">
        <v>2132</v>
      </c>
      <c r="H476" s="5" t="s">
        <v>296</v>
      </c>
      <c r="I476" s="41" t="s">
        <v>1062</v>
      </c>
      <c r="J476" s="2">
        <v>43447</v>
      </c>
      <c r="K476" s="2">
        <v>44543</v>
      </c>
      <c r="L476" s="16">
        <f t="shared" si="203"/>
        <v>83.983863103096297</v>
      </c>
      <c r="M476" s="5" t="s">
        <v>273</v>
      </c>
      <c r="N476" s="5" t="s">
        <v>262</v>
      </c>
      <c r="O476" s="5" t="s">
        <v>262</v>
      </c>
      <c r="P476" s="3" t="s">
        <v>138</v>
      </c>
      <c r="Q476" s="5" t="s">
        <v>34</v>
      </c>
      <c r="R476" s="9">
        <f t="shared" si="208"/>
        <v>10837735.809999999</v>
      </c>
      <c r="S476" s="9">
        <v>8739689.6799999997</v>
      </c>
      <c r="T476" s="9">
        <v>2098046.13</v>
      </c>
      <c r="U476" s="9">
        <f t="shared" si="214"/>
        <v>0</v>
      </c>
      <c r="V476" s="53">
        <v>0</v>
      </c>
      <c r="W476" s="53">
        <v>0</v>
      </c>
      <c r="X476" s="9">
        <f t="shared" si="211"/>
        <v>2066809.67</v>
      </c>
      <c r="Y476" s="9">
        <v>1542298.16</v>
      </c>
      <c r="Z476" s="9">
        <v>524511.51</v>
      </c>
      <c r="AA476" s="9">
        <f t="shared" si="212"/>
        <v>0</v>
      </c>
      <c r="AB476" s="9">
        <v>0</v>
      </c>
      <c r="AC476" s="9">
        <v>0</v>
      </c>
      <c r="AD476" s="44">
        <f t="shared" si="209"/>
        <v>12904545.479999999</v>
      </c>
      <c r="AE476" s="10">
        <v>0</v>
      </c>
      <c r="AF476" s="9">
        <f t="shared" si="213"/>
        <v>12904545.479999999</v>
      </c>
      <c r="AG476" s="59" t="s">
        <v>515</v>
      </c>
      <c r="AH476" s="13" t="s">
        <v>296</v>
      </c>
      <c r="AI476" s="1">
        <f>4431509.92+140328.64</f>
        <v>4571838.5599999996</v>
      </c>
      <c r="AJ476" s="1">
        <v>0</v>
      </c>
    </row>
    <row r="477" spans="1:36" ht="173.25" x14ac:dyDescent="0.25">
      <c r="A477" s="5">
        <f t="shared" si="210"/>
        <v>474</v>
      </c>
      <c r="B477" s="15">
        <v>127575</v>
      </c>
      <c r="C477" s="78">
        <v>604</v>
      </c>
      <c r="D477" s="5" t="s">
        <v>143</v>
      </c>
      <c r="E477" s="17" t="s">
        <v>1125</v>
      </c>
      <c r="F477" s="31" t="s">
        <v>1074</v>
      </c>
      <c r="G477" s="5" t="s">
        <v>83</v>
      </c>
      <c r="H477" s="5" t="s">
        <v>296</v>
      </c>
      <c r="I477" s="41" t="s">
        <v>1077</v>
      </c>
      <c r="J477" s="2">
        <v>43448</v>
      </c>
      <c r="K477" s="2">
        <v>44606</v>
      </c>
      <c r="L477" s="16">
        <f t="shared" si="203"/>
        <v>83.983862818828996</v>
      </c>
      <c r="M477" s="5" t="s">
        <v>273</v>
      </c>
      <c r="N477" s="5" t="s">
        <v>262</v>
      </c>
      <c r="O477" s="5" t="s">
        <v>262</v>
      </c>
      <c r="P477" s="3" t="s">
        <v>138</v>
      </c>
      <c r="Q477" s="5" t="s">
        <v>34</v>
      </c>
      <c r="R477" s="9">
        <f t="shared" si="208"/>
        <v>71134346.109999999</v>
      </c>
      <c r="S477" s="9">
        <v>57363652.549999997</v>
      </c>
      <c r="T477" s="9">
        <v>13770693.560000001</v>
      </c>
      <c r="U477" s="9">
        <f t="shared" si="214"/>
        <v>0</v>
      </c>
      <c r="V477" s="53">
        <v>0</v>
      </c>
      <c r="W477" s="53">
        <v>0</v>
      </c>
      <c r="X477" s="9">
        <f t="shared" si="211"/>
        <v>13565670.92</v>
      </c>
      <c r="Y477" s="9">
        <v>10122997.52</v>
      </c>
      <c r="Z477" s="9">
        <v>3442673.4</v>
      </c>
      <c r="AA477" s="9">
        <f t="shared" si="212"/>
        <v>0</v>
      </c>
      <c r="AB477" s="9">
        <v>0</v>
      </c>
      <c r="AC477" s="9">
        <v>0</v>
      </c>
      <c r="AD477" s="44">
        <f t="shared" si="209"/>
        <v>84700017.030000001</v>
      </c>
      <c r="AE477" s="10">
        <v>0</v>
      </c>
      <c r="AF477" s="9">
        <f t="shared" si="213"/>
        <v>84700017.030000001</v>
      </c>
      <c r="AG477" s="59" t="s">
        <v>515</v>
      </c>
      <c r="AH477" s="13" t="s">
        <v>2015</v>
      </c>
      <c r="AI477" s="1">
        <f>64822540.56+76490.69</f>
        <v>64899031.25</v>
      </c>
      <c r="AJ477" s="1">
        <v>0</v>
      </c>
    </row>
    <row r="478" spans="1:36" ht="141.75" x14ac:dyDescent="0.25">
      <c r="A478" s="5">
        <f t="shared" si="210"/>
        <v>475</v>
      </c>
      <c r="B478" s="15">
        <v>116834</v>
      </c>
      <c r="C478" s="15">
        <v>397</v>
      </c>
      <c r="D478" s="5" t="s">
        <v>143</v>
      </c>
      <c r="E478" s="17" t="s">
        <v>385</v>
      </c>
      <c r="F478" s="31" t="s">
        <v>1091</v>
      </c>
      <c r="G478" s="5" t="s">
        <v>2204</v>
      </c>
      <c r="H478" s="5" t="s">
        <v>1092</v>
      </c>
      <c r="I478" s="60" t="s">
        <v>1093</v>
      </c>
      <c r="J478" s="2">
        <v>43462</v>
      </c>
      <c r="K478" s="2">
        <v>44679</v>
      </c>
      <c r="L478" s="16">
        <f t="shared" si="203"/>
        <v>83.410873592183506</v>
      </c>
      <c r="M478" s="5" t="s">
        <v>273</v>
      </c>
      <c r="N478" s="5" t="s">
        <v>262</v>
      </c>
      <c r="O478" s="5" t="s">
        <v>262</v>
      </c>
      <c r="P478" s="3" t="s">
        <v>138</v>
      </c>
      <c r="Q478" s="5" t="s">
        <v>34</v>
      </c>
      <c r="R478" s="9">
        <f t="shared" si="208"/>
        <v>3404514.49</v>
      </c>
      <c r="S478" s="9">
        <v>2745444.31</v>
      </c>
      <c r="T478" s="9">
        <v>659070.18000000005</v>
      </c>
      <c r="U478" s="9">
        <f t="shared" si="214"/>
        <v>218543.18</v>
      </c>
      <c r="V478" s="53">
        <v>163081.66</v>
      </c>
      <c r="W478" s="53">
        <v>55461.51999999999</v>
      </c>
      <c r="X478" s="9">
        <f t="shared" si="211"/>
        <v>458561.83999999997</v>
      </c>
      <c r="Y478" s="9">
        <v>343596.49</v>
      </c>
      <c r="Z478" s="9">
        <v>114965.35</v>
      </c>
      <c r="AA478" s="9">
        <f t="shared" si="212"/>
        <v>0</v>
      </c>
      <c r="AB478" s="9">
        <v>0</v>
      </c>
      <c r="AC478" s="9">
        <v>0</v>
      </c>
      <c r="AD478" s="44">
        <f t="shared" si="209"/>
        <v>4081619.5100000002</v>
      </c>
      <c r="AE478" s="10">
        <v>0</v>
      </c>
      <c r="AF478" s="9">
        <f t="shared" si="213"/>
        <v>4081619.5100000002</v>
      </c>
      <c r="AG478" s="59" t="s">
        <v>515</v>
      </c>
      <c r="AH478" s="13" t="s">
        <v>2078</v>
      </c>
      <c r="AI478" s="1">
        <f>300519.38+28866.82+79839.52</f>
        <v>409225.72000000003</v>
      </c>
      <c r="AJ478" s="1">
        <v>13627.73</v>
      </c>
    </row>
    <row r="479" spans="1:36" ht="204.75" x14ac:dyDescent="0.25">
      <c r="A479" s="5">
        <f t="shared" si="210"/>
        <v>476</v>
      </c>
      <c r="B479" s="15">
        <v>116793</v>
      </c>
      <c r="C479" s="15">
        <v>398</v>
      </c>
      <c r="D479" s="5" t="s">
        <v>143</v>
      </c>
      <c r="E479" s="17" t="s">
        <v>385</v>
      </c>
      <c r="F479" s="31" t="s">
        <v>1094</v>
      </c>
      <c r="G479" s="5" t="s">
        <v>2204</v>
      </c>
      <c r="H479" s="8" t="s">
        <v>2203</v>
      </c>
      <c r="I479" s="60" t="s">
        <v>1095</v>
      </c>
      <c r="J479" s="2">
        <v>43462</v>
      </c>
      <c r="K479" s="2">
        <v>44558</v>
      </c>
      <c r="L479" s="16">
        <f t="shared" si="203"/>
        <v>83.876279331844373</v>
      </c>
      <c r="M479" s="5" t="s">
        <v>273</v>
      </c>
      <c r="N479" s="5" t="s">
        <v>262</v>
      </c>
      <c r="O479" s="5" t="s">
        <v>262</v>
      </c>
      <c r="P479" s="3" t="s">
        <v>138</v>
      </c>
      <c r="Q479" s="5" t="s">
        <v>34</v>
      </c>
      <c r="R479" s="9">
        <f>S479+T479</f>
        <v>2294555.4300000002</v>
      </c>
      <c r="S479" s="9">
        <v>1850358.99</v>
      </c>
      <c r="T479" s="9">
        <v>444196.44</v>
      </c>
      <c r="U479" s="9">
        <f>V479+W479</f>
        <v>121410.03</v>
      </c>
      <c r="V479" s="53">
        <v>89921.42</v>
      </c>
      <c r="W479" s="53">
        <v>31488.610000000008</v>
      </c>
      <c r="X479" s="9">
        <f>Y479+Z479</f>
        <v>319677.38</v>
      </c>
      <c r="Y479" s="9">
        <v>239404.76</v>
      </c>
      <c r="Z479" s="9">
        <v>80272.62</v>
      </c>
      <c r="AA479" s="9">
        <f>AB479+AC479</f>
        <v>0</v>
      </c>
      <c r="AB479" s="9">
        <v>0</v>
      </c>
      <c r="AC479" s="9">
        <v>0</v>
      </c>
      <c r="AD479" s="44">
        <f t="shared" si="209"/>
        <v>2735642.84</v>
      </c>
      <c r="AE479" s="10"/>
      <c r="AF479" s="9">
        <f>AD479+AE479</f>
        <v>2735642.84</v>
      </c>
      <c r="AG479" s="59" t="s">
        <v>515</v>
      </c>
      <c r="AH479" s="13" t="s">
        <v>2205</v>
      </c>
      <c r="AI479" s="1">
        <f>747588.05+119267.92+123350.9+38783.99+46531.38+20689.06+20035.23</f>
        <v>1116246.53</v>
      </c>
      <c r="AJ479" s="1">
        <f>58485.17+21100.17+23112.49+11901.81+748.32</f>
        <v>115347.96</v>
      </c>
    </row>
    <row r="480" spans="1:36" ht="172.5" customHeight="1" x14ac:dyDescent="0.25">
      <c r="A480" s="5">
        <f t="shared" si="210"/>
        <v>477</v>
      </c>
      <c r="B480" s="15">
        <v>127534</v>
      </c>
      <c r="C480" s="15">
        <v>619</v>
      </c>
      <c r="D480" s="5" t="s">
        <v>143</v>
      </c>
      <c r="E480" s="17" t="s">
        <v>1125</v>
      </c>
      <c r="F480" s="31" t="s">
        <v>1108</v>
      </c>
      <c r="G480" s="3" t="s">
        <v>2200</v>
      </c>
      <c r="H480" s="5" t="s">
        <v>362</v>
      </c>
      <c r="I480" s="41" t="s">
        <v>1109</v>
      </c>
      <c r="J480" s="2">
        <v>43490</v>
      </c>
      <c r="K480" s="2">
        <v>44890</v>
      </c>
      <c r="L480" s="16">
        <f t="shared" si="203"/>
        <v>83.983862982309589</v>
      </c>
      <c r="M480" s="5" t="s">
        <v>273</v>
      </c>
      <c r="N480" s="5" t="s">
        <v>262</v>
      </c>
      <c r="O480" s="5" t="s">
        <v>262</v>
      </c>
      <c r="P480" s="3" t="s">
        <v>138</v>
      </c>
      <c r="Q480" s="5" t="s">
        <v>34</v>
      </c>
      <c r="R480" s="9">
        <f t="shared" si="208"/>
        <v>8137225.4000000022</v>
      </c>
      <c r="S480" s="9">
        <v>6561963.3800000027</v>
      </c>
      <c r="T480" s="9">
        <v>1575262.0199999993</v>
      </c>
      <c r="U480" s="9">
        <f t="shared" si="214"/>
        <v>0</v>
      </c>
      <c r="V480" s="53">
        <v>0</v>
      </c>
      <c r="W480" s="53">
        <v>0</v>
      </c>
      <c r="X480" s="9">
        <f t="shared" si="211"/>
        <v>1551809.03</v>
      </c>
      <c r="Y480" s="9">
        <v>1157993.46</v>
      </c>
      <c r="Z480" s="9">
        <v>393815.57</v>
      </c>
      <c r="AA480" s="9">
        <f t="shared" si="212"/>
        <v>0</v>
      </c>
      <c r="AB480" s="9">
        <v>0</v>
      </c>
      <c r="AC480" s="9">
        <v>0</v>
      </c>
      <c r="AD480" s="44">
        <f t="shared" si="209"/>
        <v>9689034.4300000016</v>
      </c>
      <c r="AE480" s="10">
        <v>0</v>
      </c>
      <c r="AF480" s="9">
        <f t="shared" si="213"/>
        <v>9689034.4300000016</v>
      </c>
      <c r="AG480" s="59" t="s">
        <v>515</v>
      </c>
      <c r="AH480" s="13" t="s">
        <v>2201</v>
      </c>
      <c r="AI480" s="1">
        <f>1463301.67+53394.41+40843.87+3495745.94+550641.88</f>
        <v>5603927.7699999996</v>
      </c>
      <c r="AJ480" s="1">
        <v>0</v>
      </c>
    </row>
    <row r="481" spans="1:36" ht="189" x14ac:dyDescent="0.25">
      <c r="A481" s="5">
        <f t="shared" si="210"/>
        <v>478</v>
      </c>
      <c r="B481" s="15">
        <v>111384</v>
      </c>
      <c r="C481" s="15">
        <v>166</v>
      </c>
      <c r="D481" s="5" t="s">
        <v>143</v>
      </c>
      <c r="E481" s="17" t="s">
        <v>271</v>
      </c>
      <c r="F481" s="31" t="s">
        <v>1115</v>
      </c>
      <c r="G481" s="5" t="s">
        <v>1116</v>
      </c>
      <c r="H481" s="5" t="s">
        <v>362</v>
      </c>
      <c r="I481" s="41" t="s">
        <v>1117</v>
      </c>
      <c r="J481" s="2">
        <v>43497</v>
      </c>
      <c r="K481" s="2">
        <v>43983</v>
      </c>
      <c r="L481" s="16">
        <f t="shared" si="203"/>
        <v>82.304190607330156</v>
      </c>
      <c r="M481" s="5" t="s">
        <v>273</v>
      </c>
      <c r="N481" s="5" t="s">
        <v>186</v>
      </c>
      <c r="O481" s="5" t="s">
        <v>186</v>
      </c>
      <c r="P481" s="3" t="s">
        <v>275</v>
      </c>
      <c r="Q481" s="5" t="s">
        <v>34</v>
      </c>
      <c r="R481" s="9">
        <f t="shared" si="208"/>
        <v>765704.55999999994</v>
      </c>
      <c r="S481" s="9">
        <v>617473.98</v>
      </c>
      <c r="T481" s="9">
        <v>148230.57999999999</v>
      </c>
      <c r="U481" s="9">
        <f t="shared" si="214"/>
        <v>146023.57999999999</v>
      </c>
      <c r="V481" s="53">
        <v>108965.98</v>
      </c>
      <c r="W481" s="53">
        <v>37057.599999999999</v>
      </c>
      <c r="X481" s="9">
        <v>0</v>
      </c>
      <c r="Y481" s="9">
        <v>0</v>
      </c>
      <c r="Z481" s="9">
        <v>0</v>
      </c>
      <c r="AA481" s="9">
        <f t="shared" si="212"/>
        <v>18606.7</v>
      </c>
      <c r="AB481" s="9">
        <v>14825.33</v>
      </c>
      <c r="AC481" s="9">
        <v>3781.37</v>
      </c>
      <c r="AD481" s="44">
        <f t="shared" si="209"/>
        <v>930334.83999999985</v>
      </c>
      <c r="AE481" s="10"/>
      <c r="AF481" s="9">
        <f t="shared" si="213"/>
        <v>930334.83999999985</v>
      </c>
      <c r="AG481" s="59" t="s">
        <v>966</v>
      </c>
      <c r="AH481" s="13"/>
      <c r="AI481" s="1">
        <v>407560.11</v>
      </c>
      <c r="AJ481" s="1">
        <v>76478.45</v>
      </c>
    </row>
    <row r="482" spans="1:36" ht="159.75" customHeight="1" x14ac:dyDescent="0.25">
      <c r="A482" s="5">
        <f t="shared" si="210"/>
        <v>479</v>
      </c>
      <c r="B482" s="15">
        <v>118765</v>
      </c>
      <c r="C482" s="78">
        <v>454</v>
      </c>
      <c r="D482" s="134" t="s">
        <v>1988</v>
      </c>
      <c r="E482" s="17" t="s">
        <v>440</v>
      </c>
      <c r="F482" s="31" t="s">
        <v>907</v>
      </c>
      <c r="G482" s="5" t="s">
        <v>908</v>
      </c>
      <c r="H482" s="5" t="s">
        <v>1123</v>
      </c>
      <c r="I482" s="74" t="s">
        <v>909</v>
      </c>
      <c r="J482" s="2">
        <v>43348</v>
      </c>
      <c r="K482" s="2">
        <v>44809</v>
      </c>
      <c r="L482" s="16">
        <f t="shared" si="203"/>
        <v>83.983862678981282</v>
      </c>
      <c r="M482" s="3" t="s">
        <v>136</v>
      </c>
      <c r="N482" s="5" t="s">
        <v>262</v>
      </c>
      <c r="O482" s="5" t="s">
        <v>137</v>
      </c>
      <c r="P482" s="27" t="s">
        <v>138</v>
      </c>
      <c r="Q482" s="3" t="s">
        <v>34</v>
      </c>
      <c r="R482" s="9">
        <f t="shared" si="208"/>
        <v>24915549.649999999</v>
      </c>
      <c r="S482" s="9">
        <v>20092220.059999999</v>
      </c>
      <c r="T482" s="9">
        <v>4823329.59</v>
      </c>
      <c r="U482" s="9">
        <f t="shared" si="214"/>
        <v>0</v>
      </c>
      <c r="V482" s="53"/>
      <c r="W482" s="53"/>
      <c r="X482" s="9">
        <f t="shared" ref="X482:X499" si="215">Y482+Z482</f>
        <v>4751518.3499999996</v>
      </c>
      <c r="Y482" s="9">
        <v>3545685.89</v>
      </c>
      <c r="Z482" s="9">
        <v>1205832.46</v>
      </c>
      <c r="AA482" s="9">
        <f t="shared" si="212"/>
        <v>0</v>
      </c>
      <c r="AB482" s="9">
        <v>0</v>
      </c>
      <c r="AC482" s="9">
        <v>0</v>
      </c>
      <c r="AD482" s="44">
        <f t="shared" si="209"/>
        <v>29667068</v>
      </c>
      <c r="AE482" s="9"/>
      <c r="AF482" s="9">
        <f t="shared" si="213"/>
        <v>29667068</v>
      </c>
      <c r="AG482" s="59" t="s">
        <v>515</v>
      </c>
      <c r="AH482" s="13" t="s">
        <v>1994</v>
      </c>
      <c r="AI482" s="1">
        <f>3855719.79+323646.48+206724.77+676013.29+150344.07+353057.82</f>
        <v>5565506.2200000007</v>
      </c>
      <c r="AJ482" s="1">
        <v>0</v>
      </c>
    </row>
    <row r="483" spans="1:36" ht="161.25" customHeight="1" x14ac:dyDescent="0.25">
      <c r="A483" s="5">
        <f t="shared" si="210"/>
        <v>480</v>
      </c>
      <c r="B483" s="15">
        <v>127403</v>
      </c>
      <c r="C483" s="78">
        <v>579</v>
      </c>
      <c r="D483" s="5" t="s">
        <v>143</v>
      </c>
      <c r="E483" s="17" t="s">
        <v>1125</v>
      </c>
      <c r="F483" s="31" t="s">
        <v>1126</v>
      </c>
      <c r="G483" s="3" t="s">
        <v>1595</v>
      </c>
      <c r="H483" s="5" t="s">
        <v>362</v>
      </c>
      <c r="I483" s="41" t="s">
        <v>1127</v>
      </c>
      <c r="J483" s="2">
        <v>43514</v>
      </c>
      <c r="K483" s="2">
        <v>44610</v>
      </c>
      <c r="L483" s="16">
        <f t="shared" si="203"/>
        <v>83.983863067164137</v>
      </c>
      <c r="M483" s="3" t="s">
        <v>136</v>
      </c>
      <c r="N483" s="5" t="s">
        <v>262</v>
      </c>
      <c r="O483" s="5" t="s">
        <v>262</v>
      </c>
      <c r="P483" s="27" t="s">
        <v>138</v>
      </c>
      <c r="Q483" s="3" t="s">
        <v>34</v>
      </c>
      <c r="R483" s="9">
        <f t="shared" ref="R483:R499" si="216">S483+T483</f>
        <v>5070433.51</v>
      </c>
      <c r="S483" s="9">
        <v>4088862.86</v>
      </c>
      <c r="T483" s="9">
        <v>981570.65</v>
      </c>
      <c r="U483" s="9">
        <f t="shared" si="214"/>
        <v>0</v>
      </c>
      <c r="V483" s="53">
        <v>0</v>
      </c>
      <c r="W483" s="53">
        <v>0</v>
      </c>
      <c r="X483" s="9">
        <f t="shared" si="215"/>
        <v>966956.68</v>
      </c>
      <c r="Y483" s="9">
        <v>721564.03</v>
      </c>
      <c r="Z483" s="9">
        <v>245392.65</v>
      </c>
      <c r="AA483" s="9">
        <f t="shared" si="212"/>
        <v>0</v>
      </c>
      <c r="AB483" s="9">
        <v>0</v>
      </c>
      <c r="AC483" s="9">
        <v>0</v>
      </c>
      <c r="AD483" s="44">
        <f t="shared" si="209"/>
        <v>6037390.1899999995</v>
      </c>
      <c r="AE483" s="10">
        <v>0</v>
      </c>
      <c r="AF483" s="9">
        <f t="shared" si="213"/>
        <v>6037390.1899999995</v>
      </c>
      <c r="AG483" s="59" t="s">
        <v>515</v>
      </c>
      <c r="AH483" s="13" t="s">
        <v>2032</v>
      </c>
      <c r="AI483" s="1">
        <f>24576.2+66456.97+20464.35+37833.89+35353.01+43044.25+57443.28+50103.09</f>
        <v>335275.03999999992</v>
      </c>
      <c r="AJ483" s="1">
        <v>0</v>
      </c>
    </row>
    <row r="484" spans="1:36" ht="141.75" x14ac:dyDescent="0.25">
      <c r="A484" s="5">
        <f t="shared" si="210"/>
        <v>481</v>
      </c>
      <c r="B484" s="15">
        <v>127820</v>
      </c>
      <c r="C484" s="15">
        <v>605</v>
      </c>
      <c r="D484" s="5" t="s">
        <v>143</v>
      </c>
      <c r="E484" s="17" t="s">
        <v>1125</v>
      </c>
      <c r="F484" s="31" t="s">
        <v>1147</v>
      </c>
      <c r="G484" s="62" t="s">
        <v>2095</v>
      </c>
      <c r="H484" s="5" t="s">
        <v>151</v>
      </c>
      <c r="I484" s="41" t="s">
        <v>1148</v>
      </c>
      <c r="J484" s="2">
        <v>43528</v>
      </c>
      <c r="K484" s="2">
        <v>44534</v>
      </c>
      <c r="L484" s="16">
        <f t="shared" si="203"/>
        <v>83.983862738202546</v>
      </c>
      <c r="M484" s="3" t="s">
        <v>136</v>
      </c>
      <c r="N484" s="5" t="s">
        <v>262</v>
      </c>
      <c r="O484" s="5" t="s">
        <v>262</v>
      </c>
      <c r="P484" s="27" t="s">
        <v>138</v>
      </c>
      <c r="Q484" s="3" t="s">
        <v>34</v>
      </c>
      <c r="R484" s="9">
        <f t="shared" si="216"/>
        <v>8804544.8399999999</v>
      </c>
      <c r="S484" s="9">
        <v>7100098.3200000003</v>
      </c>
      <c r="T484" s="9">
        <v>1704446.52</v>
      </c>
      <c r="U484" s="9">
        <f t="shared" si="214"/>
        <v>0</v>
      </c>
      <c r="V484" s="53">
        <v>0</v>
      </c>
      <c r="W484" s="53">
        <v>0</v>
      </c>
      <c r="X484" s="9">
        <f t="shared" si="215"/>
        <v>1679070.17</v>
      </c>
      <c r="Y484" s="9">
        <v>1252958.53</v>
      </c>
      <c r="Z484" s="9">
        <v>426111.64</v>
      </c>
      <c r="AA484" s="9">
        <f t="shared" si="212"/>
        <v>0</v>
      </c>
      <c r="AB484" s="9">
        <v>0</v>
      </c>
      <c r="AC484" s="9">
        <v>0</v>
      </c>
      <c r="AD484" s="44">
        <f t="shared" si="209"/>
        <v>10483615.01</v>
      </c>
      <c r="AE484" s="10">
        <v>0</v>
      </c>
      <c r="AF484" s="9">
        <f t="shared" si="213"/>
        <v>10483615.01</v>
      </c>
      <c r="AG484" s="59" t="s">
        <v>1668</v>
      </c>
      <c r="AH484" s="13" t="s">
        <v>1973</v>
      </c>
      <c r="AI484" s="1">
        <f>142773.41+459978.96+262581.43+430600.38+386148.56+275006+710932.99+402603.59</f>
        <v>3070625.3200000003</v>
      </c>
      <c r="AJ484" s="1">
        <v>0</v>
      </c>
    </row>
    <row r="485" spans="1:36" ht="283.5" customHeight="1" x14ac:dyDescent="0.25">
      <c r="A485" s="5">
        <f t="shared" si="210"/>
        <v>482</v>
      </c>
      <c r="B485" s="15">
        <v>129157</v>
      </c>
      <c r="C485" s="78">
        <v>653</v>
      </c>
      <c r="D485" s="5" t="s">
        <v>143</v>
      </c>
      <c r="E485" s="8" t="s">
        <v>1227</v>
      </c>
      <c r="F485" s="31" t="s">
        <v>1229</v>
      </c>
      <c r="G485" s="5" t="s">
        <v>1596</v>
      </c>
      <c r="H485" s="5" t="s">
        <v>1230</v>
      </c>
      <c r="I485" s="41" t="s">
        <v>1228</v>
      </c>
      <c r="J485" s="2">
        <v>43595</v>
      </c>
      <c r="K485" s="2">
        <v>44145</v>
      </c>
      <c r="L485" s="16">
        <f t="shared" si="203"/>
        <v>83.983862046457801</v>
      </c>
      <c r="M485" s="3" t="s">
        <v>136</v>
      </c>
      <c r="N485" s="5" t="s">
        <v>262</v>
      </c>
      <c r="O485" s="5" t="s">
        <v>262</v>
      </c>
      <c r="P485" s="27" t="s">
        <v>138</v>
      </c>
      <c r="Q485" s="5" t="s">
        <v>34</v>
      </c>
      <c r="R485" s="9">
        <v>5246671.92</v>
      </c>
      <c r="S485" s="9">
        <v>4230983.82</v>
      </c>
      <c r="T485" s="9">
        <v>1015688.1</v>
      </c>
      <c r="U485" s="9">
        <v>397060.76</v>
      </c>
      <c r="V485" s="53">
        <v>293431.24</v>
      </c>
      <c r="W485" s="53">
        <v>103629.52</v>
      </c>
      <c r="X485" s="9">
        <v>603505.53</v>
      </c>
      <c r="Y485" s="9">
        <v>453212.97</v>
      </c>
      <c r="Z485" s="9">
        <v>150292.56</v>
      </c>
      <c r="AA485" s="9">
        <v>0</v>
      </c>
      <c r="AB485" s="9">
        <v>0</v>
      </c>
      <c r="AC485" s="9">
        <v>0</v>
      </c>
      <c r="AD485" s="44">
        <f t="shared" si="209"/>
        <v>6247238.21</v>
      </c>
      <c r="AE485" s="10">
        <v>0</v>
      </c>
      <c r="AF485" s="9">
        <v>6247238.21</v>
      </c>
      <c r="AG485" s="59" t="s">
        <v>966</v>
      </c>
      <c r="AH485" s="13" t="s">
        <v>1937</v>
      </c>
      <c r="AI485" s="1">
        <f>27634.05+1119190.49+181709.16+701126.29+552728.56+77727.08+197693.87</f>
        <v>2857809.5</v>
      </c>
      <c r="AJ485" s="1">
        <f>145846.01+27046.1+84892.7+61886.01+3864.1+5366.64</f>
        <v>328901.56</v>
      </c>
    </row>
    <row r="486" spans="1:36" ht="226.5" customHeight="1" x14ac:dyDescent="0.25">
      <c r="A486" s="5">
        <f t="shared" si="210"/>
        <v>483</v>
      </c>
      <c r="B486" s="15">
        <v>127557</v>
      </c>
      <c r="C486" s="78">
        <v>592</v>
      </c>
      <c r="D486" s="5" t="s">
        <v>143</v>
      </c>
      <c r="E486" s="17" t="s">
        <v>1125</v>
      </c>
      <c r="F486" s="31" t="s">
        <v>2177</v>
      </c>
      <c r="G486" s="5" t="s">
        <v>2158</v>
      </c>
      <c r="H486" s="5" t="s">
        <v>1236</v>
      </c>
      <c r="I486" s="41" t="s">
        <v>2123</v>
      </c>
      <c r="J486" s="2">
        <v>43601</v>
      </c>
      <c r="K486" s="2">
        <v>44789</v>
      </c>
      <c r="L486" s="16">
        <f t="shared" si="203"/>
        <v>83.983862903167676</v>
      </c>
      <c r="M486" s="3" t="s">
        <v>136</v>
      </c>
      <c r="N486" s="5" t="s">
        <v>262</v>
      </c>
      <c r="O486" s="5" t="s">
        <v>262</v>
      </c>
      <c r="P486" s="27" t="s">
        <v>138</v>
      </c>
      <c r="Q486" s="5" t="s">
        <v>34</v>
      </c>
      <c r="R486" s="9">
        <f t="shared" si="216"/>
        <v>21869408.23</v>
      </c>
      <c r="S486" s="9">
        <v>17635772.330000002</v>
      </c>
      <c r="T486" s="9">
        <v>4233635.8999999985</v>
      </c>
      <c r="U486" s="9">
        <f t="shared" si="214"/>
        <v>2835302.42</v>
      </c>
      <c r="V486" s="53">
        <v>2095312.3499999999</v>
      </c>
      <c r="W486" s="53">
        <v>739990.07000000018</v>
      </c>
      <c r="X486" s="9">
        <f t="shared" si="215"/>
        <v>1335301.6499999999</v>
      </c>
      <c r="Y486" s="9">
        <v>1016882.79</v>
      </c>
      <c r="Z486" s="9">
        <v>318418.86</v>
      </c>
      <c r="AA486" s="9">
        <f t="shared" si="212"/>
        <v>0</v>
      </c>
      <c r="AB486" s="9">
        <v>0</v>
      </c>
      <c r="AC486" s="9">
        <v>0</v>
      </c>
      <c r="AD486" s="44">
        <f t="shared" si="209"/>
        <v>26040012.299999997</v>
      </c>
      <c r="AE486" s="10">
        <v>0</v>
      </c>
      <c r="AF486" s="9">
        <f t="shared" si="213"/>
        <v>26040012.299999997</v>
      </c>
      <c r="AG486" s="59" t="s">
        <v>515</v>
      </c>
      <c r="AH486" s="13" t="s">
        <v>2124</v>
      </c>
      <c r="AI486" s="1">
        <f>2000000-199893.91+842707.08+2000000-206973.2+1447144.25+1042685.44-170393.68+1315690.57+1512447.46</f>
        <v>9583414.0100000016</v>
      </c>
      <c r="AJ486" s="1">
        <f>213844.09+224889.04+206973.2+174014.68+188172.46+250323.39</f>
        <v>1258216.8599999999</v>
      </c>
    </row>
    <row r="487" spans="1:36" ht="239.25" customHeight="1" x14ac:dyDescent="0.25">
      <c r="A487" s="5">
        <f t="shared" si="210"/>
        <v>484</v>
      </c>
      <c r="B487" s="204">
        <v>127562</v>
      </c>
      <c r="C487" s="205">
        <v>606</v>
      </c>
      <c r="D487" s="206" t="s">
        <v>143</v>
      </c>
      <c r="E487" s="207" t="s">
        <v>1125</v>
      </c>
      <c r="F487" s="208" t="s">
        <v>1249</v>
      </c>
      <c r="G487" s="3" t="s">
        <v>2098</v>
      </c>
      <c r="H487" s="206" t="s">
        <v>1250</v>
      </c>
      <c r="I487" s="209" t="s">
        <v>1251</v>
      </c>
      <c r="J487" s="210">
        <v>43608</v>
      </c>
      <c r="K487" s="210">
        <v>44704</v>
      </c>
      <c r="L487" s="16">
        <f t="shared" si="203"/>
        <v>83.983863082660832</v>
      </c>
      <c r="M487" s="211" t="s">
        <v>136</v>
      </c>
      <c r="N487" s="206" t="s">
        <v>262</v>
      </c>
      <c r="O487" s="206" t="s">
        <v>137</v>
      </c>
      <c r="P487" s="212" t="s">
        <v>138</v>
      </c>
      <c r="Q487" s="206" t="s">
        <v>34</v>
      </c>
      <c r="R487" s="143">
        <f t="shared" si="216"/>
        <v>8877559.8000000007</v>
      </c>
      <c r="S487" s="143">
        <v>7158978.54</v>
      </c>
      <c r="T487" s="143">
        <v>1718581.26</v>
      </c>
      <c r="U487" s="143">
        <f t="shared" si="214"/>
        <v>156211.65000000002</v>
      </c>
      <c r="V487" s="83">
        <v>115441.71</v>
      </c>
      <c r="W487" s="83">
        <v>40769.94</v>
      </c>
      <c r="X487" s="143">
        <f t="shared" si="215"/>
        <v>1536782.79</v>
      </c>
      <c r="Y487" s="143">
        <v>1147907.3999999999</v>
      </c>
      <c r="Z487" s="143">
        <v>388875.39</v>
      </c>
      <c r="AA487" s="143">
        <f t="shared" si="212"/>
        <v>0</v>
      </c>
      <c r="AB487" s="143">
        <v>0</v>
      </c>
      <c r="AC487" s="143">
        <v>0</v>
      </c>
      <c r="AD487" s="44">
        <f t="shared" si="209"/>
        <v>10570554.240000002</v>
      </c>
      <c r="AE487" s="213">
        <v>0</v>
      </c>
      <c r="AF487" s="143">
        <f t="shared" si="213"/>
        <v>10570554.240000002</v>
      </c>
      <c r="AG487" s="59" t="s">
        <v>515</v>
      </c>
      <c r="AH487" s="214" t="s">
        <v>2155</v>
      </c>
      <c r="AI487" s="155">
        <f>100000+43931.12+109486.41+2111676.42+175527.94+180671.57+100000+68073.24+1333861.53+2004317.29+18100.2+20914.5+18483.6</f>
        <v>6285043.8199999994</v>
      </c>
      <c r="AJ487" s="155">
        <f>12721.6+24511.71+28611.12+19252.57+19773.82</f>
        <v>104870.82</v>
      </c>
    </row>
    <row r="488" spans="1:36" ht="315.75" customHeight="1" x14ac:dyDescent="0.25">
      <c r="A488" s="5">
        <f t="shared" si="210"/>
        <v>485</v>
      </c>
      <c r="B488" s="5">
        <v>116178</v>
      </c>
      <c r="C488" s="6">
        <v>403</v>
      </c>
      <c r="D488" s="5" t="s">
        <v>143</v>
      </c>
      <c r="E488" s="17" t="s">
        <v>385</v>
      </c>
      <c r="F488" s="3" t="s">
        <v>1312</v>
      </c>
      <c r="G488" s="5" t="s">
        <v>55</v>
      </c>
      <c r="H488" s="5" t="s">
        <v>362</v>
      </c>
      <c r="I488" s="41" t="s">
        <v>1322</v>
      </c>
      <c r="J488" s="2">
        <v>43640</v>
      </c>
      <c r="K488" s="2">
        <v>44554</v>
      </c>
      <c r="L488" s="16">
        <f t="shared" si="203"/>
        <v>83.983862989767033</v>
      </c>
      <c r="M488" s="3" t="s">
        <v>136</v>
      </c>
      <c r="N488" s="5" t="s">
        <v>262</v>
      </c>
      <c r="O488" s="5" t="s">
        <v>137</v>
      </c>
      <c r="P488" s="27" t="s">
        <v>138</v>
      </c>
      <c r="Q488" s="5" t="s">
        <v>34</v>
      </c>
      <c r="R488" s="9">
        <f t="shared" si="216"/>
        <v>2394035.5999999996</v>
      </c>
      <c r="S488" s="9">
        <v>1930581.13</v>
      </c>
      <c r="T488" s="9">
        <v>463454.47</v>
      </c>
      <c r="U488" s="9">
        <f t="shared" si="214"/>
        <v>0</v>
      </c>
      <c r="V488" s="53">
        <v>0</v>
      </c>
      <c r="W488" s="53">
        <v>0</v>
      </c>
      <c r="X488" s="9">
        <f t="shared" si="215"/>
        <v>456554.4</v>
      </c>
      <c r="Y488" s="9">
        <v>340690.78</v>
      </c>
      <c r="Z488" s="9">
        <v>115863.62</v>
      </c>
      <c r="AA488" s="9"/>
      <c r="AB488" s="9">
        <v>0</v>
      </c>
      <c r="AC488" s="9">
        <v>0</v>
      </c>
      <c r="AD488" s="44">
        <f t="shared" si="209"/>
        <v>2850589.9999999995</v>
      </c>
      <c r="AE488" s="10">
        <v>0</v>
      </c>
      <c r="AF488" s="9">
        <f t="shared" si="213"/>
        <v>2850589.9999999995</v>
      </c>
      <c r="AG488" s="59" t="s">
        <v>515</v>
      </c>
      <c r="AH488" s="13"/>
      <c r="AI488" s="1">
        <v>0</v>
      </c>
      <c r="AJ488" s="1">
        <v>0</v>
      </c>
    </row>
    <row r="489" spans="1:36" ht="315.75" customHeight="1" x14ac:dyDescent="0.25">
      <c r="A489" s="5">
        <f t="shared" si="210"/>
        <v>486</v>
      </c>
      <c r="B489" s="5">
        <v>126949</v>
      </c>
      <c r="C489" s="6">
        <v>625</v>
      </c>
      <c r="D489" s="5" t="s">
        <v>144</v>
      </c>
      <c r="E489" s="17" t="s">
        <v>1349</v>
      </c>
      <c r="F489" s="3" t="s">
        <v>1350</v>
      </c>
      <c r="G489" s="5" t="s">
        <v>104</v>
      </c>
      <c r="H489" s="5" t="s">
        <v>1610</v>
      </c>
      <c r="I489" s="8" t="s">
        <v>1352</v>
      </c>
      <c r="J489" s="2">
        <v>43656</v>
      </c>
      <c r="K489" s="2">
        <v>44752</v>
      </c>
      <c r="L489" s="16">
        <f t="shared" si="203"/>
        <v>83.983862834061995</v>
      </c>
      <c r="M489" s="3" t="s">
        <v>136</v>
      </c>
      <c r="N489" s="5" t="s">
        <v>262</v>
      </c>
      <c r="O489" s="5" t="s">
        <v>137</v>
      </c>
      <c r="P489" s="27" t="s">
        <v>138</v>
      </c>
      <c r="Q489" s="5" t="s">
        <v>34</v>
      </c>
      <c r="R489" s="9">
        <f t="shared" si="216"/>
        <v>100657897.89000002</v>
      </c>
      <c r="S489" s="9">
        <v>81171824.820000008</v>
      </c>
      <c r="T489" s="9">
        <v>19486073.070000004</v>
      </c>
      <c r="U489" s="9">
        <f t="shared" si="214"/>
        <v>3857997.5300000003</v>
      </c>
      <c r="V489" s="53">
        <v>2851092.66</v>
      </c>
      <c r="W489" s="53">
        <v>1006904.87</v>
      </c>
      <c r="X489" s="9">
        <f t="shared" si="215"/>
        <v>15337960.42</v>
      </c>
      <c r="Y489" s="9">
        <v>11473347.01</v>
      </c>
      <c r="Z489" s="9">
        <v>3864613.41</v>
      </c>
      <c r="AA489" s="9">
        <f t="shared" ref="AA489:AA499" si="217">AB489+AC489</f>
        <v>0</v>
      </c>
      <c r="AB489" s="9">
        <v>0</v>
      </c>
      <c r="AC489" s="9">
        <v>0</v>
      </c>
      <c r="AD489" s="44">
        <f t="shared" si="209"/>
        <v>119853855.84000002</v>
      </c>
      <c r="AE489" s="10">
        <v>93474.39</v>
      </c>
      <c r="AF489" s="9">
        <f t="shared" si="213"/>
        <v>119947330.23000002</v>
      </c>
      <c r="AG489" s="59" t="s">
        <v>515</v>
      </c>
      <c r="AH489" s="13" t="s">
        <v>1996</v>
      </c>
      <c r="AI489" s="1">
        <f>6062646.43+1213960.56</f>
        <v>7276606.9900000002</v>
      </c>
      <c r="AJ489" s="1">
        <f>1813.69+1983.14</f>
        <v>3796.83</v>
      </c>
    </row>
    <row r="490" spans="1:36" ht="141.75" x14ac:dyDescent="0.25">
      <c r="A490" s="5">
        <f t="shared" si="210"/>
        <v>487</v>
      </c>
      <c r="B490" s="5">
        <v>127610</v>
      </c>
      <c r="C490" s="6">
        <v>583</v>
      </c>
      <c r="D490" s="5" t="s">
        <v>143</v>
      </c>
      <c r="E490" s="17" t="s">
        <v>1125</v>
      </c>
      <c r="F490" s="3" t="s">
        <v>1360</v>
      </c>
      <c r="G490" s="5" t="s">
        <v>1361</v>
      </c>
      <c r="H490" s="3" t="s">
        <v>1594</v>
      </c>
      <c r="I490" s="8" t="s">
        <v>1362</v>
      </c>
      <c r="J490" s="2">
        <v>43658</v>
      </c>
      <c r="K490" s="2">
        <v>44693</v>
      </c>
      <c r="L490" s="16">
        <f t="shared" si="203"/>
        <v>83.983862677162776</v>
      </c>
      <c r="M490" s="3" t="s">
        <v>136</v>
      </c>
      <c r="N490" s="5" t="s">
        <v>262</v>
      </c>
      <c r="O490" s="5" t="s">
        <v>137</v>
      </c>
      <c r="P490" s="27" t="s">
        <v>138</v>
      </c>
      <c r="Q490" s="5" t="s">
        <v>34</v>
      </c>
      <c r="R490" s="9">
        <f t="shared" si="216"/>
        <v>7876805.3200000012</v>
      </c>
      <c r="S490" s="9">
        <v>6351957.2000000011</v>
      </c>
      <c r="T490" s="9">
        <v>1524848.1199999999</v>
      </c>
      <c r="U490" s="9">
        <f t="shared" si="214"/>
        <v>1304201.5399999998</v>
      </c>
      <c r="V490" s="53">
        <v>963815.91999999993</v>
      </c>
      <c r="W490" s="53">
        <v>340385.61999999994</v>
      </c>
      <c r="X490" s="9">
        <f t="shared" si="215"/>
        <v>197944.13</v>
      </c>
      <c r="Y490" s="9">
        <v>157117.74451054723</v>
      </c>
      <c r="Z490" s="9">
        <v>40826.385489452769</v>
      </c>
      <c r="AA490" s="9">
        <f t="shared" si="217"/>
        <v>0</v>
      </c>
      <c r="AB490" s="9">
        <v>0</v>
      </c>
      <c r="AC490" s="9">
        <v>0</v>
      </c>
      <c r="AD490" s="44">
        <f t="shared" si="209"/>
        <v>9378950.9900000021</v>
      </c>
      <c r="AE490" s="10">
        <v>0</v>
      </c>
      <c r="AF490" s="9">
        <f t="shared" si="213"/>
        <v>9378950.9900000021</v>
      </c>
      <c r="AG490" s="59" t="s">
        <v>515</v>
      </c>
      <c r="AH490" s="13" t="s">
        <v>2157</v>
      </c>
      <c r="AI490" s="1">
        <f>393577.05+357286.8+354740.03+553936.93+315710.18+383572.03</f>
        <v>2358823.02</v>
      </c>
      <c r="AJ490" s="1">
        <f>65684.38+59627.88+57903.71+90282.23+52034.76+61939.89</f>
        <v>387472.85000000003</v>
      </c>
    </row>
    <row r="491" spans="1:36" ht="204.75" x14ac:dyDescent="0.25">
      <c r="A491" s="5">
        <f t="shared" si="210"/>
        <v>488</v>
      </c>
      <c r="B491" s="5">
        <v>127961</v>
      </c>
      <c r="C491" s="6">
        <v>609</v>
      </c>
      <c r="D491" s="5" t="s">
        <v>143</v>
      </c>
      <c r="E491" s="17" t="s">
        <v>1125</v>
      </c>
      <c r="F491" s="3" t="s">
        <v>1363</v>
      </c>
      <c r="G491" s="5" t="s">
        <v>117</v>
      </c>
      <c r="H491" s="5" t="s">
        <v>1364</v>
      </c>
      <c r="I491" s="8" t="s">
        <v>1365</v>
      </c>
      <c r="J491" s="2">
        <v>43662</v>
      </c>
      <c r="K491" s="2">
        <v>44516</v>
      </c>
      <c r="L491" s="16">
        <f t="shared" si="203"/>
        <v>83.659541986998903</v>
      </c>
      <c r="M491" s="3" t="s">
        <v>136</v>
      </c>
      <c r="N491" s="5" t="s">
        <v>262</v>
      </c>
      <c r="O491" s="5" t="s">
        <v>137</v>
      </c>
      <c r="P491" s="27" t="s">
        <v>138</v>
      </c>
      <c r="Q491" s="5" t="s">
        <v>34</v>
      </c>
      <c r="R491" s="9">
        <f t="shared" si="216"/>
        <v>19839980.350000005</v>
      </c>
      <c r="S491" s="9">
        <v>15999215.590000005</v>
      </c>
      <c r="T491" s="9">
        <v>3840764.76</v>
      </c>
      <c r="U491" s="9">
        <f t="shared" si="214"/>
        <v>1684738.4299999997</v>
      </c>
      <c r="V491" s="53">
        <v>1250220.1999999997</v>
      </c>
      <c r="W491" s="53">
        <v>434518.22999999986</v>
      </c>
      <c r="X491" s="9">
        <f t="shared" si="215"/>
        <v>2098843.62</v>
      </c>
      <c r="Y491" s="9">
        <v>1573170.69</v>
      </c>
      <c r="Z491" s="9">
        <v>525672.93000000005</v>
      </c>
      <c r="AA491" s="9">
        <f t="shared" si="217"/>
        <v>91581</v>
      </c>
      <c r="AB491" s="9">
        <v>72969.23</v>
      </c>
      <c r="AC491" s="9">
        <v>18611.77</v>
      </c>
      <c r="AD491" s="44">
        <f t="shared" si="209"/>
        <v>23715143.400000006</v>
      </c>
      <c r="AE491" s="10">
        <v>144456</v>
      </c>
      <c r="AF491" s="9">
        <f t="shared" si="213"/>
        <v>23859599.400000006</v>
      </c>
      <c r="AG491" s="59" t="s">
        <v>515</v>
      </c>
      <c r="AH491" s="13" t="s">
        <v>2141</v>
      </c>
      <c r="AI491" s="1">
        <f>3893336.98+600000+670747.21+1225083.24+1175586.01+1095417.62</f>
        <v>8660171.0600000005</v>
      </c>
      <c r="AJ491" s="1">
        <f>600505.24+218404.22+200005.37+195152.46+66047.42</f>
        <v>1280114.71</v>
      </c>
    </row>
    <row r="492" spans="1:36" ht="141.75" x14ac:dyDescent="0.25">
      <c r="A492" s="5">
        <f t="shared" si="210"/>
        <v>489</v>
      </c>
      <c r="B492" s="5">
        <v>129745</v>
      </c>
      <c r="C492" s="6">
        <v>745</v>
      </c>
      <c r="D492" s="5" t="s">
        <v>146</v>
      </c>
      <c r="E492" s="17" t="s">
        <v>1369</v>
      </c>
      <c r="F492" s="3" t="s">
        <v>1371</v>
      </c>
      <c r="G492" s="5" t="s">
        <v>1370</v>
      </c>
      <c r="H492" s="5" t="s">
        <v>151</v>
      </c>
      <c r="I492" s="8" t="s">
        <v>1372</v>
      </c>
      <c r="J492" s="2">
        <v>43663</v>
      </c>
      <c r="K492" s="2">
        <v>44759</v>
      </c>
      <c r="L492" s="16">
        <f t="shared" si="203"/>
        <v>83.983862972999745</v>
      </c>
      <c r="M492" s="3" t="s">
        <v>136</v>
      </c>
      <c r="N492" s="5" t="s">
        <v>262</v>
      </c>
      <c r="O492" s="5" t="s">
        <v>137</v>
      </c>
      <c r="P492" s="27" t="s">
        <v>138</v>
      </c>
      <c r="Q492" s="5" t="s">
        <v>34</v>
      </c>
      <c r="R492" s="9">
        <f t="shared" si="216"/>
        <v>20432953.949999996</v>
      </c>
      <c r="S492" s="9">
        <v>16477397.119999995</v>
      </c>
      <c r="T492" s="9">
        <v>3955556.83</v>
      </c>
      <c r="U492" s="9">
        <f t="shared" si="214"/>
        <v>0</v>
      </c>
      <c r="V492" s="53">
        <v>0</v>
      </c>
      <c r="W492" s="53">
        <v>0</v>
      </c>
      <c r="X492" s="9">
        <f t="shared" si="215"/>
        <v>3896665.1300000004</v>
      </c>
      <c r="Y492" s="9">
        <v>2907775.95</v>
      </c>
      <c r="Z492" s="9">
        <v>988889.18</v>
      </c>
      <c r="AA492" s="9">
        <f t="shared" si="217"/>
        <v>0</v>
      </c>
      <c r="AB492" s="9">
        <v>0</v>
      </c>
      <c r="AC492" s="9">
        <v>0</v>
      </c>
      <c r="AD492" s="44">
        <f t="shared" si="209"/>
        <v>24329619.079999994</v>
      </c>
      <c r="AE492" s="10">
        <v>1520052.49</v>
      </c>
      <c r="AF492" s="9">
        <f t="shared" si="213"/>
        <v>25849671.569999993</v>
      </c>
      <c r="AG492" s="59" t="s">
        <v>515</v>
      </c>
      <c r="AH492" s="13" t="s">
        <v>1646</v>
      </c>
      <c r="AI492" s="1">
        <f>199741.38+44946.79+2168542.7+2942194.64</f>
        <v>5355425.51</v>
      </c>
      <c r="AJ492" s="1">
        <v>0</v>
      </c>
    </row>
    <row r="493" spans="1:36" ht="141.75" x14ac:dyDescent="0.25">
      <c r="A493" s="5">
        <f t="shared" si="210"/>
        <v>490</v>
      </c>
      <c r="B493" s="5">
        <v>127604</v>
      </c>
      <c r="C493" s="6">
        <v>587</v>
      </c>
      <c r="D493" s="5" t="s">
        <v>1373</v>
      </c>
      <c r="E493" s="18" t="s">
        <v>1125</v>
      </c>
      <c r="F493" s="3" t="s">
        <v>1374</v>
      </c>
      <c r="G493" s="5" t="s">
        <v>1375</v>
      </c>
      <c r="H493" s="5" t="s">
        <v>151</v>
      </c>
      <c r="I493" s="8" t="s">
        <v>1438</v>
      </c>
      <c r="J493" s="2">
        <v>43663</v>
      </c>
      <c r="K493" s="2">
        <v>44821</v>
      </c>
      <c r="L493" s="16">
        <f t="shared" si="203"/>
        <v>83.983863106129363</v>
      </c>
      <c r="M493" s="3" t="s">
        <v>136</v>
      </c>
      <c r="N493" s="5" t="s">
        <v>262</v>
      </c>
      <c r="O493" s="5" t="s">
        <v>137</v>
      </c>
      <c r="P493" s="27" t="s">
        <v>138</v>
      </c>
      <c r="Q493" s="5" t="s">
        <v>34</v>
      </c>
      <c r="R493" s="9">
        <f t="shared" si="216"/>
        <v>8930595.7800000012</v>
      </c>
      <c r="S493" s="9">
        <v>7201747.4500000011</v>
      </c>
      <c r="T493" s="9">
        <v>1728848.33</v>
      </c>
      <c r="U493" s="9">
        <f t="shared" si="214"/>
        <v>1490434.5599999998</v>
      </c>
      <c r="V493" s="53">
        <v>1101443.6199999999</v>
      </c>
      <c r="W493" s="53">
        <v>388990.93999999994</v>
      </c>
      <c r="X493" s="9">
        <f t="shared" si="215"/>
        <v>212674.1</v>
      </c>
      <c r="Y493" s="9">
        <v>169452.92</v>
      </c>
      <c r="Z493" s="9">
        <v>43221.18</v>
      </c>
      <c r="AA493" s="9">
        <f t="shared" si="217"/>
        <v>0</v>
      </c>
      <c r="AB493" s="9">
        <v>0</v>
      </c>
      <c r="AC493" s="9">
        <v>0</v>
      </c>
      <c r="AD493" s="44">
        <f t="shared" si="209"/>
        <v>10633704.440000001</v>
      </c>
      <c r="AE493" s="10">
        <v>0</v>
      </c>
      <c r="AF493" s="9">
        <f t="shared" si="213"/>
        <v>10633704.440000001</v>
      </c>
      <c r="AG493" s="59" t="s">
        <v>515</v>
      </c>
      <c r="AH493" s="13" t="s">
        <v>2165</v>
      </c>
      <c r="AI493" s="1">
        <f>729184.89+95917.97+120762.01+115641.58+1026419.93</f>
        <v>2087926.38</v>
      </c>
      <c r="AJ493" s="1">
        <f>121694.28+16007.83+20154.08+19299.52+171300.07</f>
        <v>348455.78</v>
      </c>
    </row>
    <row r="494" spans="1:36" ht="141.75" x14ac:dyDescent="0.25">
      <c r="A494" s="5">
        <f t="shared" si="210"/>
        <v>491</v>
      </c>
      <c r="B494" s="5">
        <v>127638</v>
      </c>
      <c r="C494" s="6">
        <v>607</v>
      </c>
      <c r="D494" s="5" t="s">
        <v>1373</v>
      </c>
      <c r="E494" s="18" t="s">
        <v>1125</v>
      </c>
      <c r="F494" s="3" t="s">
        <v>1380</v>
      </c>
      <c r="G494" s="3" t="s">
        <v>1589</v>
      </c>
      <c r="H494" s="5" t="s">
        <v>1439</v>
      </c>
      <c r="I494" s="8" t="s">
        <v>1385</v>
      </c>
      <c r="J494" s="2">
        <v>43670</v>
      </c>
      <c r="K494" s="2">
        <v>44766</v>
      </c>
      <c r="L494" s="16">
        <f t="shared" ref="L494:L546" si="218">R494/AD494*100</f>
        <v>83.983862864065983</v>
      </c>
      <c r="M494" s="3" t="s">
        <v>136</v>
      </c>
      <c r="N494" s="5" t="s">
        <v>262</v>
      </c>
      <c r="O494" s="5" t="s">
        <v>137</v>
      </c>
      <c r="P494" s="27" t="s">
        <v>138</v>
      </c>
      <c r="Q494" s="5" t="s">
        <v>34</v>
      </c>
      <c r="R494" s="9">
        <f t="shared" si="216"/>
        <v>17926249.02</v>
      </c>
      <c r="S494" s="9">
        <v>14455958</v>
      </c>
      <c r="T494" s="9">
        <v>3470291.02</v>
      </c>
      <c r="U494" s="9">
        <f t="shared" si="214"/>
        <v>1799975.77</v>
      </c>
      <c r="V494" s="53">
        <v>1330197.26</v>
      </c>
      <c r="W494" s="53">
        <v>469778.51</v>
      </c>
      <c r="X494" s="9">
        <f t="shared" si="215"/>
        <v>1618648.39</v>
      </c>
      <c r="Y494" s="9">
        <v>1220854.1599999999</v>
      </c>
      <c r="Z494" s="9">
        <v>397794.23</v>
      </c>
      <c r="AA494" s="9">
        <f t="shared" si="217"/>
        <v>0</v>
      </c>
      <c r="AB494" s="9">
        <v>0</v>
      </c>
      <c r="AC494" s="9">
        <v>0</v>
      </c>
      <c r="AD494" s="44">
        <f t="shared" si="209"/>
        <v>21344873.18</v>
      </c>
      <c r="AE494" s="10">
        <v>0</v>
      </c>
      <c r="AF494" s="9">
        <f t="shared" ref="AF494:AF499" si="219">AD494+AE494</f>
        <v>21344873.18</v>
      </c>
      <c r="AG494" s="59" t="s">
        <v>515</v>
      </c>
      <c r="AH494" s="13" t="s">
        <v>151</v>
      </c>
      <c r="AI494" s="1">
        <f>1253535.02+958175.23+986010.03+1413603.49+1541889.98+1203331.37</f>
        <v>7356545.1200000001</v>
      </c>
      <c r="AJ494" s="1">
        <f>16365.18+65426.77+64307.58+61461.32+88364.69+105947.71+83736.75</f>
        <v>485610.00000000006</v>
      </c>
    </row>
    <row r="495" spans="1:36" ht="154.5" customHeight="1" x14ac:dyDescent="0.25">
      <c r="A495" s="5">
        <f t="shared" si="210"/>
        <v>492</v>
      </c>
      <c r="B495" s="5">
        <v>126229</v>
      </c>
      <c r="C495" s="6">
        <v>639</v>
      </c>
      <c r="D495" s="5" t="s">
        <v>145</v>
      </c>
      <c r="E495" s="18" t="s">
        <v>1381</v>
      </c>
      <c r="F495" s="3" t="s">
        <v>1382</v>
      </c>
      <c r="G495" s="5" t="s">
        <v>99</v>
      </c>
      <c r="H495" s="5" t="s">
        <v>1383</v>
      </c>
      <c r="I495" s="8" t="s">
        <v>1384</v>
      </c>
      <c r="J495" s="2">
        <v>43670</v>
      </c>
      <c r="K495" s="2">
        <v>44766</v>
      </c>
      <c r="L495" s="16">
        <f t="shared" si="218"/>
        <v>83.98386251323501</v>
      </c>
      <c r="M495" s="3" t="s">
        <v>136</v>
      </c>
      <c r="N495" s="5" t="s">
        <v>262</v>
      </c>
      <c r="O495" s="5" t="s">
        <v>137</v>
      </c>
      <c r="P495" s="27" t="s">
        <v>138</v>
      </c>
      <c r="Q495" s="5" t="s">
        <v>34</v>
      </c>
      <c r="R495" s="9">
        <f t="shared" si="216"/>
        <v>4825816.88</v>
      </c>
      <c r="S495" s="9">
        <v>3891600.89</v>
      </c>
      <c r="T495" s="9">
        <v>934215.99</v>
      </c>
      <c r="U495" s="9">
        <f t="shared" si="214"/>
        <v>0</v>
      </c>
      <c r="V495" s="53">
        <v>0</v>
      </c>
      <c r="W495" s="53">
        <v>0</v>
      </c>
      <c r="X495" s="9">
        <f t="shared" si="215"/>
        <v>920307.12</v>
      </c>
      <c r="Y495" s="9">
        <v>686753.08</v>
      </c>
      <c r="Z495" s="9">
        <v>233554.04</v>
      </c>
      <c r="AA495" s="9">
        <f t="shared" si="217"/>
        <v>0</v>
      </c>
      <c r="AB495" s="9">
        <v>0</v>
      </c>
      <c r="AC495" s="9">
        <v>0</v>
      </c>
      <c r="AD495" s="44">
        <f t="shared" si="209"/>
        <v>5746124</v>
      </c>
      <c r="AE495" s="10">
        <v>0</v>
      </c>
      <c r="AF495" s="10">
        <f t="shared" si="219"/>
        <v>5746124</v>
      </c>
      <c r="AG495" s="59" t="s">
        <v>515</v>
      </c>
      <c r="AH495" s="13" t="s">
        <v>2188</v>
      </c>
      <c r="AI495" s="215">
        <f>145280.83+37694.12+28968.97+15635.27+94474.87+29236.46</f>
        <v>351290.51999999996</v>
      </c>
      <c r="AJ495" s="215">
        <v>0</v>
      </c>
    </row>
    <row r="496" spans="1:36" ht="154.5" customHeight="1" x14ac:dyDescent="0.25">
      <c r="A496" s="5">
        <f t="shared" si="210"/>
        <v>493</v>
      </c>
      <c r="B496" s="5">
        <v>127545</v>
      </c>
      <c r="C496" s="6">
        <v>613</v>
      </c>
      <c r="D496" s="6" t="s">
        <v>143</v>
      </c>
      <c r="E496" s="18" t="s">
        <v>1125</v>
      </c>
      <c r="F496" s="3" t="s">
        <v>1395</v>
      </c>
      <c r="G496" s="3" t="s">
        <v>74</v>
      </c>
      <c r="H496" s="5" t="s">
        <v>1396</v>
      </c>
      <c r="I496" s="8" t="s">
        <v>1397</v>
      </c>
      <c r="J496" s="2">
        <v>43677</v>
      </c>
      <c r="K496" s="2">
        <v>44773</v>
      </c>
      <c r="L496" s="16">
        <f t="shared" si="218"/>
        <v>83.484031375794231</v>
      </c>
      <c r="M496" s="3" t="s">
        <v>136</v>
      </c>
      <c r="N496" s="5" t="s">
        <v>262</v>
      </c>
      <c r="O496" s="5" t="s">
        <v>137</v>
      </c>
      <c r="P496" s="27" t="s">
        <v>138</v>
      </c>
      <c r="Q496" s="5" t="s">
        <v>34</v>
      </c>
      <c r="R496" s="9">
        <f t="shared" si="216"/>
        <v>20871001.039999999</v>
      </c>
      <c r="S496" s="9">
        <v>16830644</v>
      </c>
      <c r="T496" s="9">
        <v>4040357.04</v>
      </c>
      <c r="U496" s="9">
        <f t="shared" si="214"/>
        <v>1167673.8600000001</v>
      </c>
      <c r="V496" s="53">
        <v>871343.53</v>
      </c>
      <c r="W496" s="53">
        <v>296330.33</v>
      </c>
      <c r="X496" s="9">
        <f t="shared" si="215"/>
        <v>2812529.02</v>
      </c>
      <c r="Y496" s="9">
        <v>2098770.16</v>
      </c>
      <c r="Z496" s="9">
        <v>713758.86</v>
      </c>
      <c r="AA496" s="9">
        <f t="shared" si="217"/>
        <v>148787.93</v>
      </c>
      <c r="AB496" s="9">
        <v>118550.11</v>
      </c>
      <c r="AC496" s="9">
        <v>30237.82</v>
      </c>
      <c r="AD496" s="44">
        <f t="shared" si="209"/>
        <v>24999991.849999998</v>
      </c>
      <c r="AE496" s="10">
        <v>0</v>
      </c>
      <c r="AF496" s="10">
        <f t="shared" si="219"/>
        <v>24999991.849999998</v>
      </c>
      <c r="AG496" s="59" t="s">
        <v>515</v>
      </c>
      <c r="AH496" s="13" t="s">
        <v>1739</v>
      </c>
      <c r="AI496" s="1">
        <f>2441026.11+1058725.31+1022971.17+454217.09+657211.52-100086.86+1278335.91</f>
        <v>6812400.2499999991</v>
      </c>
      <c r="AJ496" s="1">
        <f>75306.49+85584.09+86633.56+94084.22+105259.9+100086.86</f>
        <v>546955.12</v>
      </c>
    </row>
    <row r="497" spans="1:36" ht="154.5" customHeight="1" x14ac:dyDescent="0.25">
      <c r="A497" s="5">
        <f t="shared" si="210"/>
        <v>494</v>
      </c>
      <c r="B497" s="15">
        <v>127380</v>
      </c>
      <c r="C497" s="78">
        <v>577</v>
      </c>
      <c r="D497" s="6" t="s">
        <v>143</v>
      </c>
      <c r="E497" s="18" t="s">
        <v>1125</v>
      </c>
      <c r="F497" s="31" t="s">
        <v>1399</v>
      </c>
      <c r="G497" s="3" t="s">
        <v>1591</v>
      </c>
      <c r="H497" s="5" t="s">
        <v>151</v>
      </c>
      <c r="I497" s="8" t="s">
        <v>1440</v>
      </c>
      <c r="J497" s="2">
        <v>43679</v>
      </c>
      <c r="K497" s="2">
        <v>44653</v>
      </c>
      <c r="L497" s="16">
        <f t="shared" si="218"/>
        <v>83.983862948260466</v>
      </c>
      <c r="M497" s="3" t="s">
        <v>136</v>
      </c>
      <c r="N497" s="5" t="s">
        <v>262</v>
      </c>
      <c r="O497" s="5" t="s">
        <v>137</v>
      </c>
      <c r="P497" s="27" t="s">
        <v>138</v>
      </c>
      <c r="Q497" s="5" t="s">
        <v>34</v>
      </c>
      <c r="R497" s="9">
        <f t="shared" si="216"/>
        <v>7020649.5500000007</v>
      </c>
      <c r="S497" s="9">
        <v>5661542.1600000001</v>
      </c>
      <c r="T497" s="9">
        <v>1359107.3900000004</v>
      </c>
      <c r="U497" s="9">
        <f t="shared" si="214"/>
        <v>0</v>
      </c>
      <c r="V497" s="53">
        <v>0</v>
      </c>
      <c r="W497" s="53">
        <v>0</v>
      </c>
      <c r="X497" s="9">
        <f t="shared" si="215"/>
        <v>1338872.51</v>
      </c>
      <c r="Y497" s="9">
        <v>999095.7</v>
      </c>
      <c r="Z497" s="9">
        <v>339776.81</v>
      </c>
      <c r="AA497" s="9">
        <f t="shared" si="217"/>
        <v>0</v>
      </c>
      <c r="AB497" s="9">
        <v>0</v>
      </c>
      <c r="AC497" s="9">
        <v>0</v>
      </c>
      <c r="AD497" s="44">
        <f t="shared" si="209"/>
        <v>8359522.0600000005</v>
      </c>
      <c r="AE497" s="10">
        <v>0</v>
      </c>
      <c r="AF497" s="10">
        <f t="shared" si="219"/>
        <v>8359522.0600000005</v>
      </c>
      <c r="AG497" s="59" t="s">
        <v>515</v>
      </c>
      <c r="AH497" s="13" t="s">
        <v>2152</v>
      </c>
      <c r="AI497" s="216">
        <f>763188.96+122256.99+52534.43+742881.78+974677.25</f>
        <v>2655539.41</v>
      </c>
      <c r="AJ497" s="216">
        <v>0</v>
      </c>
    </row>
    <row r="498" spans="1:36" ht="154.5" customHeight="1" x14ac:dyDescent="0.25">
      <c r="A498" s="5">
        <f t="shared" si="210"/>
        <v>495</v>
      </c>
      <c r="B498" s="15">
        <v>127401</v>
      </c>
      <c r="C498" s="78">
        <v>599</v>
      </c>
      <c r="D498" s="7" t="s">
        <v>143</v>
      </c>
      <c r="E498" s="7" t="s">
        <v>1125</v>
      </c>
      <c r="F498" s="31" t="s">
        <v>1400</v>
      </c>
      <c r="G498" s="3" t="s">
        <v>1594</v>
      </c>
      <c r="H498" s="5" t="s">
        <v>151</v>
      </c>
      <c r="I498" s="8" t="s">
        <v>1401</v>
      </c>
      <c r="J498" s="2">
        <v>43677</v>
      </c>
      <c r="K498" s="2" t="s">
        <v>2122</v>
      </c>
      <c r="L498" s="16">
        <f t="shared" si="218"/>
        <v>83.983862769687562</v>
      </c>
      <c r="M498" s="3" t="s">
        <v>136</v>
      </c>
      <c r="N498" s="5" t="s">
        <v>262</v>
      </c>
      <c r="O498" s="5" t="s">
        <v>137</v>
      </c>
      <c r="P498" s="27" t="s">
        <v>138</v>
      </c>
      <c r="Q498" s="5" t="s">
        <v>34</v>
      </c>
      <c r="R498" s="9">
        <f t="shared" si="216"/>
        <v>3643193.6799999992</v>
      </c>
      <c r="S498" s="9">
        <v>2937918.2999999993</v>
      </c>
      <c r="T498" s="9">
        <v>705275.38</v>
      </c>
      <c r="U498" s="9">
        <f t="shared" si="214"/>
        <v>0</v>
      </c>
      <c r="V498" s="53">
        <v>0</v>
      </c>
      <c r="W498" s="53">
        <v>0</v>
      </c>
      <c r="X498" s="9">
        <f t="shared" si="215"/>
        <v>694775.02</v>
      </c>
      <c r="Y498" s="9">
        <v>518456.16</v>
      </c>
      <c r="Z498" s="9">
        <v>176318.86</v>
      </c>
      <c r="AA498" s="9">
        <f t="shared" si="217"/>
        <v>0</v>
      </c>
      <c r="AB498" s="9">
        <v>0</v>
      </c>
      <c r="AC498" s="9">
        <v>0</v>
      </c>
      <c r="AD498" s="44">
        <f t="shared" si="209"/>
        <v>4337968.6999999993</v>
      </c>
      <c r="AE498" s="10">
        <v>0</v>
      </c>
      <c r="AF498" s="10">
        <f t="shared" si="219"/>
        <v>4337968.6999999993</v>
      </c>
      <c r="AG498" s="59" t="s">
        <v>515</v>
      </c>
      <c r="AH498" s="13" t="s">
        <v>151</v>
      </c>
      <c r="AI498" s="216">
        <f>69137.6+3347.53+168654.25</f>
        <v>241139.38</v>
      </c>
      <c r="AJ498" s="216">
        <v>0</v>
      </c>
    </row>
    <row r="499" spans="1:36" ht="267.75" x14ac:dyDescent="0.25">
      <c r="A499" s="5">
        <f t="shared" si="210"/>
        <v>496</v>
      </c>
      <c r="B499" s="15">
        <v>126656</v>
      </c>
      <c r="C499" s="78">
        <v>588</v>
      </c>
      <c r="D499" s="6" t="s">
        <v>143</v>
      </c>
      <c r="E499" s="7" t="s">
        <v>1125</v>
      </c>
      <c r="F499" s="31" t="s">
        <v>1406</v>
      </c>
      <c r="G499" s="5" t="s">
        <v>1649</v>
      </c>
      <c r="H499" s="5" t="s">
        <v>1407</v>
      </c>
      <c r="I499" s="8" t="s">
        <v>1408</v>
      </c>
      <c r="J499" s="2">
        <v>43679</v>
      </c>
      <c r="K499" s="2">
        <v>44775</v>
      </c>
      <c r="L499" s="16">
        <f t="shared" si="218"/>
        <v>83.983863236326343</v>
      </c>
      <c r="M499" s="3" t="s">
        <v>136</v>
      </c>
      <c r="N499" s="5" t="s">
        <v>262</v>
      </c>
      <c r="O499" s="5" t="s">
        <v>137</v>
      </c>
      <c r="P499" s="27" t="s">
        <v>138</v>
      </c>
      <c r="Q499" s="5" t="s">
        <v>34</v>
      </c>
      <c r="R499" s="9">
        <f t="shared" si="216"/>
        <v>15554651.310000001</v>
      </c>
      <c r="S499" s="9">
        <v>12543471.08</v>
      </c>
      <c r="T499" s="9">
        <v>3011180.23</v>
      </c>
      <c r="U499" s="9">
        <f t="shared" si="214"/>
        <v>350403.42000000004</v>
      </c>
      <c r="V499" s="53">
        <v>258951.04000000001</v>
      </c>
      <c r="W499" s="53">
        <v>91452.38</v>
      </c>
      <c r="X499" s="9">
        <f t="shared" si="215"/>
        <v>2615945.27</v>
      </c>
      <c r="Y499" s="9">
        <v>1954602.61</v>
      </c>
      <c r="Z499" s="9">
        <v>661342.66</v>
      </c>
      <c r="AA499" s="9">
        <f t="shared" si="217"/>
        <v>0</v>
      </c>
      <c r="AB499" s="9">
        <v>0</v>
      </c>
      <c r="AC499" s="9">
        <v>0</v>
      </c>
      <c r="AD499" s="44">
        <f t="shared" si="209"/>
        <v>18521000</v>
      </c>
      <c r="AE499" s="10">
        <v>0</v>
      </c>
      <c r="AF499" s="10">
        <f t="shared" si="219"/>
        <v>18521000</v>
      </c>
      <c r="AG499" s="59" t="s">
        <v>515</v>
      </c>
      <c r="AH499" s="217" t="s">
        <v>2163</v>
      </c>
      <c r="AI499" s="218">
        <f>2878878.12+420598.37+575376.98+8321784.61+46957.9</f>
        <v>12243595.98</v>
      </c>
      <c r="AJ499" s="218">
        <f>23069.09+56020.34+56397.11</f>
        <v>135486.53999999998</v>
      </c>
    </row>
    <row r="500" spans="1:36" ht="141.75" x14ac:dyDescent="0.25">
      <c r="A500" s="5">
        <f t="shared" si="210"/>
        <v>497</v>
      </c>
      <c r="B500" s="15">
        <v>127529</v>
      </c>
      <c r="C500" s="78">
        <v>618</v>
      </c>
      <c r="D500" s="6" t="s">
        <v>143</v>
      </c>
      <c r="E500" s="7" t="s">
        <v>1125</v>
      </c>
      <c r="F500" s="31" t="s">
        <v>1419</v>
      </c>
      <c r="G500" s="3" t="s">
        <v>1591</v>
      </c>
      <c r="H500" s="5" t="s">
        <v>151</v>
      </c>
      <c r="I500" s="8" t="s">
        <v>1420</v>
      </c>
      <c r="J500" s="2">
        <v>43683</v>
      </c>
      <c r="K500" s="2">
        <v>44779</v>
      </c>
      <c r="L500" s="16">
        <f t="shared" si="218"/>
        <v>83.983863227150081</v>
      </c>
      <c r="M500" s="3" t="s">
        <v>136</v>
      </c>
      <c r="N500" s="5" t="s">
        <v>262</v>
      </c>
      <c r="O500" s="5" t="s">
        <v>137</v>
      </c>
      <c r="P500" s="27" t="s">
        <v>138</v>
      </c>
      <c r="Q500" s="5" t="s">
        <v>34</v>
      </c>
      <c r="R500" s="9">
        <v>12609023.520000001</v>
      </c>
      <c r="S500" s="9">
        <v>10168078.920000002</v>
      </c>
      <c r="T500" s="9">
        <v>2440944.5999999996</v>
      </c>
      <c r="U500" s="9">
        <v>0</v>
      </c>
      <c r="V500" s="53">
        <v>0</v>
      </c>
      <c r="W500" s="53">
        <v>0</v>
      </c>
      <c r="X500" s="9">
        <v>2404602.9499999997</v>
      </c>
      <c r="Y500" s="9">
        <v>1794366.8</v>
      </c>
      <c r="Z500" s="9">
        <v>610236.15</v>
      </c>
      <c r="AA500" s="9">
        <v>0</v>
      </c>
      <c r="AB500" s="9">
        <v>0</v>
      </c>
      <c r="AC500" s="9">
        <v>0</v>
      </c>
      <c r="AD500" s="44">
        <f t="shared" si="209"/>
        <v>15013626.470000001</v>
      </c>
      <c r="AE500" s="10">
        <v>0</v>
      </c>
      <c r="AF500" s="10">
        <v>15013626.470000001</v>
      </c>
      <c r="AG500" s="59" t="s">
        <v>515</v>
      </c>
      <c r="AH500" s="217"/>
      <c r="AI500" s="216">
        <f>1290323.25+62422.68+65015.25+128450.8+49284.26</f>
        <v>1595496.24</v>
      </c>
      <c r="AJ500" s="216">
        <v>0</v>
      </c>
    </row>
    <row r="501" spans="1:36" ht="141.75" x14ac:dyDescent="0.25">
      <c r="A501" s="5">
        <f t="shared" si="210"/>
        <v>498</v>
      </c>
      <c r="B501" s="15">
        <v>127558</v>
      </c>
      <c r="C501" s="78">
        <v>617</v>
      </c>
      <c r="D501" s="6" t="s">
        <v>143</v>
      </c>
      <c r="E501" s="7" t="s">
        <v>1125</v>
      </c>
      <c r="F501" s="31" t="s">
        <v>1426</v>
      </c>
      <c r="G501" s="3" t="s">
        <v>1351</v>
      </c>
      <c r="H501" s="5" t="s">
        <v>1427</v>
      </c>
      <c r="I501" s="8" t="s">
        <v>1430</v>
      </c>
      <c r="J501" s="2">
        <v>43690</v>
      </c>
      <c r="K501" s="2">
        <v>44786</v>
      </c>
      <c r="L501" s="16">
        <f t="shared" si="218"/>
        <v>83.983863343862623</v>
      </c>
      <c r="M501" s="3" t="s">
        <v>136</v>
      </c>
      <c r="N501" s="5" t="s">
        <v>262</v>
      </c>
      <c r="O501" s="5" t="s">
        <v>137</v>
      </c>
      <c r="P501" s="27" t="s">
        <v>138</v>
      </c>
      <c r="Q501" s="5" t="s">
        <v>34</v>
      </c>
      <c r="R501" s="9">
        <f t="shared" ref="R501:R546" si="220">S501+T501</f>
        <v>5543927.459999999</v>
      </c>
      <c r="S501" s="9">
        <v>4470694.4799999995</v>
      </c>
      <c r="T501" s="9">
        <v>1073232.98</v>
      </c>
      <c r="U501" s="9">
        <f t="shared" ref="U501:U546" si="221">V501+W501</f>
        <v>622730.89999999991</v>
      </c>
      <c r="V501" s="53">
        <v>460203.37999999989</v>
      </c>
      <c r="W501" s="53">
        <v>162527.51999999999</v>
      </c>
      <c r="X501" s="9">
        <f t="shared" ref="X501:X546" si="222">Y501+Z501</f>
        <v>434523.39</v>
      </c>
      <c r="Y501" s="9">
        <v>328742.67</v>
      </c>
      <c r="Z501" s="9">
        <v>105780.72</v>
      </c>
      <c r="AA501" s="9">
        <f t="shared" ref="AA501:AA536" si="223">AB501+AC501</f>
        <v>0</v>
      </c>
      <c r="AB501" s="9">
        <v>0</v>
      </c>
      <c r="AC501" s="9">
        <v>0</v>
      </c>
      <c r="AD501" s="44">
        <f t="shared" si="209"/>
        <v>6601181.7499999991</v>
      </c>
      <c r="AE501" s="10">
        <v>0</v>
      </c>
      <c r="AF501" s="10">
        <f t="shared" ref="AF501:AF546" si="224">AD501+AE501</f>
        <v>6601181.7499999991</v>
      </c>
      <c r="AG501" s="59" t="s">
        <v>515</v>
      </c>
      <c r="AH501" s="217" t="s">
        <v>2208</v>
      </c>
      <c r="AI501" s="1">
        <f>188227.39+57274.01+67960.59</f>
        <v>313461.99</v>
      </c>
      <c r="AJ501" s="1">
        <f>3394.43+5680.37+5952.09</f>
        <v>15026.89</v>
      </c>
    </row>
    <row r="502" spans="1:36" ht="236.25" x14ac:dyDescent="0.25">
      <c r="A502" s="5">
        <f t="shared" si="210"/>
        <v>499</v>
      </c>
      <c r="B502" s="15">
        <v>125764</v>
      </c>
      <c r="C502" s="78">
        <v>586</v>
      </c>
      <c r="D502" s="6" t="s">
        <v>143</v>
      </c>
      <c r="E502" s="7" t="s">
        <v>1125</v>
      </c>
      <c r="F502" s="31" t="s">
        <v>1428</v>
      </c>
      <c r="G502" s="3" t="s">
        <v>1596</v>
      </c>
      <c r="H502" s="5" t="s">
        <v>362</v>
      </c>
      <c r="I502" s="8" t="s">
        <v>1429</v>
      </c>
      <c r="J502" s="2">
        <v>43690</v>
      </c>
      <c r="K502" s="2">
        <v>44847</v>
      </c>
      <c r="L502" s="16">
        <f t="shared" si="218"/>
        <v>83.983863083303191</v>
      </c>
      <c r="M502" s="3" t="s">
        <v>136</v>
      </c>
      <c r="N502" s="5" t="s">
        <v>262</v>
      </c>
      <c r="O502" s="5" t="s">
        <v>137</v>
      </c>
      <c r="P502" s="27" t="s">
        <v>138</v>
      </c>
      <c r="Q502" s="5" t="s">
        <v>34</v>
      </c>
      <c r="R502" s="9">
        <f t="shared" si="220"/>
        <v>13100178.379999995</v>
      </c>
      <c r="S502" s="9">
        <v>10564152.539999997</v>
      </c>
      <c r="T502" s="9">
        <v>2536025.8399999989</v>
      </c>
      <c r="U502" s="9">
        <f t="shared" si="221"/>
        <v>0</v>
      </c>
      <c r="V502" s="53">
        <v>0</v>
      </c>
      <c r="W502" s="53">
        <v>0</v>
      </c>
      <c r="X502" s="9">
        <f t="shared" si="222"/>
        <v>2498268.63</v>
      </c>
      <c r="Y502" s="9">
        <v>1864262.14</v>
      </c>
      <c r="Z502" s="9">
        <v>634006.49</v>
      </c>
      <c r="AA502" s="9">
        <f t="shared" si="223"/>
        <v>0</v>
      </c>
      <c r="AB502" s="9">
        <v>0</v>
      </c>
      <c r="AC502" s="9">
        <v>0</v>
      </c>
      <c r="AD502" s="44">
        <f t="shared" si="209"/>
        <v>15598447.009999994</v>
      </c>
      <c r="AE502" s="10">
        <v>0</v>
      </c>
      <c r="AF502" s="10">
        <f t="shared" si="224"/>
        <v>15598447.009999994</v>
      </c>
      <c r="AG502" s="59" t="s">
        <v>515</v>
      </c>
      <c r="AH502" s="217" t="s">
        <v>2207</v>
      </c>
      <c r="AI502" s="1">
        <f>407379.82+60533.9+49990.55+46307.86+30894.3</f>
        <v>595106.43000000005</v>
      </c>
      <c r="AJ502" s="1">
        <v>0</v>
      </c>
    </row>
    <row r="503" spans="1:36" ht="173.25" x14ac:dyDescent="0.25">
      <c r="A503" s="5">
        <f t="shared" si="210"/>
        <v>500</v>
      </c>
      <c r="B503" s="15">
        <v>127462</v>
      </c>
      <c r="C503" s="78">
        <v>581</v>
      </c>
      <c r="D503" s="6" t="s">
        <v>143</v>
      </c>
      <c r="E503" s="7" t="s">
        <v>1125</v>
      </c>
      <c r="F503" s="31" t="s">
        <v>1431</v>
      </c>
      <c r="G503" s="3" t="s">
        <v>1432</v>
      </c>
      <c r="H503" s="5" t="s">
        <v>1433</v>
      </c>
      <c r="I503" s="8" t="s">
        <v>1434</v>
      </c>
      <c r="J503" s="2">
        <v>43690</v>
      </c>
      <c r="K503" s="2">
        <v>44543</v>
      </c>
      <c r="L503" s="16">
        <f t="shared" si="218"/>
        <v>83.81974496254557</v>
      </c>
      <c r="M503" s="3" t="s">
        <v>136</v>
      </c>
      <c r="N503" s="5" t="s">
        <v>262</v>
      </c>
      <c r="O503" s="5" t="s">
        <v>137</v>
      </c>
      <c r="P503" s="27" t="s">
        <v>138</v>
      </c>
      <c r="Q503" s="5" t="s">
        <v>34</v>
      </c>
      <c r="R503" s="9">
        <f t="shared" si="220"/>
        <v>16722840.989999998</v>
      </c>
      <c r="S503" s="9">
        <v>13485514.289999999</v>
      </c>
      <c r="T503" s="9">
        <v>3237326.7</v>
      </c>
      <c r="U503" s="9">
        <f t="shared" si="221"/>
        <v>2829096.54</v>
      </c>
      <c r="V503" s="53">
        <v>2092933.21</v>
      </c>
      <c r="W503" s="53">
        <v>736163.33</v>
      </c>
      <c r="X503" s="9">
        <f t="shared" si="222"/>
        <v>360031.77</v>
      </c>
      <c r="Y503" s="9">
        <v>286863.42</v>
      </c>
      <c r="Z503" s="9">
        <v>73168.350000000006</v>
      </c>
      <c r="AA503" s="9">
        <f t="shared" si="223"/>
        <v>38987.360000000001</v>
      </c>
      <c r="AB503" s="9">
        <v>31064.05</v>
      </c>
      <c r="AC503" s="9">
        <v>7923.31</v>
      </c>
      <c r="AD503" s="44">
        <f t="shared" si="209"/>
        <v>19950956.659999996</v>
      </c>
      <c r="AE503" s="10">
        <v>0</v>
      </c>
      <c r="AF503" s="10">
        <f t="shared" si="224"/>
        <v>19950956.659999996</v>
      </c>
      <c r="AG503" s="59" t="s">
        <v>515</v>
      </c>
      <c r="AH503" s="217"/>
      <c r="AI503" s="1">
        <f>645008.07+192434.46+27134.16+264408.25-23366.2+347653.73+109053.81+1470378.13-8332.91+27357.74+12742.03+1108124.28+487120.33</f>
        <v>4659715.88</v>
      </c>
      <c r="AJ503" s="1">
        <f>101913.04+12417.88+42350.03+11594.15+23366.2+33672.25+44388.96+222006.36+8332.91+4565.76+2126.53+213660.41+67560.12</f>
        <v>787954.6</v>
      </c>
    </row>
    <row r="504" spans="1:36" ht="189" x14ac:dyDescent="0.25">
      <c r="A504" s="5">
        <f t="shared" si="210"/>
        <v>501</v>
      </c>
      <c r="B504" s="5">
        <v>129502</v>
      </c>
      <c r="C504" s="6">
        <v>746</v>
      </c>
      <c r="D504" s="8" t="s">
        <v>146</v>
      </c>
      <c r="E504" s="17" t="s">
        <v>1369</v>
      </c>
      <c r="F504" s="8" t="s">
        <v>1450</v>
      </c>
      <c r="G504" s="5" t="s">
        <v>1449</v>
      </c>
      <c r="H504" s="5" t="s">
        <v>1448</v>
      </c>
      <c r="I504" s="41" t="s">
        <v>1447</v>
      </c>
      <c r="J504" s="2">
        <v>43697</v>
      </c>
      <c r="K504" s="2">
        <v>44977</v>
      </c>
      <c r="L504" s="16">
        <f t="shared" si="218"/>
        <v>83.983862795774542</v>
      </c>
      <c r="M504" s="3" t="s">
        <v>136</v>
      </c>
      <c r="N504" s="5" t="s">
        <v>262</v>
      </c>
      <c r="O504" s="5" t="s">
        <v>137</v>
      </c>
      <c r="P504" s="27" t="s">
        <v>138</v>
      </c>
      <c r="Q504" s="5" t="s">
        <v>34</v>
      </c>
      <c r="R504" s="4">
        <f t="shared" si="220"/>
        <v>16341565.460000003</v>
      </c>
      <c r="S504" s="9">
        <v>13178048.740000002</v>
      </c>
      <c r="T504" s="9">
        <v>3163516.7200000011</v>
      </c>
      <c r="U504" s="4">
        <f t="shared" si="221"/>
        <v>612798.06999999983</v>
      </c>
      <c r="V504" s="53">
        <v>452862.94999999984</v>
      </c>
      <c r="W504" s="53">
        <v>159935.11999999994</v>
      </c>
      <c r="X504" s="4">
        <f t="shared" si="222"/>
        <v>2503619.13</v>
      </c>
      <c r="Y504" s="9">
        <v>1872675.12</v>
      </c>
      <c r="Z504" s="9">
        <v>630944.01</v>
      </c>
      <c r="AA504" s="9">
        <f t="shared" si="223"/>
        <v>0</v>
      </c>
      <c r="AB504" s="9">
        <v>0</v>
      </c>
      <c r="AC504" s="9">
        <v>0</v>
      </c>
      <c r="AD504" s="44">
        <f t="shared" si="209"/>
        <v>19457982.66</v>
      </c>
      <c r="AE504" s="9">
        <v>0</v>
      </c>
      <c r="AF504" s="9">
        <f t="shared" si="224"/>
        <v>19457982.66</v>
      </c>
      <c r="AG504" s="59" t="s">
        <v>515</v>
      </c>
      <c r="AH504" s="13" t="s">
        <v>1972</v>
      </c>
      <c r="AI504" s="1">
        <f>238670.27+559386.55+364853.32+124488.29+243919.75</f>
        <v>1531318.1800000002</v>
      </c>
      <c r="AJ504" s="1">
        <f>2450.84+7846.76+45505.93+412.07+9977.53</f>
        <v>66193.13</v>
      </c>
    </row>
    <row r="505" spans="1:36" ht="189" x14ac:dyDescent="0.25">
      <c r="A505" s="5">
        <f t="shared" si="210"/>
        <v>502</v>
      </c>
      <c r="B505" s="5">
        <v>129865</v>
      </c>
      <c r="C505" s="6">
        <v>747</v>
      </c>
      <c r="D505" s="8" t="s">
        <v>146</v>
      </c>
      <c r="E505" s="17" t="s">
        <v>1369</v>
      </c>
      <c r="F505" s="8" t="s">
        <v>1446</v>
      </c>
      <c r="G505" s="5" t="s">
        <v>1445</v>
      </c>
      <c r="H505" s="5" t="s">
        <v>1444</v>
      </c>
      <c r="I505" s="41" t="s">
        <v>1443</v>
      </c>
      <c r="J505" s="2">
        <v>43697</v>
      </c>
      <c r="K505" s="2">
        <v>45158</v>
      </c>
      <c r="L505" s="16">
        <f t="shared" si="218"/>
        <v>83.983862919999993</v>
      </c>
      <c r="M505" s="3" t="s">
        <v>136</v>
      </c>
      <c r="N505" s="5" t="s">
        <v>262</v>
      </c>
      <c r="O505" s="5" t="s">
        <v>137</v>
      </c>
      <c r="P505" s="27" t="s">
        <v>138</v>
      </c>
      <c r="Q505" s="5" t="s">
        <v>34</v>
      </c>
      <c r="R505" s="4">
        <f t="shared" si="220"/>
        <v>20995965.73</v>
      </c>
      <c r="S505" s="9">
        <v>16931417.09</v>
      </c>
      <c r="T505" s="9">
        <v>4064548.6400000006</v>
      </c>
      <c r="U505" s="4">
        <f t="shared" si="221"/>
        <v>517002.47</v>
      </c>
      <c r="V505" s="53">
        <v>382069.14999999997</v>
      </c>
      <c r="W505" s="53">
        <v>134933.31999999998</v>
      </c>
      <c r="X505" s="4">
        <f t="shared" si="222"/>
        <v>3487031.8</v>
      </c>
      <c r="Y505" s="9">
        <v>2605827.96</v>
      </c>
      <c r="Z505" s="9">
        <v>881203.84</v>
      </c>
      <c r="AA505" s="9">
        <f t="shared" si="223"/>
        <v>0</v>
      </c>
      <c r="AB505" s="9">
        <v>0</v>
      </c>
      <c r="AC505" s="9">
        <v>0</v>
      </c>
      <c r="AD505" s="44">
        <f t="shared" si="209"/>
        <v>25000000</v>
      </c>
      <c r="AE505" s="9">
        <v>4000</v>
      </c>
      <c r="AF505" s="9">
        <f t="shared" si="224"/>
        <v>25004000</v>
      </c>
      <c r="AG505" s="59" t="s">
        <v>515</v>
      </c>
      <c r="AH505" s="13" t="s">
        <v>2093</v>
      </c>
      <c r="AI505" s="1">
        <f>1811209.04+268056.34+1451454.88+60000+554008.73-2145.79+464628.89+299999.99</f>
        <v>4907212.08</v>
      </c>
      <c r="AJ505" s="1">
        <f>65104.21+2145.79</f>
        <v>67250</v>
      </c>
    </row>
    <row r="506" spans="1:36" ht="147" customHeight="1" x14ac:dyDescent="0.25">
      <c r="A506" s="5">
        <f t="shared" si="210"/>
        <v>503</v>
      </c>
      <c r="B506" s="15">
        <v>127554</v>
      </c>
      <c r="C506" s="78">
        <v>596</v>
      </c>
      <c r="D506" s="55" t="s">
        <v>1373</v>
      </c>
      <c r="E506" s="119" t="s">
        <v>1125</v>
      </c>
      <c r="F506" s="55" t="s">
        <v>1457</v>
      </c>
      <c r="G506" s="5" t="s">
        <v>1649</v>
      </c>
      <c r="H506" s="5" t="s">
        <v>1458</v>
      </c>
      <c r="I506" s="41" t="s">
        <v>1459</v>
      </c>
      <c r="J506" s="2">
        <v>43698</v>
      </c>
      <c r="K506" s="2">
        <v>44855</v>
      </c>
      <c r="L506" s="16">
        <f t="shared" si="218"/>
        <v>83.98386258328982</v>
      </c>
      <c r="M506" s="5" t="s">
        <v>136</v>
      </c>
      <c r="N506" s="5" t="s">
        <v>262</v>
      </c>
      <c r="O506" s="5" t="str">
        <f t="shared" ref="O506:Q508" si="225">O505</f>
        <v>Bucuresti</v>
      </c>
      <c r="P506" s="3" t="str">
        <f t="shared" si="225"/>
        <v>APC</v>
      </c>
      <c r="Q506" s="5" t="str">
        <f t="shared" si="225"/>
        <v>119 - Investiții în capacitatea instituțională și în eficiența administrațiilor și a serviciilor publice la nivel național, regional și local, în perspectiva realizării de reforme, a unei mai bune legiferări și a bunei guvernanțe</v>
      </c>
      <c r="R506" s="4">
        <f t="shared" si="220"/>
        <v>12098670.219999999</v>
      </c>
      <c r="S506" s="9">
        <v>9756523.4399999976</v>
      </c>
      <c r="T506" s="9">
        <v>2342146.7800000003</v>
      </c>
      <c r="U506" s="4">
        <f t="shared" si="221"/>
        <v>0</v>
      </c>
      <c r="V506" s="53">
        <v>0</v>
      </c>
      <c r="W506" s="53">
        <v>0</v>
      </c>
      <c r="X506" s="4">
        <f t="shared" si="222"/>
        <v>2307276.1700000004</v>
      </c>
      <c r="Y506" s="9">
        <v>1721739.4581900353</v>
      </c>
      <c r="Z506" s="9">
        <v>585536.71180996508</v>
      </c>
      <c r="AA506" s="9">
        <f t="shared" si="223"/>
        <v>0</v>
      </c>
      <c r="AB506" s="9">
        <v>0</v>
      </c>
      <c r="AC506" s="9">
        <v>0</v>
      </c>
      <c r="AD506" s="44">
        <f t="shared" si="209"/>
        <v>14405946.389999999</v>
      </c>
      <c r="AE506" s="9">
        <v>1695594.64</v>
      </c>
      <c r="AF506" s="9">
        <f t="shared" si="224"/>
        <v>16101541.029999999</v>
      </c>
      <c r="AG506" s="59" t="s">
        <v>515</v>
      </c>
      <c r="AH506" s="13" t="s">
        <v>2183</v>
      </c>
      <c r="AI506" s="1">
        <f>80134.03+50027.51+67034.24+81022.59+61634.92+75486.38</f>
        <v>415339.67</v>
      </c>
      <c r="AJ506" s="1">
        <v>0</v>
      </c>
    </row>
    <row r="507" spans="1:36" ht="225.75" customHeight="1" x14ac:dyDescent="0.25">
      <c r="A507" s="5">
        <f t="shared" si="210"/>
        <v>504</v>
      </c>
      <c r="B507" s="15">
        <v>127585</v>
      </c>
      <c r="C507" s="78">
        <v>622</v>
      </c>
      <c r="D507" s="55" t="s">
        <v>1373</v>
      </c>
      <c r="E507" s="119" t="s">
        <v>1125</v>
      </c>
      <c r="F507" s="55" t="s">
        <v>1463</v>
      </c>
      <c r="G507" s="5" t="s">
        <v>74</v>
      </c>
      <c r="H507" s="5" t="s">
        <v>1461</v>
      </c>
      <c r="I507" s="41" t="s">
        <v>1464</v>
      </c>
      <c r="J507" s="2">
        <v>43703</v>
      </c>
      <c r="K507" s="2">
        <v>44799</v>
      </c>
      <c r="L507" s="16">
        <f t="shared" si="218"/>
        <v>83.983863237881479</v>
      </c>
      <c r="M507" s="5" t="s">
        <v>136</v>
      </c>
      <c r="N507" s="5" t="s">
        <v>262</v>
      </c>
      <c r="O507" s="5" t="str">
        <f t="shared" si="225"/>
        <v>Bucuresti</v>
      </c>
      <c r="P507" s="3" t="str">
        <f t="shared" si="225"/>
        <v>APC</v>
      </c>
      <c r="Q507" s="5" t="str">
        <f t="shared" si="225"/>
        <v>119 - Investiții în capacitatea instituțională și în eficiența administrațiilor și a serviciilor publice la nivel național, regional și local, în perspectiva realizării de reforme, a unei mai bune legiferări și a bunei guvernanțe</v>
      </c>
      <c r="R507" s="4">
        <f t="shared" si="220"/>
        <v>8398187.4499999993</v>
      </c>
      <c r="S507" s="9">
        <v>6772406.5</v>
      </c>
      <c r="T507" s="9">
        <v>1625780.95</v>
      </c>
      <c r="U507" s="4">
        <f t="shared" si="221"/>
        <v>0</v>
      </c>
      <c r="V507" s="53">
        <v>0</v>
      </c>
      <c r="W507" s="53">
        <v>0</v>
      </c>
      <c r="X507" s="4">
        <f t="shared" si="222"/>
        <v>1601575.75</v>
      </c>
      <c r="Y507" s="9">
        <v>1195130.5</v>
      </c>
      <c r="Z507" s="9">
        <v>406445.25</v>
      </c>
      <c r="AA507" s="9">
        <f t="shared" si="223"/>
        <v>0</v>
      </c>
      <c r="AB507" s="9">
        <v>0</v>
      </c>
      <c r="AC507" s="9">
        <v>0</v>
      </c>
      <c r="AD507" s="44">
        <f t="shared" si="209"/>
        <v>9999763.1999999993</v>
      </c>
      <c r="AE507" s="9">
        <v>0</v>
      </c>
      <c r="AF507" s="9">
        <f t="shared" si="224"/>
        <v>9999763.1999999993</v>
      </c>
      <c r="AG507" s="59" t="s">
        <v>515</v>
      </c>
      <c r="AH507" s="13" t="s">
        <v>151</v>
      </c>
      <c r="AI507" s="1">
        <f>843418.72+99611.58+70896.66+1618000.34+94625.46</f>
        <v>2726552.76</v>
      </c>
      <c r="AJ507" s="1">
        <v>0</v>
      </c>
    </row>
    <row r="508" spans="1:36" ht="125.25" customHeight="1" x14ac:dyDescent="0.25">
      <c r="A508" s="5">
        <f t="shared" si="210"/>
        <v>505</v>
      </c>
      <c r="B508" s="15">
        <v>127829</v>
      </c>
      <c r="C508" s="78">
        <v>623</v>
      </c>
      <c r="D508" s="55" t="s">
        <v>1373</v>
      </c>
      <c r="E508" s="119" t="s">
        <v>1125</v>
      </c>
      <c r="F508" s="55" t="s">
        <v>1462</v>
      </c>
      <c r="G508" s="5" t="s">
        <v>74</v>
      </c>
      <c r="H508" s="5" t="s">
        <v>1461</v>
      </c>
      <c r="I508" s="41" t="s">
        <v>1465</v>
      </c>
      <c r="J508" s="2">
        <v>43703</v>
      </c>
      <c r="K508" s="2">
        <v>44799</v>
      </c>
      <c r="L508" s="16">
        <f t="shared" si="218"/>
        <v>83.983863016171711</v>
      </c>
      <c r="M508" s="5" t="s">
        <v>136</v>
      </c>
      <c r="N508" s="5" t="s">
        <v>262</v>
      </c>
      <c r="O508" s="5" t="str">
        <f t="shared" si="225"/>
        <v>Bucuresti</v>
      </c>
      <c r="P508" s="3" t="str">
        <f t="shared" si="225"/>
        <v>APC</v>
      </c>
      <c r="Q508" s="5" t="str">
        <f t="shared" si="225"/>
        <v>119 - Investiții în capacitatea instituțională și în eficiența administrațiilor și a serviciilor publice la nivel național, regional și local, în perspectiva realizării de reforme, a unei mai bune legiferări și a bunei guvernanțe</v>
      </c>
      <c r="R508" s="4">
        <f t="shared" si="220"/>
        <v>8466572.8000000007</v>
      </c>
      <c r="S508" s="9">
        <v>6827553.2999999998</v>
      </c>
      <c r="T508" s="9">
        <v>1639019.5</v>
      </c>
      <c r="U508" s="4">
        <f t="shared" si="221"/>
        <v>0</v>
      </c>
      <c r="V508" s="53">
        <v>0</v>
      </c>
      <c r="W508" s="53">
        <v>0</v>
      </c>
      <c r="X508" s="4">
        <f t="shared" si="222"/>
        <v>1614617.2000000002</v>
      </c>
      <c r="Y508" s="9">
        <v>1204862.3400000001</v>
      </c>
      <c r="Z508" s="9">
        <v>409754.86</v>
      </c>
      <c r="AA508" s="9">
        <f t="shared" si="223"/>
        <v>0</v>
      </c>
      <c r="AB508" s="9">
        <v>0</v>
      </c>
      <c r="AC508" s="9">
        <v>0</v>
      </c>
      <c r="AD508" s="44">
        <f t="shared" si="209"/>
        <v>10081190</v>
      </c>
      <c r="AE508" s="9">
        <v>0</v>
      </c>
      <c r="AF508" s="9">
        <f t="shared" si="224"/>
        <v>10081190</v>
      </c>
      <c r="AG508" s="59" t="s">
        <v>515</v>
      </c>
      <c r="AH508" s="13" t="s">
        <v>151</v>
      </c>
      <c r="AI508" s="1">
        <f>896890.75+82117.73+78530.79+85882.74+82790.45</f>
        <v>1226212.46</v>
      </c>
      <c r="AJ508" s="1">
        <v>0</v>
      </c>
    </row>
    <row r="509" spans="1:36" ht="199.5" customHeight="1" x14ac:dyDescent="0.25">
      <c r="A509" s="5">
        <f t="shared" si="210"/>
        <v>506</v>
      </c>
      <c r="B509" s="15">
        <v>127591</v>
      </c>
      <c r="C509" s="78">
        <v>603</v>
      </c>
      <c r="D509" s="55" t="s">
        <v>1373</v>
      </c>
      <c r="E509" s="119" t="s">
        <v>1125</v>
      </c>
      <c r="F509" s="55" t="s">
        <v>1466</v>
      </c>
      <c r="G509" s="5" t="s">
        <v>74</v>
      </c>
      <c r="H509" s="5" t="s">
        <v>1461</v>
      </c>
      <c r="I509" s="109" t="s">
        <v>1467</v>
      </c>
      <c r="J509" s="2">
        <v>43704</v>
      </c>
      <c r="K509" s="2">
        <v>44708</v>
      </c>
      <c r="L509" s="16">
        <f t="shared" si="218"/>
        <v>83.98386273142458</v>
      </c>
      <c r="M509" s="5" t="str">
        <f>$M$506</f>
        <v xml:space="preserve"> Proiect cu acoperire națională</v>
      </c>
      <c r="N509" s="5" t="str">
        <f>N508</f>
        <v>București</v>
      </c>
      <c r="O509" s="5" t="s">
        <v>262</v>
      </c>
      <c r="P509" s="3" t="s">
        <v>138</v>
      </c>
      <c r="Q509" s="5" t="str">
        <f>Q508</f>
        <v>119 - Investiții în capacitatea instituțională și în eficiența administrațiilor și a serviciilor publice la nivel național, regional și local, în perspectiva realizării de reforme, a unei mai bune legiferări și a bunei guvernanțe</v>
      </c>
      <c r="R509" s="4">
        <f t="shared" si="220"/>
        <v>10242987.93</v>
      </c>
      <c r="S509" s="9">
        <v>8260077.3899999997</v>
      </c>
      <c r="T509" s="9">
        <v>1982910.54</v>
      </c>
      <c r="U509" s="4">
        <f t="shared" si="221"/>
        <v>0</v>
      </c>
      <c r="V509" s="53">
        <v>0</v>
      </c>
      <c r="W509" s="53">
        <v>0</v>
      </c>
      <c r="X509" s="4">
        <f t="shared" si="222"/>
        <v>1953388.3699999999</v>
      </c>
      <c r="Y509" s="9">
        <v>1457660.67</v>
      </c>
      <c r="Z509" s="9">
        <v>495727.7</v>
      </c>
      <c r="AA509" s="9">
        <f t="shared" si="223"/>
        <v>0</v>
      </c>
      <c r="AB509" s="9">
        <v>0</v>
      </c>
      <c r="AC509" s="9">
        <v>0</v>
      </c>
      <c r="AD509" s="44">
        <f t="shared" si="209"/>
        <v>12196376.299999999</v>
      </c>
      <c r="AE509" s="9">
        <v>0</v>
      </c>
      <c r="AF509" s="9">
        <f t="shared" si="224"/>
        <v>12196376.299999999</v>
      </c>
      <c r="AG509" s="59" t="s">
        <v>515</v>
      </c>
      <c r="AH509" s="13" t="s">
        <v>151</v>
      </c>
      <c r="AI509" s="1">
        <f>957032.98+163115.37+97608.31+132760.34+84328.34</f>
        <v>1434845.3400000003</v>
      </c>
      <c r="AJ509" s="1">
        <v>0</v>
      </c>
    </row>
    <row r="510" spans="1:36" ht="283.5" x14ac:dyDescent="0.25">
      <c r="A510" s="5">
        <f t="shared" si="210"/>
        <v>507</v>
      </c>
      <c r="B510" s="5">
        <v>130133</v>
      </c>
      <c r="C510" s="6">
        <v>749</v>
      </c>
      <c r="D510" s="8" t="s">
        <v>146</v>
      </c>
      <c r="E510" s="17" t="s">
        <v>1369</v>
      </c>
      <c r="F510" s="8" t="s">
        <v>1468</v>
      </c>
      <c r="G510" s="34" t="s">
        <v>2101</v>
      </c>
      <c r="H510" s="5" t="s">
        <v>151</v>
      </c>
      <c r="I510" s="41" t="s">
        <v>1469</v>
      </c>
      <c r="J510" s="2">
        <v>43706</v>
      </c>
      <c r="K510" s="2">
        <v>45198</v>
      </c>
      <c r="L510" s="16">
        <f t="shared" si="218"/>
        <v>83.983862860370238</v>
      </c>
      <c r="M510" s="5" t="str">
        <f>$M$506</f>
        <v xml:space="preserve"> Proiect cu acoperire națională</v>
      </c>
      <c r="N510" s="5" t="str">
        <f>N509</f>
        <v>București</v>
      </c>
      <c r="O510" s="5" t="s">
        <v>262</v>
      </c>
      <c r="P510" s="3" t="s">
        <v>138</v>
      </c>
      <c r="Q510" s="5" t="s">
        <v>34</v>
      </c>
      <c r="R510" s="4">
        <f t="shared" si="220"/>
        <v>14452256.49</v>
      </c>
      <c r="S510" s="9">
        <v>11654485.75</v>
      </c>
      <c r="T510" s="9">
        <v>2797770.7399999998</v>
      </c>
      <c r="U510" s="4">
        <f t="shared" si="221"/>
        <v>0</v>
      </c>
      <c r="V510" s="53">
        <v>0</v>
      </c>
      <c r="W510" s="53">
        <v>0</v>
      </c>
      <c r="X510" s="4">
        <f t="shared" si="222"/>
        <v>2756116.6399999997</v>
      </c>
      <c r="Y510" s="9">
        <v>2056673.9</v>
      </c>
      <c r="Z510" s="9">
        <v>699442.74</v>
      </c>
      <c r="AA510" s="9">
        <f t="shared" si="223"/>
        <v>0</v>
      </c>
      <c r="AB510" s="9">
        <v>0</v>
      </c>
      <c r="AC510" s="9">
        <v>0</v>
      </c>
      <c r="AD510" s="44">
        <f t="shared" si="209"/>
        <v>17208373.129999999</v>
      </c>
      <c r="AE510" s="9">
        <v>0</v>
      </c>
      <c r="AF510" s="9">
        <f t="shared" si="224"/>
        <v>17208373.129999999</v>
      </c>
      <c r="AG510" s="59" t="s">
        <v>515</v>
      </c>
      <c r="AH510" s="13" t="s">
        <v>2191</v>
      </c>
      <c r="AI510" s="1">
        <f>37986.75+105892.72+115179.78</f>
        <v>259059.25</v>
      </c>
      <c r="AJ510" s="1">
        <v>0</v>
      </c>
    </row>
    <row r="511" spans="1:36" ht="141.75" x14ac:dyDescent="0.25">
      <c r="A511" s="5">
        <f t="shared" si="210"/>
        <v>508</v>
      </c>
      <c r="B511" s="5">
        <v>127338</v>
      </c>
      <c r="C511" s="6">
        <v>612</v>
      </c>
      <c r="D511" s="55" t="s">
        <v>1373</v>
      </c>
      <c r="E511" s="17" t="s">
        <v>1125</v>
      </c>
      <c r="F511" s="8" t="s">
        <v>1484</v>
      </c>
      <c r="G511" s="5" t="s">
        <v>74</v>
      </c>
      <c r="H511" s="5" t="s">
        <v>1485</v>
      </c>
      <c r="I511" s="41" t="s">
        <v>1486</v>
      </c>
      <c r="J511" s="2">
        <v>43713</v>
      </c>
      <c r="K511" s="2">
        <v>44656</v>
      </c>
      <c r="L511" s="16">
        <f t="shared" si="218"/>
        <v>83.983864628897493</v>
      </c>
      <c r="M511" s="5" t="str">
        <f>$M$506</f>
        <v xml:space="preserve"> Proiect cu acoperire națională</v>
      </c>
      <c r="N511" s="5" t="s">
        <v>1442</v>
      </c>
      <c r="O511" s="5" t="s">
        <v>262</v>
      </c>
      <c r="P511" s="3" t="s">
        <v>138</v>
      </c>
      <c r="Q511" s="5" t="str">
        <f t="shared" ref="Q511:Q516" si="226">Q510</f>
        <v>119 - Investiții în capacitatea instituțională și în eficiența administrațiilor și a serviciilor publice la nivel național, regional și local, în perspectiva realizării de reforme, a unei mai bune legiferări și a bunei guvernanțe</v>
      </c>
      <c r="R511" s="4">
        <f t="shared" si="220"/>
        <v>12313247.289999999</v>
      </c>
      <c r="S511" s="9">
        <v>9929561.1799999997</v>
      </c>
      <c r="T511" s="9">
        <v>2383686.11</v>
      </c>
      <c r="U511" s="4">
        <f t="shared" si="221"/>
        <v>0</v>
      </c>
      <c r="V511" s="53">
        <v>0</v>
      </c>
      <c r="W511" s="53">
        <v>0</v>
      </c>
      <c r="X511" s="4">
        <f t="shared" si="222"/>
        <v>2348196.7199999997</v>
      </c>
      <c r="Y511" s="9">
        <v>1752275.21</v>
      </c>
      <c r="Z511" s="9">
        <v>595921.51</v>
      </c>
      <c r="AA511" s="9">
        <f t="shared" si="223"/>
        <v>0</v>
      </c>
      <c r="AB511" s="9">
        <v>0</v>
      </c>
      <c r="AC511" s="9">
        <v>0</v>
      </c>
      <c r="AD511" s="44">
        <f t="shared" si="209"/>
        <v>14661444.009999998</v>
      </c>
      <c r="AE511" s="9">
        <v>21875.91</v>
      </c>
      <c r="AF511" s="9">
        <f t="shared" si="224"/>
        <v>14683319.919999998</v>
      </c>
      <c r="AG511" s="59" t="s">
        <v>515</v>
      </c>
      <c r="AH511" s="13" t="s">
        <v>2127</v>
      </c>
      <c r="AI511" s="1">
        <f>1028311.33+949836.08+860711.02+870883.46+943630.7+1231127.96</f>
        <v>5884500.5499999998</v>
      </c>
      <c r="AJ511" s="1">
        <v>0</v>
      </c>
    </row>
    <row r="512" spans="1:36" ht="199.5" customHeight="1" x14ac:dyDescent="0.25">
      <c r="A512" s="5">
        <f t="shared" si="210"/>
        <v>509</v>
      </c>
      <c r="B512" s="15">
        <v>129692</v>
      </c>
      <c r="C512" s="78">
        <v>744</v>
      </c>
      <c r="D512" s="8" t="str">
        <f>D511</f>
        <v xml:space="preserve">AP1/11i /1.1 </v>
      </c>
      <c r="E512" s="18" t="s">
        <v>1227</v>
      </c>
      <c r="F512" s="55" t="s">
        <v>1495</v>
      </c>
      <c r="G512" s="5" t="s">
        <v>1493</v>
      </c>
      <c r="H512" s="5" t="s">
        <v>151</v>
      </c>
      <c r="I512" s="109" t="s">
        <v>1496</v>
      </c>
      <c r="J512" s="2">
        <v>43717</v>
      </c>
      <c r="K512" s="2">
        <v>45178</v>
      </c>
      <c r="L512" s="16">
        <f t="shared" si="218"/>
        <v>83.983862991493012</v>
      </c>
      <c r="M512" s="5" t="str">
        <f>$M$506</f>
        <v xml:space="preserve"> Proiect cu acoperire națională</v>
      </c>
      <c r="N512" s="5" t="str">
        <f>N511</f>
        <v>Național</v>
      </c>
      <c r="O512" s="5" t="str">
        <f>O511</f>
        <v>București</v>
      </c>
      <c r="P512" s="3" t="str">
        <f>P511</f>
        <v>APC</v>
      </c>
      <c r="Q512" s="5" t="str">
        <f t="shared" si="226"/>
        <v>119 - Investiții în capacitatea instituțională și în eficiența administrațiilor și a serviciilor publice la nivel național, regional și local, în perspectiva realizării de reforme, a unei mai bune legiferări și a bunei guvernanțe</v>
      </c>
      <c r="R512" s="4">
        <f t="shared" si="220"/>
        <v>25123266.25</v>
      </c>
      <c r="S512" s="9">
        <v>20259725.329999998</v>
      </c>
      <c r="T512" s="9">
        <v>4863540.92</v>
      </c>
      <c r="U512" s="4">
        <f t="shared" si="221"/>
        <v>0</v>
      </c>
      <c r="V512" s="53">
        <v>0</v>
      </c>
      <c r="W512" s="53">
        <v>0</v>
      </c>
      <c r="X512" s="4">
        <f t="shared" si="222"/>
        <v>4791130.82</v>
      </c>
      <c r="Y512" s="9">
        <v>3575245.64</v>
      </c>
      <c r="Z512" s="9">
        <v>1215885.18</v>
      </c>
      <c r="AA512" s="9">
        <f t="shared" si="223"/>
        <v>0</v>
      </c>
      <c r="AB512" s="9">
        <v>0</v>
      </c>
      <c r="AC512" s="9">
        <v>0</v>
      </c>
      <c r="AD512" s="44">
        <f t="shared" si="209"/>
        <v>29914397.07</v>
      </c>
      <c r="AE512" s="9">
        <v>0</v>
      </c>
      <c r="AF512" s="9">
        <f t="shared" si="224"/>
        <v>29914397.07</v>
      </c>
      <c r="AG512" s="59" t="s">
        <v>515</v>
      </c>
      <c r="AH512" s="13" t="s">
        <v>2209</v>
      </c>
      <c r="AI512" s="1">
        <f>325855.8+122978.47+248682.94+393955.11+295791.58</f>
        <v>1387263.9</v>
      </c>
      <c r="AJ512" s="1">
        <v>0</v>
      </c>
    </row>
    <row r="513" spans="1:36" ht="141.75" x14ac:dyDescent="0.25">
      <c r="A513" s="5">
        <f t="shared" si="210"/>
        <v>510</v>
      </c>
      <c r="B513" s="5">
        <v>127589</v>
      </c>
      <c r="C513" s="6">
        <v>616</v>
      </c>
      <c r="D513" s="55" t="s">
        <v>1373</v>
      </c>
      <c r="E513" s="17" t="s">
        <v>1125</v>
      </c>
      <c r="F513" s="8" t="s">
        <v>1499</v>
      </c>
      <c r="G513" s="5" t="s">
        <v>74</v>
      </c>
      <c r="H513" s="5" t="s">
        <v>1611</v>
      </c>
      <c r="I513" s="41" t="s">
        <v>1500</v>
      </c>
      <c r="J513" s="2">
        <v>43718</v>
      </c>
      <c r="K513" s="2">
        <v>44814</v>
      </c>
      <c r="L513" s="16">
        <f t="shared" si="218"/>
        <v>83.401732277714686</v>
      </c>
      <c r="M513" s="5" t="s">
        <v>136</v>
      </c>
      <c r="N513" s="5" t="s">
        <v>262</v>
      </c>
      <c r="O513" s="5" t="s">
        <v>262</v>
      </c>
      <c r="P513" s="3" t="s">
        <v>138</v>
      </c>
      <c r="Q513" s="5" t="str">
        <f t="shared" si="226"/>
        <v>119 - Investiții în capacitatea instituțională și în eficiența administrațiilor și a serviciilor publice la nivel național, regional și local, în perspectiva realizării de reforme, a unei mai bune legiferări și a bunei guvernanțe</v>
      </c>
      <c r="R513" s="4">
        <f t="shared" si="220"/>
        <v>23893894.079999994</v>
      </c>
      <c r="S513" s="9">
        <v>19268343.719999995</v>
      </c>
      <c r="T513" s="9">
        <v>4625550.3599999994</v>
      </c>
      <c r="U513" s="4">
        <f t="shared" si="221"/>
        <v>1558441.7799999998</v>
      </c>
      <c r="V513" s="53">
        <v>1162942.9799999995</v>
      </c>
      <c r="W513" s="53">
        <v>395498.80000000016</v>
      </c>
      <c r="X513" s="4">
        <f t="shared" si="222"/>
        <v>2998241.61</v>
      </c>
      <c r="Y513" s="9">
        <v>2237352.88</v>
      </c>
      <c r="Z513" s="9">
        <v>760888.73</v>
      </c>
      <c r="AA513" s="9">
        <f t="shared" si="223"/>
        <v>198580.56</v>
      </c>
      <c r="AB513" s="9">
        <v>158223.64000000001</v>
      </c>
      <c r="AC513" s="9">
        <v>40356.92</v>
      </c>
      <c r="AD513" s="44">
        <f t="shared" si="209"/>
        <v>28649158.029999994</v>
      </c>
      <c r="AE513" s="9">
        <v>0</v>
      </c>
      <c r="AF513" s="9">
        <f t="shared" si="224"/>
        <v>28649158.029999994</v>
      </c>
      <c r="AG513" s="59" t="s">
        <v>515</v>
      </c>
      <c r="AH513" s="13" t="s">
        <v>1980</v>
      </c>
      <c r="AI513" s="1">
        <f>2152401.31+483787.51+353759.62+893871.24+50810.75+755211.17+44698.53+53299.38</f>
        <v>4787839.5100000007</v>
      </c>
      <c r="AJ513" s="1">
        <f>236264.83+60776.2+75412.76+115828.22+72195.19</f>
        <v>560477.19999999995</v>
      </c>
    </row>
    <row r="514" spans="1:36" ht="165.75" customHeight="1" x14ac:dyDescent="0.25">
      <c r="A514" s="5">
        <f t="shared" si="210"/>
        <v>511</v>
      </c>
      <c r="B514" s="15">
        <v>127012</v>
      </c>
      <c r="C514" s="78">
        <v>578</v>
      </c>
      <c r="D514" s="55" t="s">
        <v>1373</v>
      </c>
      <c r="E514" s="17" t="s">
        <v>1125</v>
      </c>
      <c r="F514" s="55" t="s">
        <v>1502</v>
      </c>
      <c r="G514" s="34" t="s">
        <v>2102</v>
      </c>
      <c r="H514" s="5" t="s">
        <v>151</v>
      </c>
      <c r="I514" s="41" t="s">
        <v>1504</v>
      </c>
      <c r="J514" s="2">
        <v>43721</v>
      </c>
      <c r="K514" s="2">
        <v>44694</v>
      </c>
      <c r="L514" s="16">
        <f t="shared" si="218"/>
        <v>83.983862900157973</v>
      </c>
      <c r="M514" s="5" t="s">
        <v>136</v>
      </c>
      <c r="N514" s="5" t="s">
        <v>262</v>
      </c>
      <c r="O514" s="5" t="s">
        <v>262</v>
      </c>
      <c r="P514" s="3" t="s">
        <v>138</v>
      </c>
      <c r="Q514" s="5" t="str">
        <f t="shared" si="226"/>
        <v>119 - Investiții în capacitatea instituțională și în eficiența administrațiilor și a serviciilor publice la nivel național, regional și local, în perspectiva realizării de reforme, a unei mai bune legiferări și a bunei guvernanțe</v>
      </c>
      <c r="R514" s="4">
        <f t="shared" si="220"/>
        <v>20491271.68</v>
      </c>
      <c r="S514" s="9">
        <v>16524425.310000001</v>
      </c>
      <c r="T514" s="9">
        <v>3966846.37</v>
      </c>
      <c r="U514" s="4">
        <f t="shared" si="221"/>
        <v>0</v>
      </c>
      <c r="V514" s="53">
        <v>0</v>
      </c>
      <c r="W514" s="53">
        <v>0</v>
      </c>
      <c r="X514" s="4">
        <f t="shared" si="222"/>
        <v>3907786.63</v>
      </c>
      <c r="Y514" s="9">
        <v>2916075.03</v>
      </c>
      <c r="Z514" s="9">
        <v>991711.6</v>
      </c>
      <c r="AA514" s="9">
        <f t="shared" si="223"/>
        <v>0</v>
      </c>
      <c r="AB514" s="9">
        <v>0</v>
      </c>
      <c r="AC514" s="9">
        <v>0</v>
      </c>
      <c r="AD514" s="44">
        <f t="shared" si="209"/>
        <v>24399058.309999999</v>
      </c>
      <c r="AE514" s="9">
        <v>0</v>
      </c>
      <c r="AF514" s="9">
        <f t="shared" si="224"/>
        <v>24399058.309999999</v>
      </c>
      <c r="AG514" s="59" t="s">
        <v>515</v>
      </c>
      <c r="AH514" s="13"/>
      <c r="AI514" s="1">
        <f>83445.38+49015.23+231678.74+181337.75</f>
        <v>545477.1</v>
      </c>
      <c r="AJ514" s="1">
        <v>0</v>
      </c>
    </row>
    <row r="515" spans="1:36" ht="220.5" x14ac:dyDescent="0.25">
      <c r="A515" s="5">
        <f t="shared" si="210"/>
        <v>512</v>
      </c>
      <c r="B515" s="15">
        <v>126983</v>
      </c>
      <c r="C515" s="78">
        <v>589</v>
      </c>
      <c r="D515" s="55" t="s">
        <v>1373</v>
      </c>
      <c r="E515" s="17" t="s">
        <v>1125</v>
      </c>
      <c r="F515" s="55" t="s">
        <v>1503</v>
      </c>
      <c r="G515" s="34" t="s">
        <v>2102</v>
      </c>
      <c r="H515" s="5" t="s">
        <v>151</v>
      </c>
      <c r="I515" s="41" t="s">
        <v>1505</v>
      </c>
      <c r="J515" s="2">
        <v>43721</v>
      </c>
      <c r="K515" s="2">
        <v>44970</v>
      </c>
      <c r="L515" s="16">
        <f t="shared" si="218"/>
        <v>83.983862838975881</v>
      </c>
      <c r="M515" s="5" t="s">
        <v>136</v>
      </c>
      <c r="N515" s="5" t="s">
        <v>262</v>
      </c>
      <c r="O515" s="5" t="s">
        <v>262</v>
      </c>
      <c r="P515" s="3" t="s">
        <v>138</v>
      </c>
      <c r="Q515" s="5" t="str">
        <f t="shared" si="226"/>
        <v>119 - Investiții în capacitatea instituțională și în eficiența administrațiilor și a serviciilor publice la nivel național, regional și local, în perspectiva realizării de reforme, a unei mai bune legiferări și a bunei guvernanțe</v>
      </c>
      <c r="R515" s="4">
        <f t="shared" si="220"/>
        <v>23507069.830000002</v>
      </c>
      <c r="S515" s="9">
        <v>18956403.760000002</v>
      </c>
      <c r="T515" s="9">
        <v>4550666.07</v>
      </c>
      <c r="U515" s="4">
        <f t="shared" si="221"/>
        <v>0</v>
      </c>
      <c r="V515" s="53">
        <v>0</v>
      </c>
      <c r="W515" s="53">
        <v>0</v>
      </c>
      <c r="X515" s="4">
        <f t="shared" si="222"/>
        <v>4482914.24</v>
      </c>
      <c r="Y515" s="9">
        <v>3345247.72</v>
      </c>
      <c r="Z515" s="9">
        <v>1137666.52</v>
      </c>
      <c r="AA515" s="9">
        <f t="shared" si="223"/>
        <v>0</v>
      </c>
      <c r="AB515" s="9">
        <v>0</v>
      </c>
      <c r="AC515" s="9">
        <v>0</v>
      </c>
      <c r="AD515" s="44">
        <f t="shared" si="209"/>
        <v>27989984.07</v>
      </c>
      <c r="AE515" s="9">
        <v>0</v>
      </c>
      <c r="AF515" s="9">
        <f t="shared" si="224"/>
        <v>27989984.07</v>
      </c>
      <c r="AG515" s="59" t="s">
        <v>515</v>
      </c>
      <c r="AH515" s="13" t="s">
        <v>2180</v>
      </c>
      <c r="AI515" s="1">
        <f>97834.07+41661.72+181197.51+74487.22+125076.44</f>
        <v>520256.96</v>
      </c>
      <c r="AJ515" s="1">
        <v>0</v>
      </c>
    </row>
    <row r="516" spans="1:36" ht="283.5" x14ac:dyDescent="0.25">
      <c r="A516" s="5">
        <f t="shared" si="210"/>
        <v>513</v>
      </c>
      <c r="B516" s="15">
        <v>127577</v>
      </c>
      <c r="C516" s="78">
        <v>598</v>
      </c>
      <c r="D516" s="55" t="s">
        <v>1373</v>
      </c>
      <c r="E516" s="17" t="s">
        <v>1125</v>
      </c>
      <c r="F516" s="55" t="s">
        <v>1514</v>
      </c>
      <c r="G516" s="5" t="s">
        <v>1664</v>
      </c>
      <c r="H516" s="5" t="s">
        <v>151</v>
      </c>
      <c r="I516" s="41" t="s">
        <v>1571</v>
      </c>
      <c r="J516" s="2">
        <v>43725</v>
      </c>
      <c r="K516" s="2">
        <v>45002</v>
      </c>
      <c r="L516" s="16">
        <f t="shared" si="218"/>
        <v>83.983862586259619</v>
      </c>
      <c r="M516" s="5" t="s">
        <v>136</v>
      </c>
      <c r="N516" s="5" t="s">
        <v>262</v>
      </c>
      <c r="O516" s="5" t="s">
        <v>262</v>
      </c>
      <c r="P516" s="3" t="s">
        <v>138</v>
      </c>
      <c r="Q516" s="5" t="str">
        <f t="shared" si="226"/>
        <v>119 - Investiții în capacitatea instituțională și în eficiența administrațiilor și a serviciilor publice la nivel național, regional și local, în perspectiva realizării de reforme, a unei mai bune legiferări și a bunei guvernanțe</v>
      </c>
      <c r="R516" s="4">
        <f t="shared" si="220"/>
        <v>23213481.239999998</v>
      </c>
      <c r="S516" s="9">
        <v>18719650.129999999</v>
      </c>
      <c r="T516" s="9">
        <v>4493831.1100000003</v>
      </c>
      <c r="U516" s="4">
        <f t="shared" si="221"/>
        <v>0</v>
      </c>
      <c r="V516" s="53">
        <v>0</v>
      </c>
      <c r="W516" s="53">
        <v>0</v>
      </c>
      <c r="X516" s="4">
        <f t="shared" si="222"/>
        <v>4426925.53</v>
      </c>
      <c r="Y516" s="9">
        <v>3303467.7499334449</v>
      </c>
      <c r="Z516" s="9">
        <v>1123457.7800665554</v>
      </c>
      <c r="AA516" s="9">
        <f t="shared" si="223"/>
        <v>0</v>
      </c>
      <c r="AB516" s="9">
        <v>0</v>
      </c>
      <c r="AC516" s="9">
        <v>0</v>
      </c>
      <c r="AD516" s="44">
        <f t="shared" si="209"/>
        <v>27640406.77</v>
      </c>
      <c r="AE516" s="9">
        <v>0</v>
      </c>
      <c r="AF516" s="9">
        <f t="shared" si="224"/>
        <v>27640406.77</v>
      </c>
      <c r="AG516" s="59" t="s">
        <v>515</v>
      </c>
      <c r="AH516" s="13" t="s">
        <v>2181</v>
      </c>
      <c r="AI516" s="1">
        <f>1727422.58+344989.77+329947.4+388845.27+1830766.08+207011.77+1398634.92</f>
        <v>6227617.7899999991</v>
      </c>
      <c r="AJ516" s="1">
        <f>203.79+970.06+560.08</f>
        <v>1733.9299999999998</v>
      </c>
    </row>
    <row r="517" spans="1:36" ht="141.75" x14ac:dyDescent="0.25">
      <c r="A517" s="5">
        <f t="shared" si="210"/>
        <v>514</v>
      </c>
      <c r="B517" s="15">
        <v>130074</v>
      </c>
      <c r="C517" s="78">
        <v>714</v>
      </c>
      <c r="D517" s="55" t="s">
        <v>143</v>
      </c>
      <c r="E517" s="119" t="s">
        <v>1227</v>
      </c>
      <c r="F517" s="55" t="s">
        <v>1521</v>
      </c>
      <c r="G517" s="5" t="s">
        <v>1520</v>
      </c>
      <c r="H517" s="5" t="s">
        <v>151</v>
      </c>
      <c r="I517" s="41" t="s">
        <v>1522</v>
      </c>
      <c r="J517" s="2">
        <v>43734</v>
      </c>
      <c r="K517" s="2">
        <v>44556</v>
      </c>
      <c r="L517" s="16">
        <f t="shared" si="218"/>
        <v>83.983862788054537</v>
      </c>
      <c r="M517" s="5" t="s">
        <v>136</v>
      </c>
      <c r="N517" s="5" t="s">
        <v>262</v>
      </c>
      <c r="O517" s="5" t="s">
        <v>262</v>
      </c>
      <c r="P517" s="3" t="s">
        <v>138</v>
      </c>
      <c r="Q517" s="5" t="s">
        <v>34</v>
      </c>
      <c r="R517" s="4">
        <f t="shared" si="220"/>
        <v>12261622.399999999</v>
      </c>
      <c r="S517" s="9">
        <v>9887930.1899999995</v>
      </c>
      <c r="T517" s="9">
        <v>2373692.21</v>
      </c>
      <c r="U517" s="4">
        <f t="shared" si="221"/>
        <v>0</v>
      </c>
      <c r="V517" s="53">
        <v>0</v>
      </c>
      <c r="W517" s="53">
        <v>0</v>
      </c>
      <c r="X517" s="4">
        <f t="shared" si="222"/>
        <v>2338351.92</v>
      </c>
      <c r="Y517" s="9">
        <v>1744928.84</v>
      </c>
      <c r="Z517" s="9">
        <v>593423.07999999996</v>
      </c>
      <c r="AA517" s="9">
        <f t="shared" si="223"/>
        <v>0</v>
      </c>
      <c r="AB517" s="9">
        <v>0</v>
      </c>
      <c r="AC517" s="9">
        <v>0</v>
      </c>
      <c r="AD517" s="44">
        <f t="shared" ref="AD517:AD580" si="227">R517+U517+X517+AA517</f>
        <v>14599974.319999998</v>
      </c>
      <c r="AE517" s="9">
        <v>0</v>
      </c>
      <c r="AF517" s="9">
        <f t="shared" si="224"/>
        <v>14599974.319999998</v>
      </c>
      <c r="AG517" s="59" t="s">
        <v>515</v>
      </c>
      <c r="AH517" s="13" t="s">
        <v>1966</v>
      </c>
      <c r="AI517" s="1">
        <f>129003.07+125869.89+139505.98+45662.87</f>
        <v>440041.81000000006</v>
      </c>
      <c r="AJ517" s="1">
        <v>0</v>
      </c>
    </row>
    <row r="518" spans="1:36" ht="199.5" customHeight="1" x14ac:dyDescent="0.25">
      <c r="A518" s="5">
        <f t="shared" ref="A518:A581" si="228">A517+1</f>
        <v>515</v>
      </c>
      <c r="B518" s="15">
        <v>129720</v>
      </c>
      <c r="C518" s="78">
        <v>711</v>
      </c>
      <c r="D518" s="55" t="s">
        <v>143</v>
      </c>
      <c r="E518" s="119" t="s">
        <v>1227</v>
      </c>
      <c r="F518" s="55" t="s">
        <v>1526</v>
      </c>
      <c r="G518" s="3" t="s">
        <v>2098</v>
      </c>
      <c r="H518" s="5" t="s">
        <v>1525</v>
      </c>
      <c r="I518" s="109" t="s">
        <v>1527</v>
      </c>
      <c r="J518" s="2">
        <v>43735</v>
      </c>
      <c r="K518" s="2">
        <v>44466</v>
      </c>
      <c r="L518" s="16">
        <f t="shared" si="218"/>
        <v>83.983862799999997</v>
      </c>
      <c r="M518" s="5" t="s">
        <v>136</v>
      </c>
      <c r="N518" s="5" t="s">
        <v>262</v>
      </c>
      <c r="O518" s="5" t="s">
        <v>262</v>
      </c>
      <c r="P518" s="3" t="s">
        <v>138</v>
      </c>
      <c r="Q518" s="5" t="s">
        <v>34</v>
      </c>
      <c r="R518" s="4">
        <f t="shared" si="220"/>
        <v>16796772.560000002</v>
      </c>
      <c r="S518" s="9">
        <v>13545133.640000001</v>
      </c>
      <c r="T518" s="9">
        <v>3251638.92</v>
      </c>
      <c r="U518" s="4">
        <f t="shared" si="221"/>
        <v>0</v>
      </c>
      <c r="V518" s="53">
        <v>0</v>
      </c>
      <c r="W518" s="53">
        <v>0</v>
      </c>
      <c r="X518" s="4">
        <f t="shared" si="222"/>
        <v>3203227.4400000004</v>
      </c>
      <c r="Y518" s="9">
        <v>2390317.7200000002</v>
      </c>
      <c r="Z518" s="9">
        <v>812909.72</v>
      </c>
      <c r="AA518" s="9">
        <f t="shared" si="223"/>
        <v>0</v>
      </c>
      <c r="AB518" s="9">
        <v>0</v>
      </c>
      <c r="AC518" s="9">
        <v>0</v>
      </c>
      <c r="AD518" s="44">
        <f t="shared" si="227"/>
        <v>20000000.000000004</v>
      </c>
      <c r="AE518" s="9">
        <v>3531910</v>
      </c>
      <c r="AF518" s="9">
        <f t="shared" si="224"/>
        <v>23531910.000000004</v>
      </c>
      <c r="AG518" s="59" t="s">
        <v>515</v>
      </c>
      <c r="AH518" s="13">
        <v>43818</v>
      </c>
      <c r="AI518" s="1">
        <f>1613109.94+68979.3+76801.57+2714837.16+50659.91</f>
        <v>4524387.8800000008</v>
      </c>
      <c r="AJ518" s="1">
        <v>0</v>
      </c>
    </row>
    <row r="519" spans="1:36" ht="199.5" customHeight="1" x14ac:dyDescent="0.25">
      <c r="A519" s="5">
        <f t="shared" si="228"/>
        <v>516</v>
      </c>
      <c r="B519" s="15">
        <v>129934</v>
      </c>
      <c r="C519" s="78">
        <v>717</v>
      </c>
      <c r="D519" s="55" t="s">
        <v>143</v>
      </c>
      <c r="E519" s="119" t="s">
        <v>1227</v>
      </c>
      <c r="F519" s="55" t="s">
        <v>1528</v>
      </c>
      <c r="G519" s="5" t="s">
        <v>2099</v>
      </c>
      <c r="H519" s="5" t="s">
        <v>1525</v>
      </c>
      <c r="I519" s="109" t="s">
        <v>1529</v>
      </c>
      <c r="J519" s="2">
        <v>43735</v>
      </c>
      <c r="K519" s="2">
        <v>44953</v>
      </c>
      <c r="L519" s="16">
        <f t="shared" si="218"/>
        <v>83.983863056226028</v>
      </c>
      <c r="M519" s="5" t="s">
        <v>136</v>
      </c>
      <c r="N519" s="5" t="s">
        <v>262</v>
      </c>
      <c r="O519" s="5" t="s">
        <v>262</v>
      </c>
      <c r="P519" s="3" t="s">
        <v>138</v>
      </c>
      <c r="Q519" s="5" t="s">
        <v>34</v>
      </c>
      <c r="R519" s="4">
        <f t="shared" si="220"/>
        <v>16734381.939999999</v>
      </c>
      <c r="S519" s="9">
        <v>13494821.039999999</v>
      </c>
      <c r="T519" s="9">
        <v>3239560.9</v>
      </c>
      <c r="U519" s="4">
        <f t="shared" si="221"/>
        <v>0</v>
      </c>
      <c r="V519" s="53">
        <v>0</v>
      </c>
      <c r="W519" s="53">
        <v>0</v>
      </c>
      <c r="X519" s="4">
        <f t="shared" si="222"/>
        <v>3191329.1799999997</v>
      </c>
      <c r="Y519" s="9">
        <v>2381438.98</v>
      </c>
      <c r="Z519" s="9">
        <v>809890.2</v>
      </c>
      <c r="AA519" s="9">
        <f t="shared" si="223"/>
        <v>0</v>
      </c>
      <c r="AB519" s="9">
        <v>0</v>
      </c>
      <c r="AC519" s="9">
        <v>0</v>
      </c>
      <c r="AD519" s="44">
        <f t="shared" si="227"/>
        <v>19925711.119999997</v>
      </c>
      <c r="AE519" s="9">
        <v>0</v>
      </c>
      <c r="AF519" s="9">
        <f t="shared" si="224"/>
        <v>19925711.119999997</v>
      </c>
      <c r="AG519" s="59" t="s">
        <v>515</v>
      </c>
      <c r="AH519" s="13" t="s">
        <v>2024</v>
      </c>
      <c r="AI519" s="1">
        <v>141791.63</v>
      </c>
      <c r="AJ519" s="1">
        <v>0</v>
      </c>
    </row>
    <row r="520" spans="1:36" ht="199.5" customHeight="1" x14ac:dyDescent="0.25">
      <c r="A520" s="5">
        <f t="shared" si="228"/>
        <v>517</v>
      </c>
      <c r="B520" s="15">
        <v>129864</v>
      </c>
      <c r="C520" s="78">
        <v>712</v>
      </c>
      <c r="D520" s="55" t="s">
        <v>143</v>
      </c>
      <c r="E520" s="119" t="s">
        <v>1227</v>
      </c>
      <c r="F520" s="55" t="s">
        <v>1530</v>
      </c>
      <c r="G520" s="5" t="s">
        <v>780</v>
      </c>
      <c r="H520" s="5" t="s">
        <v>1525</v>
      </c>
      <c r="I520" s="109" t="s">
        <v>1531</v>
      </c>
      <c r="J520" s="2">
        <v>43739</v>
      </c>
      <c r="K520" s="2">
        <v>44470</v>
      </c>
      <c r="L520" s="16">
        <f t="shared" si="218"/>
        <v>83.983862870547185</v>
      </c>
      <c r="M520" s="5" t="s">
        <v>136</v>
      </c>
      <c r="N520" s="5" t="s">
        <v>262</v>
      </c>
      <c r="O520" s="5" t="s">
        <v>262</v>
      </c>
      <c r="P520" s="3" t="s">
        <v>138</v>
      </c>
      <c r="Q520" s="5" t="s">
        <v>34</v>
      </c>
      <c r="R520" s="4">
        <f t="shared" si="220"/>
        <v>12555453.99</v>
      </c>
      <c r="S520" s="9">
        <v>10124879.76</v>
      </c>
      <c r="T520" s="9">
        <v>2430574.23</v>
      </c>
      <c r="U520" s="4">
        <f t="shared" si="221"/>
        <v>0</v>
      </c>
      <c r="V520" s="53">
        <v>0</v>
      </c>
      <c r="W520" s="53">
        <v>0</v>
      </c>
      <c r="X520" s="4">
        <f t="shared" si="222"/>
        <v>2394387.04</v>
      </c>
      <c r="Y520" s="9">
        <v>1786743.47</v>
      </c>
      <c r="Z520" s="9">
        <v>607643.56999999995</v>
      </c>
      <c r="AA520" s="9">
        <f t="shared" si="223"/>
        <v>0</v>
      </c>
      <c r="AB520" s="9">
        <v>0</v>
      </c>
      <c r="AC520" s="9">
        <v>0</v>
      </c>
      <c r="AD520" s="44">
        <f t="shared" si="227"/>
        <v>14949841.030000001</v>
      </c>
      <c r="AE520" s="9">
        <v>0</v>
      </c>
      <c r="AF520" s="9">
        <f t="shared" si="224"/>
        <v>14949841.030000001</v>
      </c>
      <c r="AG520" s="59" t="s">
        <v>515</v>
      </c>
      <c r="AH520" s="13"/>
      <c r="AI520" s="1">
        <f>211446.04+244710.21+134219.36</f>
        <v>590375.61</v>
      </c>
      <c r="AJ520" s="1">
        <v>0</v>
      </c>
    </row>
    <row r="521" spans="1:36" ht="199.5" customHeight="1" x14ac:dyDescent="0.25">
      <c r="A521" s="5">
        <f t="shared" si="228"/>
        <v>518</v>
      </c>
      <c r="B521" s="15">
        <v>129721</v>
      </c>
      <c r="C521" s="15">
        <v>708</v>
      </c>
      <c r="D521" s="55" t="s">
        <v>143</v>
      </c>
      <c r="E521" s="119" t="s">
        <v>1227</v>
      </c>
      <c r="F521" s="55" t="s">
        <v>1534</v>
      </c>
      <c r="G521" s="5" t="s">
        <v>55</v>
      </c>
      <c r="H521" s="5" t="s">
        <v>1525</v>
      </c>
      <c r="I521" s="109" t="s">
        <v>1535</v>
      </c>
      <c r="J521" s="2">
        <v>43739</v>
      </c>
      <c r="K521" s="2">
        <v>44835</v>
      </c>
      <c r="L521" s="16">
        <f t="shared" si="218"/>
        <v>83.983863005238476</v>
      </c>
      <c r="M521" s="5" t="s">
        <v>136</v>
      </c>
      <c r="N521" s="5" t="s">
        <v>262</v>
      </c>
      <c r="O521" s="5" t="s">
        <v>262</v>
      </c>
      <c r="P521" s="3" t="s">
        <v>138</v>
      </c>
      <c r="Q521" s="5" t="s">
        <v>34</v>
      </c>
      <c r="R521" s="4">
        <f t="shared" si="220"/>
        <v>18405842.150000002</v>
      </c>
      <c r="S521" s="9">
        <v>14842708.050000001</v>
      </c>
      <c r="T521" s="9">
        <v>3563134.1</v>
      </c>
      <c r="U521" s="4">
        <f t="shared" si="221"/>
        <v>0</v>
      </c>
      <c r="V521" s="53">
        <v>0</v>
      </c>
      <c r="W521" s="53">
        <v>0</v>
      </c>
      <c r="X521" s="4">
        <f t="shared" si="222"/>
        <v>3510084.9</v>
      </c>
      <c r="Y521" s="9">
        <v>2619301.42</v>
      </c>
      <c r="Z521" s="9">
        <v>890783.48</v>
      </c>
      <c r="AA521" s="9">
        <f t="shared" si="223"/>
        <v>0</v>
      </c>
      <c r="AB521" s="9">
        <v>0</v>
      </c>
      <c r="AC521" s="9">
        <v>0</v>
      </c>
      <c r="AD521" s="44">
        <f t="shared" si="227"/>
        <v>21915927.050000001</v>
      </c>
      <c r="AE521" s="9">
        <v>0</v>
      </c>
      <c r="AF521" s="9">
        <f t="shared" si="224"/>
        <v>21915927.050000001</v>
      </c>
      <c r="AG521" s="59" t="s">
        <v>515</v>
      </c>
      <c r="AH521" s="13"/>
      <c r="AI521" s="1">
        <v>113724.23</v>
      </c>
      <c r="AJ521" s="1">
        <v>0</v>
      </c>
    </row>
    <row r="522" spans="1:36" ht="199.5" customHeight="1" x14ac:dyDescent="0.25">
      <c r="A522" s="5">
        <f t="shared" si="228"/>
        <v>519</v>
      </c>
      <c r="B522" s="15">
        <v>129513</v>
      </c>
      <c r="C522" s="78">
        <v>751</v>
      </c>
      <c r="D522" s="55" t="s">
        <v>145</v>
      </c>
      <c r="E522" s="119" t="s">
        <v>1381</v>
      </c>
      <c r="F522" s="55" t="s">
        <v>1536</v>
      </c>
      <c r="G522" s="5" t="s">
        <v>908</v>
      </c>
      <c r="H522" s="5" t="s">
        <v>1525</v>
      </c>
      <c r="I522" s="109" t="s">
        <v>1537</v>
      </c>
      <c r="J522" s="2">
        <v>43740</v>
      </c>
      <c r="K522" s="2">
        <v>44836</v>
      </c>
      <c r="L522" s="16">
        <f t="shared" si="218"/>
        <v>83.983862860400166</v>
      </c>
      <c r="M522" s="5" t="s">
        <v>136</v>
      </c>
      <c r="N522" s="5" t="s">
        <v>262</v>
      </c>
      <c r="O522" s="5" t="s">
        <v>262</v>
      </c>
      <c r="P522" s="3" t="s">
        <v>138</v>
      </c>
      <c r="Q522" s="5" t="s">
        <v>34</v>
      </c>
      <c r="R522" s="4">
        <f t="shared" si="220"/>
        <v>55026079.840000011</v>
      </c>
      <c r="S522" s="9">
        <v>44373739.24000001</v>
      </c>
      <c r="T522" s="9">
        <v>10652340.6</v>
      </c>
      <c r="U522" s="4">
        <f t="shared" si="221"/>
        <v>0</v>
      </c>
      <c r="V522" s="53">
        <v>0</v>
      </c>
      <c r="W522" s="53">
        <v>0</v>
      </c>
      <c r="X522" s="4">
        <f t="shared" si="222"/>
        <v>10493745</v>
      </c>
      <c r="Y522" s="9">
        <v>7830659.8499999996</v>
      </c>
      <c r="Z522" s="9">
        <v>2663085.15</v>
      </c>
      <c r="AA522" s="9">
        <f t="shared" si="223"/>
        <v>0</v>
      </c>
      <c r="AB522" s="9">
        <v>0</v>
      </c>
      <c r="AC522" s="9">
        <v>0</v>
      </c>
      <c r="AD522" s="44">
        <f t="shared" si="227"/>
        <v>65519824.840000011</v>
      </c>
      <c r="AE522" s="9">
        <v>0</v>
      </c>
      <c r="AF522" s="9">
        <f t="shared" si="224"/>
        <v>65519824.840000011</v>
      </c>
      <c r="AG522" s="59" t="s">
        <v>515</v>
      </c>
      <c r="AH522" s="13" t="s">
        <v>2214</v>
      </c>
      <c r="AI522" s="1">
        <f>281049.48+685757.66+516714.08+428470.56+486322+3637845.48</f>
        <v>6036159.2599999998</v>
      </c>
      <c r="AJ522" s="1">
        <v>0</v>
      </c>
    </row>
    <row r="523" spans="1:36" ht="199.5" customHeight="1" x14ac:dyDescent="0.25">
      <c r="A523" s="5">
        <f t="shared" si="228"/>
        <v>520</v>
      </c>
      <c r="B523" s="15">
        <v>127623</v>
      </c>
      <c r="C523" s="78">
        <v>595</v>
      </c>
      <c r="D523" s="5" t="s">
        <v>143</v>
      </c>
      <c r="E523" s="17" t="s">
        <v>1125</v>
      </c>
      <c r="F523" s="55" t="s">
        <v>1547</v>
      </c>
      <c r="G523" s="3" t="s">
        <v>1594</v>
      </c>
      <c r="H523" s="5" t="s">
        <v>1525</v>
      </c>
      <c r="I523" s="109" t="s">
        <v>1548</v>
      </c>
      <c r="J523" s="2">
        <v>43747</v>
      </c>
      <c r="K523" s="2">
        <v>44660</v>
      </c>
      <c r="L523" s="16">
        <f t="shared" si="218"/>
        <v>83.983863127601538</v>
      </c>
      <c r="M523" s="5" t="s">
        <v>136</v>
      </c>
      <c r="N523" s="5" t="s">
        <v>262</v>
      </c>
      <c r="O523" s="5" t="s">
        <v>262</v>
      </c>
      <c r="P523" s="3" t="s">
        <v>138</v>
      </c>
      <c r="Q523" s="5" t="s">
        <v>34</v>
      </c>
      <c r="R523" s="4">
        <f t="shared" si="220"/>
        <v>9906922.4600000009</v>
      </c>
      <c r="S523" s="9">
        <v>7989069.8300000001</v>
      </c>
      <c r="T523" s="9">
        <v>1917852.63</v>
      </c>
      <c r="U523" s="4">
        <f t="shared" si="221"/>
        <v>0</v>
      </c>
      <c r="V523" s="53">
        <v>0</v>
      </c>
      <c r="W523" s="53">
        <v>0</v>
      </c>
      <c r="X523" s="4">
        <f t="shared" si="222"/>
        <v>1889298.97</v>
      </c>
      <c r="Y523" s="9">
        <v>1409835.81</v>
      </c>
      <c r="Z523" s="9">
        <v>479463.16</v>
      </c>
      <c r="AA523" s="9">
        <f t="shared" si="223"/>
        <v>0</v>
      </c>
      <c r="AB523" s="9">
        <v>0</v>
      </c>
      <c r="AC523" s="9">
        <v>0</v>
      </c>
      <c r="AD523" s="44">
        <f t="shared" si="227"/>
        <v>11796221.430000002</v>
      </c>
      <c r="AE523" s="9">
        <v>0</v>
      </c>
      <c r="AF523" s="9">
        <f t="shared" si="224"/>
        <v>11796221.430000002</v>
      </c>
      <c r="AG523" s="59" t="s">
        <v>515</v>
      </c>
      <c r="AH523" s="13"/>
      <c r="AI523" s="1">
        <f>132598.52+77491.92+74960.64</f>
        <v>285051.08</v>
      </c>
      <c r="AJ523" s="1">
        <v>0</v>
      </c>
    </row>
    <row r="524" spans="1:36" ht="199.5" customHeight="1" x14ac:dyDescent="0.25">
      <c r="A524" s="5">
        <f t="shared" si="228"/>
        <v>521</v>
      </c>
      <c r="B524" s="15">
        <v>127598</v>
      </c>
      <c r="C524" s="78">
        <v>608</v>
      </c>
      <c r="D524" s="5" t="s">
        <v>143</v>
      </c>
      <c r="E524" s="17" t="s">
        <v>1125</v>
      </c>
      <c r="F524" s="55" t="s">
        <v>1549</v>
      </c>
      <c r="G524" s="5" t="s">
        <v>1649</v>
      </c>
      <c r="H524" s="5" t="s">
        <v>1550</v>
      </c>
      <c r="I524" s="109" t="s">
        <v>1551</v>
      </c>
      <c r="J524" s="2">
        <v>43749</v>
      </c>
      <c r="K524" s="2">
        <v>44845</v>
      </c>
      <c r="L524" s="16">
        <f t="shared" si="218"/>
        <v>83.983863222222226</v>
      </c>
      <c r="M524" s="5" t="s">
        <v>136</v>
      </c>
      <c r="N524" s="5" t="s">
        <v>262</v>
      </c>
      <c r="O524" s="5" t="s">
        <v>262</v>
      </c>
      <c r="P524" s="3" t="s">
        <v>138</v>
      </c>
      <c r="Q524" s="5" t="s">
        <v>34</v>
      </c>
      <c r="R524" s="4">
        <f t="shared" si="220"/>
        <v>15117095.379999999</v>
      </c>
      <c r="S524" s="9">
        <v>12190620.34</v>
      </c>
      <c r="T524" s="9">
        <v>2926475.04</v>
      </c>
      <c r="U524" s="4">
        <f t="shared" si="221"/>
        <v>1618328.4200000002</v>
      </c>
      <c r="V524" s="53">
        <v>1195958.3700000001</v>
      </c>
      <c r="W524" s="53">
        <v>422370.05</v>
      </c>
      <c r="X524" s="4">
        <f t="shared" si="222"/>
        <v>1264576.2</v>
      </c>
      <c r="Y524" s="9">
        <v>955327.51</v>
      </c>
      <c r="Z524" s="9">
        <v>309248.69</v>
      </c>
      <c r="AA524" s="9">
        <f t="shared" si="223"/>
        <v>0</v>
      </c>
      <c r="AB524" s="9">
        <v>0</v>
      </c>
      <c r="AC524" s="9">
        <v>0</v>
      </c>
      <c r="AD524" s="44">
        <f t="shared" si="227"/>
        <v>18000000</v>
      </c>
      <c r="AE524" s="9">
        <v>0</v>
      </c>
      <c r="AF524" s="9">
        <f t="shared" si="224"/>
        <v>18000000</v>
      </c>
      <c r="AG524" s="59" t="s">
        <v>515</v>
      </c>
      <c r="AH524" s="13"/>
      <c r="AI524" s="1">
        <f>1256566.16-2065.82+1022736.42+817563.47+1120183.68</f>
        <v>4214983.9099999992</v>
      </c>
      <c r="AJ524" s="1">
        <f>52183.12+2065.82+111341.07+136443.83+163573.7</f>
        <v>465607.54</v>
      </c>
    </row>
    <row r="525" spans="1:36" ht="271.5" customHeight="1" x14ac:dyDescent="0.25">
      <c r="A525" s="5">
        <f t="shared" si="228"/>
        <v>522</v>
      </c>
      <c r="B525" s="15">
        <v>129427</v>
      </c>
      <c r="C525" s="78">
        <v>702</v>
      </c>
      <c r="D525" s="55" t="s">
        <v>143</v>
      </c>
      <c r="E525" s="119" t="s">
        <v>1227</v>
      </c>
      <c r="F525" s="8" t="s">
        <v>1552</v>
      </c>
      <c r="G525" s="5" t="s">
        <v>2100</v>
      </c>
      <c r="H525" s="5" t="s">
        <v>151</v>
      </c>
      <c r="I525" s="74" t="s">
        <v>1553</v>
      </c>
      <c r="J525" s="2">
        <v>43749</v>
      </c>
      <c r="K525" s="2">
        <v>44662</v>
      </c>
      <c r="L525" s="16">
        <f t="shared" si="218"/>
        <v>83.983863368336614</v>
      </c>
      <c r="M525" s="5" t="s">
        <v>136</v>
      </c>
      <c r="N525" s="5" t="s">
        <v>262</v>
      </c>
      <c r="O525" s="5" t="s">
        <v>262</v>
      </c>
      <c r="P525" s="3" t="s">
        <v>138</v>
      </c>
      <c r="Q525" s="5" t="s">
        <v>34</v>
      </c>
      <c r="R525" s="4">
        <f t="shared" si="220"/>
        <v>5463727.5500000007</v>
      </c>
      <c r="S525" s="9">
        <v>4406020.2300000004</v>
      </c>
      <c r="T525" s="9">
        <v>1057707.32</v>
      </c>
      <c r="U525" s="4">
        <f t="shared" si="221"/>
        <v>0</v>
      </c>
      <c r="V525" s="53">
        <v>0</v>
      </c>
      <c r="W525" s="53">
        <v>0</v>
      </c>
      <c r="X525" s="4">
        <f t="shared" si="222"/>
        <v>1041959.77</v>
      </c>
      <c r="Y525" s="9">
        <v>777532.96</v>
      </c>
      <c r="Z525" s="9">
        <v>264426.81</v>
      </c>
      <c r="AA525" s="9">
        <f t="shared" si="223"/>
        <v>0</v>
      </c>
      <c r="AB525" s="9">
        <v>0</v>
      </c>
      <c r="AC525" s="9">
        <v>0</v>
      </c>
      <c r="AD525" s="44">
        <f t="shared" si="227"/>
        <v>6505687.3200000003</v>
      </c>
      <c r="AE525" s="9">
        <v>0</v>
      </c>
      <c r="AF525" s="9">
        <f t="shared" si="224"/>
        <v>6505687.3200000003</v>
      </c>
      <c r="AG525" s="59" t="s">
        <v>515</v>
      </c>
      <c r="AH525" s="13"/>
      <c r="AI525" s="1">
        <v>19662.36</v>
      </c>
      <c r="AJ525" s="1">
        <v>0</v>
      </c>
    </row>
    <row r="526" spans="1:36" ht="271.5" customHeight="1" x14ac:dyDescent="0.25">
      <c r="A526" s="5">
        <f t="shared" si="228"/>
        <v>523</v>
      </c>
      <c r="B526" s="15">
        <v>129900</v>
      </c>
      <c r="C526" s="78">
        <v>731</v>
      </c>
      <c r="D526" s="55" t="s">
        <v>143</v>
      </c>
      <c r="E526" s="119" t="s">
        <v>1227</v>
      </c>
      <c r="F526" s="55" t="s">
        <v>1555</v>
      </c>
      <c r="G526" s="3" t="s">
        <v>2098</v>
      </c>
      <c r="H526" s="5" t="s">
        <v>151</v>
      </c>
      <c r="I526" s="74" t="s">
        <v>1556</v>
      </c>
      <c r="J526" s="2">
        <v>43752</v>
      </c>
      <c r="K526" s="2">
        <v>44909</v>
      </c>
      <c r="L526" s="16">
        <f t="shared" si="218"/>
        <v>83.983863061184252</v>
      </c>
      <c r="M526" s="5" t="s">
        <v>136</v>
      </c>
      <c r="N526" s="5" t="s">
        <v>262</v>
      </c>
      <c r="O526" s="5" t="s">
        <v>262</v>
      </c>
      <c r="P526" s="3" t="s">
        <v>138</v>
      </c>
      <c r="Q526" s="5" t="s">
        <v>34</v>
      </c>
      <c r="R526" s="4">
        <f t="shared" si="220"/>
        <v>10447061.770000001</v>
      </c>
      <c r="S526" s="9">
        <v>8424645.1300000008</v>
      </c>
      <c r="T526" s="9">
        <v>2022416.64</v>
      </c>
      <c r="U526" s="4">
        <f t="shared" si="221"/>
        <v>0</v>
      </c>
      <c r="V526" s="53">
        <v>0</v>
      </c>
      <c r="W526" s="53">
        <v>0</v>
      </c>
      <c r="X526" s="4">
        <f t="shared" si="222"/>
        <v>1992306.21</v>
      </c>
      <c r="Y526" s="9">
        <v>1486702.04</v>
      </c>
      <c r="Z526" s="9">
        <v>505604.17</v>
      </c>
      <c r="AA526" s="9">
        <f t="shared" si="223"/>
        <v>0</v>
      </c>
      <c r="AB526" s="9">
        <v>0</v>
      </c>
      <c r="AC526" s="9">
        <v>0</v>
      </c>
      <c r="AD526" s="44">
        <f t="shared" si="227"/>
        <v>12439367.98</v>
      </c>
      <c r="AE526" s="9">
        <v>0</v>
      </c>
      <c r="AF526" s="9">
        <f t="shared" si="224"/>
        <v>12439367.98</v>
      </c>
      <c r="AG526" s="59" t="s">
        <v>515</v>
      </c>
      <c r="AH526" s="13" t="s">
        <v>2148</v>
      </c>
      <c r="AI526" s="1">
        <f>8494.97+9887.42+40165.97+12018.09+10946.46+19789.11</f>
        <v>101302.02</v>
      </c>
      <c r="AJ526" s="1">
        <v>0</v>
      </c>
    </row>
    <row r="527" spans="1:36" ht="271.5" customHeight="1" x14ac:dyDescent="0.25">
      <c r="A527" s="5">
        <f t="shared" si="228"/>
        <v>524</v>
      </c>
      <c r="B527" s="15">
        <v>129165</v>
      </c>
      <c r="C527" s="78">
        <v>728</v>
      </c>
      <c r="D527" s="55" t="s">
        <v>143</v>
      </c>
      <c r="E527" s="119" t="s">
        <v>1227</v>
      </c>
      <c r="F527" s="55" t="s">
        <v>1557</v>
      </c>
      <c r="G527" s="5" t="s">
        <v>55</v>
      </c>
      <c r="H527" s="5" t="s">
        <v>151</v>
      </c>
      <c r="I527" s="74" t="s">
        <v>1558</v>
      </c>
      <c r="J527" s="2">
        <v>43754</v>
      </c>
      <c r="K527" s="2">
        <v>44850</v>
      </c>
      <c r="L527" s="16">
        <f t="shared" si="218"/>
        <v>83.983862982033116</v>
      </c>
      <c r="M527" s="5" t="s">
        <v>136</v>
      </c>
      <c r="N527" s="5" t="s">
        <v>262</v>
      </c>
      <c r="O527" s="5" t="s">
        <v>262</v>
      </c>
      <c r="P527" s="3" t="s">
        <v>138</v>
      </c>
      <c r="Q527" s="5" t="s">
        <v>34</v>
      </c>
      <c r="R527" s="4">
        <f t="shared" si="220"/>
        <v>14670826.32</v>
      </c>
      <c r="S527" s="9">
        <v>11830743.25</v>
      </c>
      <c r="T527" s="9">
        <v>2840083.07</v>
      </c>
      <c r="U527" s="4">
        <f t="shared" si="221"/>
        <v>0</v>
      </c>
      <c r="V527" s="53">
        <v>0</v>
      </c>
      <c r="W527" s="53">
        <v>0</v>
      </c>
      <c r="X527" s="4">
        <f t="shared" si="222"/>
        <v>2797798.96</v>
      </c>
      <c r="Y527" s="9">
        <v>2087778.17</v>
      </c>
      <c r="Z527" s="9">
        <v>710020.79</v>
      </c>
      <c r="AA527" s="9">
        <f t="shared" si="223"/>
        <v>0</v>
      </c>
      <c r="AB527" s="9">
        <v>0</v>
      </c>
      <c r="AC527" s="9">
        <v>0</v>
      </c>
      <c r="AD527" s="44">
        <f t="shared" si="227"/>
        <v>17468625.280000001</v>
      </c>
      <c r="AE527" s="9">
        <v>0</v>
      </c>
      <c r="AF527" s="9">
        <f t="shared" si="224"/>
        <v>17468625.280000001</v>
      </c>
      <c r="AG527" s="59" t="s">
        <v>515</v>
      </c>
      <c r="AH527" s="13"/>
      <c r="AI527" s="1">
        <f>83522.79+351800.22+129034.08</f>
        <v>564357.09</v>
      </c>
      <c r="AJ527" s="1">
        <v>0</v>
      </c>
    </row>
    <row r="528" spans="1:36" ht="271.5" customHeight="1" x14ac:dyDescent="0.25">
      <c r="A528" s="5">
        <f t="shared" si="228"/>
        <v>525</v>
      </c>
      <c r="B528" s="15">
        <v>130070</v>
      </c>
      <c r="C528" s="78">
        <v>730</v>
      </c>
      <c r="D528" s="55" t="s">
        <v>143</v>
      </c>
      <c r="E528" s="119" t="s">
        <v>1227</v>
      </c>
      <c r="F528" s="55" t="s">
        <v>1559</v>
      </c>
      <c r="G528" s="5" t="s">
        <v>1597</v>
      </c>
      <c r="H528" s="5" t="s">
        <v>151</v>
      </c>
      <c r="I528" s="8" t="s">
        <v>1566</v>
      </c>
      <c r="J528" s="2">
        <v>43755</v>
      </c>
      <c r="K528" s="2">
        <v>44578</v>
      </c>
      <c r="L528" s="16">
        <f t="shared" si="218"/>
        <v>83.983863790383737</v>
      </c>
      <c r="M528" s="5" t="s">
        <v>136</v>
      </c>
      <c r="N528" s="5" t="s">
        <v>262</v>
      </c>
      <c r="O528" s="5" t="s">
        <v>262</v>
      </c>
      <c r="P528" s="3" t="s">
        <v>138</v>
      </c>
      <c r="Q528" s="5" t="s">
        <v>34</v>
      </c>
      <c r="R528" s="4">
        <f t="shared" si="220"/>
        <v>4510953.3099999996</v>
      </c>
      <c r="S528" s="9">
        <v>3637690.8199999994</v>
      </c>
      <c r="T528" s="9">
        <v>873262.49</v>
      </c>
      <c r="U528" s="4">
        <f t="shared" si="221"/>
        <v>0</v>
      </c>
      <c r="V528" s="53">
        <v>0</v>
      </c>
      <c r="W528" s="53">
        <v>0</v>
      </c>
      <c r="X528" s="4">
        <f t="shared" si="222"/>
        <v>860261</v>
      </c>
      <c r="Y528" s="9">
        <v>641945.4</v>
      </c>
      <c r="Z528" s="9">
        <v>218315.6</v>
      </c>
      <c r="AA528" s="9">
        <f t="shared" si="223"/>
        <v>0</v>
      </c>
      <c r="AB528" s="9">
        <v>0</v>
      </c>
      <c r="AC528" s="9">
        <v>0</v>
      </c>
      <c r="AD528" s="44">
        <f t="shared" si="227"/>
        <v>5371214.3099999996</v>
      </c>
      <c r="AE528" s="9">
        <v>0</v>
      </c>
      <c r="AF528" s="9">
        <f t="shared" si="224"/>
        <v>5371214.3099999996</v>
      </c>
      <c r="AG528" s="59" t="s">
        <v>515</v>
      </c>
      <c r="AH528" s="13" t="s">
        <v>2016</v>
      </c>
      <c r="AI528" s="1">
        <f>15001.2+67145.65</f>
        <v>82146.849999999991</v>
      </c>
      <c r="AJ528" s="1">
        <v>0</v>
      </c>
    </row>
    <row r="529" spans="1:36" ht="271.5" customHeight="1" x14ac:dyDescent="0.25">
      <c r="A529" s="5">
        <f t="shared" si="228"/>
        <v>526</v>
      </c>
      <c r="B529" s="15">
        <v>129717</v>
      </c>
      <c r="C529" s="15">
        <v>713</v>
      </c>
      <c r="D529" s="55" t="s">
        <v>143</v>
      </c>
      <c r="E529" s="119" t="s">
        <v>1227</v>
      </c>
      <c r="F529" s="55" t="s">
        <v>1561</v>
      </c>
      <c r="G529" s="3" t="s">
        <v>2098</v>
      </c>
      <c r="H529" s="5" t="s">
        <v>151</v>
      </c>
      <c r="I529" s="74" t="s">
        <v>1562</v>
      </c>
      <c r="J529" s="2">
        <v>43755</v>
      </c>
      <c r="K529" s="2">
        <v>44668</v>
      </c>
      <c r="L529" s="16">
        <f t="shared" si="218"/>
        <v>83.983862834089763</v>
      </c>
      <c r="M529" s="5" t="s">
        <v>136</v>
      </c>
      <c r="N529" s="5" t="s">
        <v>262</v>
      </c>
      <c r="O529" s="5" t="s">
        <v>262</v>
      </c>
      <c r="P529" s="3" t="s">
        <v>138</v>
      </c>
      <c r="Q529" s="5" t="s">
        <v>34</v>
      </c>
      <c r="R529" s="4">
        <f t="shared" si="220"/>
        <v>5038501.16</v>
      </c>
      <c r="S529" s="9">
        <v>4063112.22</v>
      </c>
      <c r="T529" s="9">
        <v>975388.94</v>
      </c>
      <c r="U529" s="4">
        <f t="shared" si="221"/>
        <v>0</v>
      </c>
      <c r="V529" s="53">
        <v>0</v>
      </c>
      <c r="W529" s="53">
        <v>0</v>
      </c>
      <c r="X529" s="4">
        <f t="shared" si="222"/>
        <v>960867.04</v>
      </c>
      <c r="Y529" s="9">
        <v>717019.79</v>
      </c>
      <c r="Z529" s="9">
        <v>243847.25</v>
      </c>
      <c r="AA529" s="9">
        <f t="shared" si="223"/>
        <v>0</v>
      </c>
      <c r="AB529" s="9">
        <v>0</v>
      </c>
      <c r="AC529" s="9">
        <v>0</v>
      </c>
      <c r="AD529" s="44">
        <f t="shared" si="227"/>
        <v>5999368.2000000002</v>
      </c>
      <c r="AE529" s="9">
        <v>0</v>
      </c>
      <c r="AF529" s="9">
        <f t="shared" si="224"/>
        <v>5999368.2000000002</v>
      </c>
      <c r="AG529" s="59" t="s">
        <v>515</v>
      </c>
      <c r="AH529" s="13"/>
      <c r="AI529" s="1">
        <f>129503.12+13186.83+9573.32+351744.57+9168.52</f>
        <v>513176.36</v>
      </c>
      <c r="AJ529" s="1">
        <v>0</v>
      </c>
    </row>
    <row r="530" spans="1:36" ht="409.5" customHeight="1" x14ac:dyDescent="0.25">
      <c r="A530" s="5">
        <f t="shared" si="228"/>
        <v>527</v>
      </c>
      <c r="B530" s="15">
        <v>130033</v>
      </c>
      <c r="C530" s="78">
        <v>734</v>
      </c>
      <c r="D530" s="55" t="s">
        <v>143</v>
      </c>
      <c r="E530" s="119" t="s">
        <v>1227</v>
      </c>
      <c r="F530" s="55" t="s">
        <v>1564</v>
      </c>
      <c r="G530" s="5" t="s">
        <v>1649</v>
      </c>
      <c r="H530" s="5" t="s">
        <v>1565</v>
      </c>
      <c r="I530" s="74" t="s">
        <v>1567</v>
      </c>
      <c r="J530" s="2">
        <v>43755</v>
      </c>
      <c r="K530" s="2">
        <v>45216</v>
      </c>
      <c r="L530" s="16">
        <f t="shared" si="218"/>
        <v>83.983862824652149</v>
      </c>
      <c r="M530" s="5" t="s">
        <v>136</v>
      </c>
      <c r="N530" s="5" t="s">
        <v>262</v>
      </c>
      <c r="O530" s="5" t="s">
        <v>262</v>
      </c>
      <c r="P530" s="3" t="s">
        <v>138</v>
      </c>
      <c r="Q530" s="5" t="s">
        <v>34</v>
      </c>
      <c r="R530" s="4">
        <f t="shared" si="220"/>
        <v>117574048.60000001</v>
      </c>
      <c r="S530" s="9">
        <v>94813226.560000002</v>
      </c>
      <c r="T530" s="9">
        <v>22760822.040000007</v>
      </c>
      <c r="U530" s="4">
        <f t="shared" si="221"/>
        <v>974280.55999999994</v>
      </c>
      <c r="V530" s="53">
        <v>720001.54999999993</v>
      </c>
      <c r="W530" s="53">
        <v>254279.01</v>
      </c>
      <c r="X530" s="4">
        <f t="shared" si="222"/>
        <v>21447670.84</v>
      </c>
      <c r="Y530" s="9">
        <v>16011744.310000001</v>
      </c>
      <c r="Z530" s="9">
        <v>5435926.5300000003</v>
      </c>
      <c r="AA530" s="9">
        <f t="shared" si="223"/>
        <v>0</v>
      </c>
      <c r="AB530" s="9">
        <v>0</v>
      </c>
      <c r="AC530" s="9">
        <v>0</v>
      </c>
      <c r="AD530" s="44">
        <f t="shared" si="227"/>
        <v>139996000</v>
      </c>
      <c r="AE530" s="9">
        <v>0</v>
      </c>
      <c r="AF530" s="9">
        <f t="shared" si="224"/>
        <v>139996000</v>
      </c>
      <c r="AG530" s="59" t="s">
        <v>515</v>
      </c>
      <c r="AH530" s="13" t="s">
        <v>2174</v>
      </c>
      <c r="AI530" s="1">
        <f>10931339.59+1052162.42+3541052.81+1696.47</f>
        <v>15526251.290000001</v>
      </c>
      <c r="AJ530" s="1">
        <f>165728.5+234828.34+283.13</f>
        <v>400839.97</v>
      </c>
    </row>
    <row r="531" spans="1:36" ht="409.5" customHeight="1" x14ac:dyDescent="0.25">
      <c r="A531" s="5">
        <f t="shared" si="228"/>
        <v>528</v>
      </c>
      <c r="B531" s="15">
        <v>129914</v>
      </c>
      <c r="C531" s="78">
        <v>752</v>
      </c>
      <c r="D531" s="55" t="s">
        <v>145</v>
      </c>
      <c r="E531" s="119" t="s">
        <v>1381</v>
      </c>
      <c r="F531" s="55" t="s">
        <v>1568</v>
      </c>
      <c r="G531" s="5" t="s">
        <v>1569</v>
      </c>
      <c r="H531" s="5" t="s">
        <v>562</v>
      </c>
      <c r="I531" s="74" t="s">
        <v>1570</v>
      </c>
      <c r="J531" s="2">
        <v>43755</v>
      </c>
      <c r="K531" s="2">
        <v>44851</v>
      </c>
      <c r="L531" s="16">
        <f t="shared" si="218"/>
        <v>83.983862841385985</v>
      </c>
      <c r="M531" s="5" t="s">
        <v>136</v>
      </c>
      <c r="N531" s="5" t="s">
        <v>262</v>
      </c>
      <c r="O531" s="5" t="s">
        <v>262</v>
      </c>
      <c r="P531" s="3" t="s">
        <v>138</v>
      </c>
      <c r="Q531" s="5" t="s">
        <v>34</v>
      </c>
      <c r="R531" s="4">
        <f t="shared" si="220"/>
        <v>10262590.810000001</v>
      </c>
      <c r="S531" s="9">
        <v>8275885.3600000003</v>
      </c>
      <c r="T531" s="9">
        <v>1986705.4500000004</v>
      </c>
      <c r="U531" s="4">
        <f t="shared" si="221"/>
        <v>0</v>
      </c>
      <c r="V531" s="53">
        <v>0</v>
      </c>
      <c r="W531" s="53">
        <v>0</v>
      </c>
      <c r="X531" s="4">
        <f t="shared" si="222"/>
        <v>1957126.7200000002</v>
      </c>
      <c r="Y531" s="9">
        <v>1460450.36</v>
      </c>
      <c r="Z531" s="9">
        <v>496676.36</v>
      </c>
      <c r="AA531" s="9">
        <f t="shared" si="223"/>
        <v>0</v>
      </c>
      <c r="AB531" s="9">
        <v>0</v>
      </c>
      <c r="AC531" s="9">
        <v>0</v>
      </c>
      <c r="AD531" s="44">
        <f t="shared" si="227"/>
        <v>12219717.530000001</v>
      </c>
      <c r="AE531" s="9">
        <v>0</v>
      </c>
      <c r="AF531" s="9">
        <f t="shared" si="224"/>
        <v>12219717.530000001</v>
      </c>
      <c r="AG531" s="59" t="s">
        <v>515</v>
      </c>
      <c r="AH531" s="13" t="s">
        <v>2198</v>
      </c>
      <c r="AI531" s="1">
        <f>121921.89+165239.27+154753.7+261297.32+406055.9+1063553</f>
        <v>2172821.08</v>
      </c>
      <c r="AJ531" s="1">
        <v>0</v>
      </c>
    </row>
    <row r="532" spans="1:36" ht="279" customHeight="1" x14ac:dyDescent="0.25">
      <c r="A532" s="5">
        <f t="shared" si="228"/>
        <v>529</v>
      </c>
      <c r="B532" s="15">
        <v>129605</v>
      </c>
      <c r="C532" s="78">
        <v>723</v>
      </c>
      <c r="D532" s="55" t="s">
        <v>143</v>
      </c>
      <c r="E532" s="119" t="s">
        <v>1227</v>
      </c>
      <c r="F532" s="55" t="s">
        <v>1578</v>
      </c>
      <c r="G532" s="5" t="s">
        <v>55</v>
      </c>
      <c r="H532" s="5" t="s">
        <v>151</v>
      </c>
      <c r="I532" s="55" t="s">
        <v>1579</v>
      </c>
      <c r="J532" s="2">
        <v>43767</v>
      </c>
      <c r="K532" s="2">
        <v>44863</v>
      </c>
      <c r="L532" s="16">
        <f t="shared" si="218"/>
        <v>83.983862776024722</v>
      </c>
      <c r="M532" s="5" t="s">
        <v>136</v>
      </c>
      <c r="N532" s="5" t="s">
        <v>262</v>
      </c>
      <c r="O532" s="5" t="s">
        <v>262</v>
      </c>
      <c r="P532" s="3" t="s">
        <v>138</v>
      </c>
      <c r="Q532" s="5" t="s">
        <v>34</v>
      </c>
      <c r="R532" s="4">
        <f t="shared" si="220"/>
        <v>17794139.579999998</v>
      </c>
      <c r="S532" s="9">
        <v>14349423.26</v>
      </c>
      <c r="T532" s="9">
        <v>3444716.32</v>
      </c>
      <c r="U532" s="4">
        <f t="shared" si="221"/>
        <v>0</v>
      </c>
      <c r="V532" s="53">
        <v>0</v>
      </c>
      <c r="W532" s="53">
        <v>0</v>
      </c>
      <c r="X532" s="4">
        <f t="shared" si="222"/>
        <v>3393430.26</v>
      </c>
      <c r="Y532" s="9">
        <v>2532251.17</v>
      </c>
      <c r="Z532" s="9">
        <v>861179.09</v>
      </c>
      <c r="AA532" s="9">
        <f t="shared" si="223"/>
        <v>0</v>
      </c>
      <c r="AB532" s="9">
        <v>0</v>
      </c>
      <c r="AC532" s="9">
        <v>0</v>
      </c>
      <c r="AD532" s="44">
        <f t="shared" si="227"/>
        <v>21187569.839999996</v>
      </c>
      <c r="AE532" s="9">
        <v>0</v>
      </c>
      <c r="AF532" s="9">
        <f t="shared" si="224"/>
        <v>21187569.839999996</v>
      </c>
      <c r="AG532" s="59" t="s">
        <v>515</v>
      </c>
      <c r="AH532" s="13"/>
      <c r="AI532" s="1">
        <f>22757.11+128885.93+61500.78</f>
        <v>213143.81999999998</v>
      </c>
      <c r="AJ532" s="1">
        <v>0</v>
      </c>
    </row>
    <row r="533" spans="1:36" ht="279" customHeight="1" x14ac:dyDescent="0.25">
      <c r="A533" s="5">
        <f t="shared" si="228"/>
        <v>530</v>
      </c>
      <c r="B533" s="15">
        <v>129988</v>
      </c>
      <c r="C533" s="78">
        <v>722</v>
      </c>
      <c r="D533" s="55" t="s">
        <v>143</v>
      </c>
      <c r="E533" s="119" t="s">
        <v>1227</v>
      </c>
      <c r="F533" s="55" t="s">
        <v>1580</v>
      </c>
      <c r="G533" s="3" t="s">
        <v>2098</v>
      </c>
      <c r="H533" s="5" t="s">
        <v>1612</v>
      </c>
      <c r="I533" s="55" t="s">
        <v>1581</v>
      </c>
      <c r="J533" s="2">
        <v>43769</v>
      </c>
      <c r="K533" s="2">
        <v>44592</v>
      </c>
      <c r="L533" s="16">
        <f t="shared" si="218"/>
        <v>83.983861380083297</v>
      </c>
      <c r="M533" s="5" t="s">
        <v>136</v>
      </c>
      <c r="N533" s="5" t="s">
        <v>262</v>
      </c>
      <c r="O533" s="5" t="s">
        <v>262</v>
      </c>
      <c r="P533" s="3" t="s">
        <v>138</v>
      </c>
      <c r="Q533" s="5" t="s">
        <v>34</v>
      </c>
      <c r="R533" s="4">
        <f t="shared" si="220"/>
        <v>2316470.8900000006</v>
      </c>
      <c r="S533" s="9">
        <v>1868031.9900000007</v>
      </c>
      <c r="T533" s="9">
        <v>448438.89999999997</v>
      </c>
      <c r="U533" s="4">
        <f t="shared" si="221"/>
        <v>24320.799999999999</v>
      </c>
      <c r="V533" s="53">
        <v>17973.28</v>
      </c>
      <c r="W533" s="53">
        <v>6347.52</v>
      </c>
      <c r="X533" s="4">
        <f t="shared" si="222"/>
        <v>417441.68</v>
      </c>
      <c r="Y533" s="9">
        <v>311679.42</v>
      </c>
      <c r="Z533" s="9">
        <v>105762.26</v>
      </c>
      <c r="AA533" s="9">
        <f t="shared" si="223"/>
        <v>0</v>
      </c>
      <c r="AB533" s="9">
        <v>0</v>
      </c>
      <c r="AC533" s="9">
        <v>0</v>
      </c>
      <c r="AD533" s="44">
        <f t="shared" si="227"/>
        <v>2758233.3700000006</v>
      </c>
      <c r="AE533" s="9">
        <v>0</v>
      </c>
      <c r="AF533" s="9">
        <f t="shared" si="224"/>
        <v>2758233.3700000006</v>
      </c>
      <c r="AG533" s="59" t="s">
        <v>515</v>
      </c>
      <c r="AH533" s="13" t="s">
        <v>2212</v>
      </c>
      <c r="AI533" s="1">
        <f>10251.91+105966.94</f>
        <v>116218.85</v>
      </c>
      <c r="AJ533" s="1">
        <v>0</v>
      </c>
    </row>
    <row r="534" spans="1:36" ht="279" customHeight="1" x14ac:dyDescent="0.25">
      <c r="A534" s="5">
        <f t="shared" si="228"/>
        <v>531</v>
      </c>
      <c r="B534" s="15">
        <v>126131</v>
      </c>
      <c r="C534" s="78">
        <v>575</v>
      </c>
      <c r="D534" s="55" t="s">
        <v>143</v>
      </c>
      <c r="E534" s="119" t="s">
        <v>1125</v>
      </c>
      <c r="F534" s="55" t="s">
        <v>1584</v>
      </c>
      <c r="G534" s="5" t="s">
        <v>1593</v>
      </c>
      <c r="H534" s="5" t="s">
        <v>299</v>
      </c>
      <c r="I534" s="55" t="s">
        <v>1585</v>
      </c>
      <c r="J534" s="2">
        <v>43770</v>
      </c>
      <c r="K534" s="2">
        <v>44501</v>
      </c>
      <c r="L534" s="16">
        <f t="shared" si="218"/>
        <v>83.983862526260836</v>
      </c>
      <c r="M534" s="5" t="s">
        <v>1586</v>
      </c>
      <c r="N534" s="5" t="s">
        <v>262</v>
      </c>
      <c r="O534" s="5" t="s">
        <v>137</v>
      </c>
      <c r="P534" s="3" t="s">
        <v>138</v>
      </c>
      <c r="Q534" s="5" t="s">
        <v>1587</v>
      </c>
      <c r="R534" s="4">
        <f t="shared" si="220"/>
        <v>5226214.8500000024</v>
      </c>
      <c r="S534" s="9">
        <v>4214486.950000002</v>
      </c>
      <c r="T534" s="9">
        <v>1011727.9</v>
      </c>
      <c r="U534" s="4">
        <f t="shared" si="221"/>
        <v>0</v>
      </c>
      <c r="V534" s="53">
        <v>0</v>
      </c>
      <c r="W534" s="53">
        <v>0</v>
      </c>
      <c r="X534" s="4">
        <f t="shared" si="222"/>
        <v>996664.99</v>
      </c>
      <c r="Y534" s="9">
        <v>743733</v>
      </c>
      <c r="Z534" s="9">
        <v>252931.99</v>
      </c>
      <c r="AA534" s="9">
        <f t="shared" si="223"/>
        <v>0</v>
      </c>
      <c r="AB534" s="9">
        <v>0</v>
      </c>
      <c r="AC534" s="9">
        <v>0</v>
      </c>
      <c r="AD534" s="44">
        <f t="shared" si="227"/>
        <v>6222879.8400000026</v>
      </c>
      <c r="AE534" s="9">
        <v>0</v>
      </c>
      <c r="AF534" s="9">
        <f t="shared" si="224"/>
        <v>6222879.8400000026</v>
      </c>
      <c r="AG534" s="59" t="s">
        <v>515</v>
      </c>
      <c r="AH534" s="13" t="s">
        <v>2173</v>
      </c>
      <c r="AI534" s="1">
        <f>241884.65+99070.84+219197.39+126966.07+108092.98</f>
        <v>795211.92999999993</v>
      </c>
      <c r="AJ534" s="1">
        <v>0</v>
      </c>
    </row>
    <row r="535" spans="1:36" ht="279" customHeight="1" x14ac:dyDescent="0.25">
      <c r="A535" s="5">
        <f t="shared" si="228"/>
        <v>532</v>
      </c>
      <c r="B535" s="15">
        <v>127024</v>
      </c>
      <c r="C535" s="78">
        <v>597</v>
      </c>
      <c r="D535" s="55" t="s">
        <v>143</v>
      </c>
      <c r="E535" s="119" t="s">
        <v>1125</v>
      </c>
      <c r="F535" s="55" t="s">
        <v>1619</v>
      </c>
      <c r="G535" s="5" t="s">
        <v>1620</v>
      </c>
      <c r="H535" s="5" t="s">
        <v>299</v>
      </c>
      <c r="I535" s="60" t="s">
        <v>1621</v>
      </c>
      <c r="J535" s="2">
        <v>43780</v>
      </c>
      <c r="K535" s="2">
        <v>44815</v>
      </c>
      <c r="L535" s="16">
        <f t="shared" si="218"/>
        <v>83.983863448962865</v>
      </c>
      <c r="M535" s="5" t="s">
        <v>1586</v>
      </c>
      <c r="N535" s="5" t="s">
        <v>262</v>
      </c>
      <c r="O535" s="5" t="s">
        <v>137</v>
      </c>
      <c r="P535" s="3" t="s">
        <v>138</v>
      </c>
      <c r="Q535" s="5" t="s">
        <v>1587</v>
      </c>
      <c r="R535" s="4">
        <f t="shared" si="220"/>
        <v>7226660.4299999997</v>
      </c>
      <c r="S535" s="9">
        <v>5827672.0199999996</v>
      </c>
      <c r="T535" s="9">
        <v>1398988.41</v>
      </c>
      <c r="U535" s="4">
        <f t="shared" si="221"/>
        <v>0</v>
      </c>
      <c r="V535" s="53">
        <v>0</v>
      </c>
      <c r="W535" s="53">
        <v>0</v>
      </c>
      <c r="X535" s="4">
        <f t="shared" si="222"/>
        <v>1378159.75</v>
      </c>
      <c r="Y535" s="9">
        <v>1028412.65</v>
      </c>
      <c r="Z535" s="9">
        <v>349747.1</v>
      </c>
      <c r="AA535" s="9">
        <f t="shared" si="223"/>
        <v>0</v>
      </c>
      <c r="AB535" s="9">
        <v>0</v>
      </c>
      <c r="AC535" s="9">
        <v>0</v>
      </c>
      <c r="AD535" s="44">
        <f t="shared" si="227"/>
        <v>8604820.1799999997</v>
      </c>
      <c r="AE535" s="9">
        <v>1800000</v>
      </c>
      <c r="AF535" s="9">
        <f t="shared" si="224"/>
        <v>10404820.18</v>
      </c>
      <c r="AG535" s="59" t="s">
        <v>515</v>
      </c>
      <c r="AH535" s="13" t="s">
        <v>2168</v>
      </c>
      <c r="AI535" s="1">
        <f>15455.18+11690.56+20309.88+70213.23+31079.07</f>
        <v>148747.91999999998</v>
      </c>
      <c r="AJ535" s="1">
        <v>0</v>
      </c>
    </row>
    <row r="536" spans="1:36" ht="279" customHeight="1" x14ac:dyDescent="0.25">
      <c r="A536" s="5">
        <f t="shared" si="228"/>
        <v>533</v>
      </c>
      <c r="B536" s="15">
        <v>129872</v>
      </c>
      <c r="C536" s="15">
        <v>715</v>
      </c>
      <c r="D536" s="55" t="s">
        <v>143</v>
      </c>
      <c r="E536" s="119" t="s">
        <v>1227</v>
      </c>
      <c r="F536" s="124" t="s">
        <v>1669</v>
      </c>
      <c r="G536" s="5" t="s">
        <v>1670</v>
      </c>
      <c r="H536" s="5" t="s">
        <v>1671</v>
      </c>
      <c r="I536" s="219" t="s">
        <v>1672</v>
      </c>
      <c r="J536" s="2">
        <v>43838</v>
      </c>
      <c r="K536" s="2">
        <v>44934</v>
      </c>
      <c r="L536" s="16">
        <f t="shared" si="218"/>
        <v>83.98386275132971</v>
      </c>
      <c r="M536" s="5" t="s">
        <v>1586</v>
      </c>
      <c r="N536" s="5" t="s">
        <v>262</v>
      </c>
      <c r="O536" s="5" t="s">
        <v>137</v>
      </c>
      <c r="P536" s="3" t="s">
        <v>138</v>
      </c>
      <c r="Q536" s="5" t="s">
        <v>1587</v>
      </c>
      <c r="R536" s="4">
        <f t="shared" si="220"/>
        <v>14298114.27</v>
      </c>
      <c r="S536" s="220">
        <v>11530183.43</v>
      </c>
      <c r="T536" s="220">
        <v>2767930.84</v>
      </c>
      <c r="U536" s="4">
        <f t="shared" si="221"/>
        <v>2244193.12</v>
      </c>
      <c r="V536" s="53">
        <v>1658477.48</v>
      </c>
      <c r="W536" s="53">
        <v>585715.64</v>
      </c>
      <c r="X536" s="4">
        <f t="shared" si="222"/>
        <v>482527.86</v>
      </c>
      <c r="Y536" s="220">
        <v>376260.79</v>
      </c>
      <c r="Z536" s="220">
        <v>106267.07</v>
      </c>
      <c r="AA536" s="9">
        <f t="shared" si="223"/>
        <v>0</v>
      </c>
      <c r="AB536" s="9">
        <v>0</v>
      </c>
      <c r="AC536" s="9">
        <v>0</v>
      </c>
      <c r="AD536" s="44">
        <f t="shared" si="227"/>
        <v>17024835.25</v>
      </c>
      <c r="AE536" s="9">
        <v>0</v>
      </c>
      <c r="AF536" s="9">
        <f t="shared" si="224"/>
        <v>17024835.25</v>
      </c>
      <c r="AG536" s="59" t="s">
        <v>515</v>
      </c>
      <c r="AH536" s="13" t="s">
        <v>2041</v>
      </c>
      <c r="AI536" s="1">
        <f>189152.64+1300000+1101373.25-51185.13+1344978.07</f>
        <v>3884318.83</v>
      </c>
      <c r="AJ536" s="1">
        <f>31040.01+128850.4+121426.66+78498.26</f>
        <v>359815.33</v>
      </c>
    </row>
    <row r="537" spans="1:36" ht="279" customHeight="1" x14ac:dyDescent="0.25">
      <c r="A537" s="5">
        <f t="shared" si="228"/>
        <v>534</v>
      </c>
      <c r="B537" s="15">
        <v>129752</v>
      </c>
      <c r="C537" s="78">
        <v>707</v>
      </c>
      <c r="D537" s="55" t="s">
        <v>143</v>
      </c>
      <c r="E537" s="119" t="s">
        <v>1227</v>
      </c>
      <c r="F537" s="55" t="s">
        <v>1626</v>
      </c>
      <c r="G537" s="5" t="s">
        <v>1593</v>
      </c>
      <c r="H537" s="5" t="s">
        <v>151</v>
      </c>
      <c r="I537" s="55" t="s">
        <v>1627</v>
      </c>
      <c r="J537" s="2">
        <v>43791</v>
      </c>
      <c r="K537" s="2">
        <v>44703</v>
      </c>
      <c r="L537" s="16">
        <f t="shared" si="218"/>
        <v>83.983863478914273</v>
      </c>
      <c r="M537" s="5" t="s">
        <v>1586</v>
      </c>
      <c r="N537" s="5" t="s">
        <v>262</v>
      </c>
      <c r="O537" s="5" t="s">
        <v>137</v>
      </c>
      <c r="P537" s="3" t="s">
        <v>138</v>
      </c>
      <c r="Q537" s="5" t="s">
        <v>1587</v>
      </c>
      <c r="R537" s="4">
        <f t="shared" si="220"/>
        <v>5269881.79</v>
      </c>
      <c r="S537" s="220">
        <v>4249700.58</v>
      </c>
      <c r="T537" s="220">
        <v>1020181.21</v>
      </c>
      <c r="U537" s="4">
        <f t="shared" si="221"/>
        <v>0</v>
      </c>
      <c r="V537" s="53">
        <v>0</v>
      </c>
      <c r="W537" s="53">
        <v>0</v>
      </c>
      <c r="X537" s="4">
        <f t="shared" si="222"/>
        <v>1004992.42</v>
      </c>
      <c r="Y537" s="220">
        <v>749947.06</v>
      </c>
      <c r="Z537" s="220">
        <v>255045.36</v>
      </c>
      <c r="AA537" s="9">
        <v>0</v>
      </c>
      <c r="AB537" s="9">
        <v>0</v>
      </c>
      <c r="AC537" s="9">
        <v>0</v>
      </c>
      <c r="AD537" s="44">
        <f t="shared" si="227"/>
        <v>6274874.21</v>
      </c>
      <c r="AE537" s="9">
        <v>0</v>
      </c>
      <c r="AF537" s="9">
        <f t="shared" si="224"/>
        <v>6274874.21</v>
      </c>
      <c r="AG537" s="59" t="s">
        <v>515</v>
      </c>
      <c r="AH537" s="13"/>
      <c r="AI537" s="1">
        <f>544225.81+67302.99+86586.53+103080.13+136816.43</f>
        <v>938011.89000000013</v>
      </c>
      <c r="AJ537" s="1">
        <v>0</v>
      </c>
    </row>
    <row r="538" spans="1:36" ht="279" customHeight="1" x14ac:dyDescent="0.25">
      <c r="A538" s="5">
        <f t="shared" si="228"/>
        <v>535</v>
      </c>
      <c r="B538" s="15">
        <v>129166</v>
      </c>
      <c r="C538" s="78">
        <v>696</v>
      </c>
      <c r="D538" s="55" t="s">
        <v>143</v>
      </c>
      <c r="E538" s="119" t="s">
        <v>1227</v>
      </c>
      <c r="F538" s="55" t="s">
        <v>1632</v>
      </c>
      <c r="G538" s="5" t="s">
        <v>55</v>
      </c>
      <c r="H538" s="5" t="s">
        <v>151</v>
      </c>
      <c r="I538" s="55" t="s">
        <v>1633</v>
      </c>
      <c r="J538" s="2">
        <v>43797</v>
      </c>
      <c r="K538" s="2">
        <v>44893</v>
      </c>
      <c r="L538" s="16">
        <f t="shared" si="218"/>
        <v>83.98386275414363</v>
      </c>
      <c r="M538" s="5" t="s">
        <v>1586</v>
      </c>
      <c r="N538" s="5" t="s">
        <v>262</v>
      </c>
      <c r="O538" s="5" t="s">
        <v>137</v>
      </c>
      <c r="P538" s="3" t="s">
        <v>138</v>
      </c>
      <c r="Q538" s="5" t="s">
        <v>1587</v>
      </c>
      <c r="R538" s="4">
        <f t="shared" si="220"/>
        <v>11173608.689999999</v>
      </c>
      <c r="S538" s="220">
        <v>9010541.9199999999</v>
      </c>
      <c r="T538" s="220">
        <v>2163066.77</v>
      </c>
      <c r="U538" s="4">
        <f t="shared" si="221"/>
        <v>0</v>
      </c>
      <c r="V538" s="53">
        <v>0</v>
      </c>
      <c r="W538" s="53">
        <v>0</v>
      </c>
      <c r="X538" s="4">
        <f t="shared" si="222"/>
        <v>2130862.34</v>
      </c>
      <c r="Y538" s="220">
        <v>1590095.63</v>
      </c>
      <c r="Z538" s="220">
        <v>540766.71</v>
      </c>
      <c r="AA538" s="9">
        <v>0</v>
      </c>
      <c r="AB538" s="9">
        <v>0</v>
      </c>
      <c r="AC538" s="9">
        <v>0</v>
      </c>
      <c r="AD538" s="44">
        <f t="shared" si="227"/>
        <v>13304471.029999999</v>
      </c>
      <c r="AE538" s="9">
        <v>0</v>
      </c>
      <c r="AF538" s="9">
        <f t="shared" si="224"/>
        <v>13304471.029999999</v>
      </c>
      <c r="AG538" s="59" t="s">
        <v>515</v>
      </c>
      <c r="AH538" s="13"/>
      <c r="AI538" s="1">
        <f>153377.25+187286.87</f>
        <v>340664.12</v>
      </c>
      <c r="AJ538" s="1">
        <v>0</v>
      </c>
    </row>
    <row r="539" spans="1:36" ht="279" customHeight="1" x14ac:dyDescent="0.25">
      <c r="A539" s="5">
        <f t="shared" si="228"/>
        <v>536</v>
      </c>
      <c r="B539" s="15">
        <v>130073</v>
      </c>
      <c r="C539" s="78">
        <v>740</v>
      </c>
      <c r="D539" s="55" t="s">
        <v>143</v>
      </c>
      <c r="E539" s="119" t="s">
        <v>1227</v>
      </c>
      <c r="F539" s="55" t="s">
        <v>1637</v>
      </c>
      <c r="G539" s="5" t="s">
        <v>1635</v>
      </c>
      <c r="H539" s="5" t="s">
        <v>151</v>
      </c>
      <c r="I539" s="55" t="s">
        <v>1636</v>
      </c>
      <c r="J539" s="2">
        <v>43802</v>
      </c>
      <c r="K539" s="2">
        <v>44898</v>
      </c>
      <c r="L539" s="16">
        <f t="shared" si="218"/>
        <v>83.983863192268686</v>
      </c>
      <c r="M539" s="5" t="s">
        <v>1586</v>
      </c>
      <c r="N539" s="5" t="s">
        <v>262</v>
      </c>
      <c r="O539" s="5" t="s">
        <v>137</v>
      </c>
      <c r="P539" s="3" t="s">
        <v>138</v>
      </c>
      <c r="Q539" s="5" t="s">
        <v>1587</v>
      </c>
      <c r="R539" s="4">
        <f t="shared" si="220"/>
        <v>10894851.5</v>
      </c>
      <c r="S539" s="220">
        <v>8785748.5</v>
      </c>
      <c r="T539" s="220">
        <v>2109103</v>
      </c>
      <c r="U539" s="4">
        <f t="shared" si="221"/>
        <v>1818250.83</v>
      </c>
      <c r="V539" s="53">
        <v>1343702.7</v>
      </c>
      <c r="W539" s="53">
        <v>474548.13</v>
      </c>
      <c r="X539" s="4">
        <f t="shared" si="222"/>
        <v>259451.07</v>
      </c>
      <c r="Y539" s="220">
        <v>206723.48</v>
      </c>
      <c r="Z539" s="220">
        <v>52727.59</v>
      </c>
      <c r="AA539" s="9">
        <v>0</v>
      </c>
      <c r="AB539" s="9">
        <v>0</v>
      </c>
      <c r="AC539" s="9">
        <v>0</v>
      </c>
      <c r="AD539" s="44">
        <f t="shared" si="227"/>
        <v>12972553.4</v>
      </c>
      <c r="AE539" s="9">
        <v>0</v>
      </c>
      <c r="AF539" s="9">
        <f t="shared" si="224"/>
        <v>12972553.4</v>
      </c>
      <c r="AG539" s="59" t="s">
        <v>515</v>
      </c>
      <c r="AH539" s="13"/>
      <c r="AI539" s="1">
        <f>1307041.33-38227.08-43432.3-27216.51</f>
        <v>1198165.44</v>
      </c>
      <c r="AJ539" s="1">
        <f>22158.67+38227.08+43432.3+27216.51</f>
        <v>131034.56</v>
      </c>
    </row>
    <row r="540" spans="1:36" ht="279" customHeight="1" x14ac:dyDescent="0.25">
      <c r="A540" s="5">
        <f t="shared" si="228"/>
        <v>537</v>
      </c>
      <c r="B540" s="15">
        <v>129751</v>
      </c>
      <c r="C540" s="78">
        <v>719</v>
      </c>
      <c r="D540" s="55" t="s">
        <v>143</v>
      </c>
      <c r="E540" s="119" t="s">
        <v>1227</v>
      </c>
      <c r="F540" s="55" t="s">
        <v>1639</v>
      </c>
      <c r="G540" s="5" t="s">
        <v>1596</v>
      </c>
      <c r="H540" s="5" t="s">
        <v>1640</v>
      </c>
      <c r="I540" s="55" t="s">
        <v>1641</v>
      </c>
      <c r="J540" s="2">
        <v>43808</v>
      </c>
      <c r="K540" s="2">
        <v>44904</v>
      </c>
      <c r="L540" s="16">
        <f t="shared" si="218"/>
        <v>83.983863200175961</v>
      </c>
      <c r="M540" s="5" t="s">
        <v>1586</v>
      </c>
      <c r="N540" s="5" t="s">
        <v>262</v>
      </c>
      <c r="O540" s="5" t="s">
        <v>137</v>
      </c>
      <c r="P540" s="3" t="s">
        <v>138</v>
      </c>
      <c r="Q540" s="5" t="s">
        <v>1587</v>
      </c>
      <c r="R540" s="4">
        <f t="shared" si="220"/>
        <v>12249086.76</v>
      </c>
      <c r="S540" s="220">
        <v>9877821.2400000002</v>
      </c>
      <c r="T540" s="220">
        <v>2371265.52</v>
      </c>
      <c r="U540" s="4">
        <f t="shared" si="221"/>
        <v>0</v>
      </c>
      <c r="V540" s="53">
        <v>0</v>
      </c>
      <c r="W540" s="53">
        <v>0</v>
      </c>
      <c r="X540" s="4">
        <f t="shared" si="222"/>
        <v>2335961.2399999998</v>
      </c>
      <c r="Y540" s="220">
        <v>1743144.91</v>
      </c>
      <c r="Z540" s="220">
        <v>592816.32999999996</v>
      </c>
      <c r="AA540" s="9">
        <v>0</v>
      </c>
      <c r="AB540" s="9">
        <v>0</v>
      </c>
      <c r="AC540" s="9">
        <v>0</v>
      </c>
      <c r="AD540" s="44">
        <f t="shared" si="227"/>
        <v>14585048</v>
      </c>
      <c r="AE540" s="9">
        <v>0</v>
      </c>
      <c r="AF540" s="9">
        <f t="shared" si="224"/>
        <v>14585048</v>
      </c>
      <c r="AG540" s="59" t="s">
        <v>515</v>
      </c>
      <c r="AH540" s="13"/>
      <c r="AI540" s="1">
        <f>5479.11+803013.38+1418.49</f>
        <v>809910.98</v>
      </c>
      <c r="AJ540" s="1">
        <v>0</v>
      </c>
    </row>
    <row r="541" spans="1:36" ht="279" customHeight="1" x14ac:dyDescent="0.25">
      <c r="A541" s="5">
        <f t="shared" si="228"/>
        <v>538</v>
      </c>
      <c r="B541" s="15">
        <v>128013</v>
      </c>
      <c r="C541" s="5">
        <v>593</v>
      </c>
      <c r="D541" s="55" t="s">
        <v>143</v>
      </c>
      <c r="E541" s="119" t="s">
        <v>1125</v>
      </c>
      <c r="F541" s="124" t="s">
        <v>1648</v>
      </c>
      <c r="G541" s="5" t="s">
        <v>1649</v>
      </c>
      <c r="H541" s="5" t="s">
        <v>1650</v>
      </c>
      <c r="I541" s="60" t="s">
        <v>1651</v>
      </c>
      <c r="J541" s="2">
        <v>43817</v>
      </c>
      <c r="K541" s="2">
        <v>44730</v>
      </c>
      <c r="L541" s="16">
        <f t="shared" si="218"/>
        <v>83.983862832153392</v>
      </c>
      <c r="M541" s="5" t="s">
        <v>1586</v>
      </c>
      <c r="N541" s="5" t="s">
        <v>262</v>
      </c>
      <c r="O541" s="5" t="s">
        <v>137</v>
      </c>
      <c r="P541" s="3" t="s">
        <v>138</v>
      </c>
      <c r="Q541" s="5" t="s">
        <v>1587</v>
      </c>
      <c r="R541" s="4">
        <f t="shared" si="220"/>
        <v>25152543.590000004</v>
      </c>
      <c r="S541" s="220">
        <v>20283335.010000002</v>
      </c>
      <c r="T541" s="220">
        <v>4869208.58</v>
      </c>
      <c r="U541" s="4">
        <f t="shared" si="221"/>
        <v>1562953.45</v>
      </c>
      <c r="V541" s="53">
        <v>1155035.78</v>
      </c>
      <c r="W541" s="53">
        <v>407917.67</v>
      </c>
      <c r="X541" s="4">
        <f t="shared" si="222"/>
        <v>3233760.76</v>
      </c>
      <c r="Y541" s="220">
        <v>2424376.25</v>
      </c>
      <c r="Z541" s="220">
        <v>809384.51</v>
      </c>
      <c r="AA541" s="9">
        <v>0</v>
      </c>
      <c r="AB541" s="9">
        <v>0</v>
      </c>
      <c r="AC541" s="9">
        <v>0</v>
      </c>
      <c r="AD541" s="44">
        <f t="shared" si="227"/>
        <v>29949257.800000004</v>
      </c>
      <c r="AE541" s="9">
        <v>0</v>
      </c>
      <c r="AF541" s="9">
        <f t="shared" si="224"/>
        <v>29949257.800000004</v>
      </c>
      <c r="AG541" s="59" t="s">
        <v>515</v>
      </c>
      <c r="AH541" s="13"/>
      <c r="AI541" s="1">
        <v>0</v>
      </c>
      <c r="AJ541" s="1">
        <v>0</v>
      </c>
    </row>
    <row r="542" spans="1:36" ht="171" customHeight="1" x14ac:dyDescent="0.25">
      <c r="A542" s="5">
        <f t="shared" si="228"/>
        <v>539</v>
      </c>
      <c r="B542" s="15">
        <v>127465</v>
      </c>
      <c r="C542" s="15">
        <v>594</v>
      </c>
      <c r="D542" s="55" t="s">
        <v>143</v>
      </c>
      <c r="E542" s="119" t="s">
        <v>1125</v>
      </c>
      <c r="F542" s="124" t="s">
        <v>1652</v>
      </c>
      <c r="G542" s="5" t="s">
        <v>1649</v>
      </c>
      <c r="H542" s="8" t="s">
        <v>1653</v>
      </c>
      <c r="I542" s="60" t="s">
        <v>1654</v>
      </c>
      <c r="J542" s="2">
        <v>43817</v>
      </c>
      <c r="K542" s="2">
        <v>44730</v>
      </c>
      <c r="L542" s="16">
        <f t="shared" si="218"/>
        <v>83.983863769739614</v>
      </c>
      <c r="M542" s="5" t="s">
        <v>1586</v>
      </c>
      <c r="N542" s="5" t="s">
        <v>262</v>
      </c>
      <c r="O542" s="5" t="s">
        <v>137</v>
      </c>
      <c r="P542" s="3" t="s">
        <v>138</v>
      </c>
      <c r="Q542" s="5" t="s">
        <v>1587</v>
      </c>
      <c r="R542" s="4">
        <f t="shared" si="220"/>
        <v>12338346.380000001</v>
      </c>
      <c r="S542" s="220">
        <v>9949801.3300000019</v>
      </c>
      <c r="T542" s="220">
        <v>2388545.0499999989</v>
      </c>
      <c r="U542" s="4">
        <f t="shared" si="221"/>
        <v>378009.1399999999</v>
      </c>
      <c r="V542" s="53">
        <v>279351.9599999999</v>
      </c>
      <c r="W542" s="53">
        <v>98657.18</v>
      </c>
      <c r="X542" s="4">
        <f t="shared" si="222"/>
        <v>1974974.25</v>
      </c>
      <c r="Y542" s="220">
        <v>1476495.26</v>
      </c>
      <c r="Z542" s="220">
        <v>498478.99</v>
      </c>
      <c r="AA542" s="9">
        <f>AB542+AC542</f>
        <v>0</v>
      </c>
      <c r="AB542" s="9">
        <v>0</v>
      </c>
      <c r="AC542" s="9">
        <v>0</v>
      </c>
      <c r="AD542" s="44">
        <f t="shared" si="227"/>
        <v>14691329.770000001</v>
      </c>
      <c r="AE542" s="9">
        <v>0</v>
      </c>
      <c r="AF542" s="9">
        <f t="shared" si="224"/>
        <v>14691329.770000001</v>
      </c>
      <c r="AG542" s="59" t="s">
        <v>515</v>
      </c>
      <c r="AH542" s="13" t="s">
        <v>2164</v>
      </c>
      <c r="AI542" s="1">
        <f>487906.23+763317.08+465485.1+555858.59+806980.21</f>
        <v>3079547.21</v>
      </c>
      <c r="AJ542" s="1">
        <f>24029.1+31800.36+7428.8+24992.88+36585.59</f>
        <v>124836.73</v>
      </c>
    </row>
    <row r="543" spans="1:36" ht="279" customHeight="1" x14ac:dyDescent="0.25">
      <c r="A543" s="5">
        <f t="shared" si="228"/>
        <v>540</v>
      </c>
      <c r="B543" s="15">
        <v>127579</v>
      </c>
      <c r="C543" s="15">
        <v>610</v>
      </c>
      <c r="D543" s="55" t="s">
        <v>143</v>
      </c>
      <c r="E543" s="119" t="s">
        <v>1125</v>
      </c>
      <c r="F543" s="124" t="s">
        <v>1655</v>
      </c>
      <c r="G543" s="5" t="s">
        <v>1649</v>
      </c>
      <c r="H543" s="8" t="s">
        <v>1657</v>
      </c>
      <c r="I543" s="60" t="s">
        <v>1656</v>
      </c>
      <c r="J543" s="2">
        <v>43817</v>
      </c>
      <c r="K543" s="2">
        <v>44730</v>
      </c>
      <c r="L543" s="16">
        <f t="shared" si="218"/>
        <v>83.983862733425568</v>
      </c>
      <c r="M543" s="5" t="s">
        <v>1586</v>
      </c>
      <c r="N543" s="5" t="s">
        <v>262</v>
      </c>
      <c r="O543" s="5" t="s">
        <v>137</v>
      </c>
      <c r="P543" s="3" t="s">
        <v>138</v>
      </c>
      <c r="Q543" s="5" t="s">
        <v>1587</v>
      </c>
      <c r="R543" s="4">
        <f t="shared" si="220"/>
        <v>14797731.939999999</v>
      </c>
      <c r="S543" s="220">
        <v>11933081.609999999</v>
      </c>
      <c r="T543" s="220">
        <v>2864650.33</v>
      </c>
      <c r="U543" s="4">
        <f t="shared" si="221"/>
        <v>488856.28</v>
      </c>
      <c r="V543" s="53">
        <v>361268.93</v>
      </c>
      <c r="W543" s="53">
        <v>127587.35</v>
      </c>
      <c r="X543" s="4">
        <f t="shared" si="222"/>
        <v>2333144.2599999998</v>
      </c>
      <c r="Y543" s="220">
        <v>1744568.95</v>
      </c>
      <c r="Z543" s="220">
        <v>588575.31000000006</v>
      </c>
      <c r="AA543" s="9">
        <f>AB543+AC543</f>
        <v>0</v>
      </c>
      <c r="AB543" s="9">
        <v>0</v>
      </c>
      <c r="AC543" s="9">
        <v>0</v>
      </c>
      <c r="AD543" s="44">
        <f t="shared" si="227"/>
        <v>17619732.479999997</v>
      </c>
      <c r="AE543" s="9">
        <v>0</v>
      </c>
      <c r="AF543" s="9">
        <f t="shared" si="224"/>
        <v>17619732.479999997</v>
      </c>
      <c r="AG543" s="59" t="s">
        <v>515</v>
      </c>
      <c r="AH543" s="13"/>
      <c r="AI543" s="1">
        <f>130139.18+185592.98+455227.72+446096.57</f>
        <v>1217056.45</v>
      </c>
      <c r="AJ543" s="1">
        <f>14582.67+13439.8+31835.77+41361.65</f>
        <v>101219.89000000001</v>
      </c>
    </row>
    <row r="544" spans="1:36" ht="279" customHeight="1" x14ac:dyDescent="0.25">
      <c r="A544" s="5">
        <f t="shared" si="228"/>
        <v>541</v>
      </c>
      <c r="B544" s="15">
        <v>129170</v>
      </c>
      <c r="C544" s="15">
        <v>724</v>
      </c>
      <c r="D544" s="55" t="s">
        <v>143</v>
      </c>
      <c r="E544" s="119" t="s">
        <v>1227</v>
      </c>
      <c r="F544" s="124" t="s">
        <v>1661</v>
      </c>
      <c r="G544" s="5" t="s">
        <v>55</v>
      </c>
      <c r="H544" s="8" t="s">
        <v>1662</v>
      </c>
      <c r="I544" s="60" t="s">
        <v>1663</v>
      </c>
      <c r="J544" s="2">
        <v>43819</v>
      </c>
      <c r="K544" s="2">
        <v>44732</v>
      </c>
      <c r="L544" s="16">
        <f t="shared" si="218"/>
        <v>83.983863218572864</v>
      </c>
      <c r="M544" s="5" t="s">
        <v>1586</v>
      </c>
      <c r="N544" s="5" t="s">
        <v>262</v>
      </c>
      <c r="O544" s="5" t="s">
        <v>137</v>
      </c>
      <c r="P544" s="3" t="s">
        <v>138</v>
      </c>
      <c r="Q544" s="5" t="s">
        <v>1587</v>
      </c>
      <c r="R544" s="4">
        <f t="shared" si="220"/>
        <v>19868936.969999999</v>
      </c>
      <c r="S544" s="220">
        <v>16022566.539999999</v>
      </c>
      <c r="T544" s="220">
        <v>3846370.43</v>
      </c>
      <c r="U544" s="4">
        <f t="shared" si="221"/>
        <v>1348294.18</v>
      </c>
      <c r="V544" s="53">
        <v>996400.74</v>
      </c>
      <c r="W544" s="53">
        <v>351893.44</v>
      </c>
      <c r="X544" s="4">
        <f t="shared" si="222"/>
        <v>2440810.06</v>
      </c>
      <c r="Y544" s="220">
        <v>1831110.97</v>
      </c>
      <c r="Z544" s="220">
        <v>609699.09</v>
      </c>
      <c r="AA544" s="9">
        <f>AB544+AC544</f>
        <v>0</v>
      </c>
      <c r="AB544" s="9">
        <v>0</v>
      </c>
      <c r="AC544" s="9">
        <v>0</v>
      </c>
      <c r="AD544" s="44">
        <f t="shared" si="227"/>
        <v>23658041.209999997</v>
      </c>
      <c r="AE544" s="9">
        <v>0</v>
      </c>
      <c r="AF544" s="9">
        <f t="shared" si="224"/>
        <v>23658041.209999997</v>
      </c>
      <c r="AG544" s="59" t="s">
        <v>515</v>
      </c>
      <c r="AH544" s="13"/>
      <c r="AI544" s="1">
        <f>57948.86+247162.83+251292.32</f>
        <v>556404.01</v>
      </c>
      <c r="AJ544" s="1">
        <f>9154.08+23419</f>
        <v>32573.08</v>
      </c>
    </row>
    <row r="545" spans="1:36" ht="279" customHeight="1" x14ac:dyDescent="0.25">
      <c r="A545" s="5">
        <f t="shared" si="228"/>
        <v>542</v>
      </c>
      <c r="B545" s="15">
        <v>127548</v>
      </c>
      <c r="C545" s="15">
        <v>591</v>
      </c>
      <c r="D545" s="55" t="s">
        <v>143</v>
      </c>
      <c r="E545" s="119" t="s">
        <v>1125</v>
      </c>
      <c r="F545" s="124" t="s">
        <v>1665</v>
      </c>
      <c r="G545" s="5" t="s">
        <v>1666</v>
      </c>
      <c r="H545" s="5" t="s">
        <v>299</v>
      </c>
      <c r="I545" s="60" t="s">
        <v>1667</v>
      </c>
      <c r="J545" s="2">
        <v>43822</v>
      </c>
      <c r="K545" s="2">
        <v>44918</v>
      </c>
      <c r="L545" s="16">
        <f t="shared" si="218"/>
        <v>83.983862716573014</v>
      </c>
      <c r="M545" s="5" t="s">
        <v>1586</v>
      </c>
      <c r="N545" s="5" t="s">
        <v>262</v>
      </c>
      <c r="O545" s="5" t="s">
        <v>137</v>
      </c>
      <c r="P545" s="3" t="s">
        <v>138</v>
      </c>
      <c r="Q545" s="5" t="s">
        <v>1587</v>
      </c>
      <c r="R545" s="4">
        <f t="shared" si="220"/>
        <v>14146050.210000001</v>
      </c>
      <c r="S545" s="220">
        <v>11407557.020000001</v>
      </c>
      <c r="T545" s="220">
        <v>2738493.19</v>
      </c>
      <c r="U545" s="4">
        <f t="shared" si="221"/>
        <v>0</v>
      </c>
      <c r="V545" s="53">
        <v>0</v>
      </c>
      <c r="W545" s="53">
        <v>0</v>
      </c>
      <c r="X545" s="4">
        <f t="shared" si="222"/>
        <v>2697721.62</v>
      </c>
      <c r="Y545" s="220">
        <v>2013098.31</v>
      </c>
      <c r="Z545" s="220">
        <v>684623.31</v>
      </c>
      <c r="AA545" s="9">
        <f>AB545+AC545</f>
        <v>0</v>
      </c>
      <c r="AB545" s="9">
        <v>0</v>
      </c>
      <c r="AC545" s="9">
        <v>0</v>
      </c>
      <c r="AD545" s="44">
        <f t="shared" si="227"/>
        <v>16843771.830000002</v>
      </c>
      <c r="AE545" s="9">
        <v>0</v>
      </c>
      <c r="AF545" s="9">
        <f t="shared" si="224"/>
        <v>16843771.830000002</v>
      </c>
      <c r="AG545" s="59" t="s">
        <v>515</v>
      </c>
      <c r="AH545" s="13" t="s">
        <v>1968</v>
      </c>
      <c r="AI545" s="1">
        <f>12852.93+100262.57+75904.63+91562.57+86924.98</f>
        <v>367507.68</v>
      </c>
      <c r="AJ545" s="1">
        <v>0</v>
      </c>
    </row>
    <row r="546" spans="1:36" ht="279" customHeight="1" x14ac:dyDescent="0.25">
      <c r="A546" s="5">
        <f t="shared" si="228"/>
        <v>543</v>
      </c>
      <c r="B546" s="15">
        <v>130709</v>
      </c>
      <c r="C546" s="78">
        <v>753</v>
      </c>
      <c r="D546" s="55" t="s">
        <v>144</v>
      </c>
      <c r="E546" s="119" t="s">
        <v>1614</v>
      </c>
      <c r="F546" s="55" t="s">
        <v>1616</v>
      </c>
      <c r="G546" s="5" t="s">
        <v>1615</v>
      </c>
      <c r="H546" s="5" t="s">
        <v>1617</v>
      </c>
      <c r="I546" s="8" t="s">
        <v>1618</v>
      </c>
      <c r="J546" s="2">
        <v>43783</v>
      </c>
      <c r="K546" s="2">
        <v>44879</v>
      </c>
      <c r="L546" s="16">
        <f t="shared" si="218"/>
        <v>83.983862999050473</v>
      </c>
      <c r="M546" s="5" t="s">
        <v>1586</v>
      </c>
      <c r="N546" s="5" t="s">
        <v>262</v>
      </c>
      <c r="O546" s="5" t="s">
        <v>137</v>
      </c>
      <c r="P546" s="3" t="s">
        <v>138</v>
      </c>
      <c r="Q546" s="5" t="s">
        <v>1587</v>
      </c>
      <c r="R546" s="4">
        <f t="shared" si="220"/>
        <v>41902444.089999996</v>
      </c>
      <c r="S546" s="9">
        <v>33790670.389999993</v>
      </c>
      <c r="T546" s="9">
        <v>8111773.7000000002</v>
      </c>
      <c r="U546" s="4">
        <f t="shared" si="221"/>
        <v>0</v>
      </c>
      <c r="V546" s="53">
        <v>0</v>
      </c>
      <c r="W546" s="53">
        <v>0</v>
      </c>
      <c r="X546" s="4">
        <f t="shared" si="222"/>
        <v>7991002.8099999996</v>
      </c>
      <c r="Y546" s="9">
        <v>5963059.4199999999</v>
      </c>
      <c r="Z546" s="9">
        <v>2027943.39</v>
      </c>
      <c r="AA546" s="9">
        <v>0</v>
      </c>
      <c r="AB546" s="9">
        <v>0</v>
      </c>
      <c r="AC546" s="9">
        <v>0</v>
      </c>
      <c r="AD546" s="44">
        <f t="shared" si="227"/>
        <v>49893446.899999999</v>
      </c>
      <c r="AE546" s="9">
        <v>27762.36</v>
      </c>
      <c r="AF546" s="9">
        <f t="shared" si="224"/>
        <v>49921209.259999998</v>
      </c>
      <c r="AG546" s="59" t="s">
        <v>515</v>
      </c>
      <c r="AH546" s="13"/>
      <c r="AI546" s="1">
        <f>564656.74+805645.99+3598507.54</f>
        <v>4968810.2699999996</v>
      </c>
      <c r="AJ546" s="1">
        <v>0</v>
      </c>
    </row>
    <row r="547" spans="1:36" ht="279" customHeight="1" x14ac:dyDescent="0.25">
      <c r="A547" s="5">
        <f t="shared" si="228"/>
        <v>544</v>
      </c>
      <c r="B547" s="15">
        <v>130048</v>
      </c>
      <c r="C547" s="15">
        <v>729</v>
      </c>
      <c r="D547" s="55" t="s">
        <v>143</v>
      </c>
      <c r="E547" s="119" t="s">
        <v>1227</v>
      </c>
      <c r="F547" s="124" t="s">
        <v>1678</v>
      </c>
      <c r="G547" s="5" t="s">
        <v>1679</v>
      </c>
      <c r="H547" s="5"/>
      <c r="I547" s="60" t="s">
        <v>1680</v>
      </c>
      <c r="J547" s="2">
        <v>43858</v>
      </c>
      <c r="K547" s="2">
        <v>44954</v>
      </c>
      <c r="L547" s="16">
        <f t="shared" ref="L547:L578" si="229">R547/AD547*100</f>
        <v>83.983862842436835</v>
      </c>
      <c r="M547" s="5" t="s">
        <v>1586</v>
      </c>
      <c r="N547" s="5" t="s">
        <v>262</v>
      </c>
      <c r="O547" s="5" t="s">
        <v>137</v>
      </c>
      <c r="P547" s="3" t="s">
        <v>138</v>
      </c>
      <c r="Q547" s="5" t="s">
        <v>1587</v>
      </c>
      <c r="R547" s="4">
        <f t="shared" ref="R547:R588" si="230">S547+T547</f>
        <v>85646819.920000002</v>
      </c>
      <c r="S547" s="220">
        <v>69066698.280000001</v>
      </c>
      <c r="T547" s="220">
        <v>16580121.640000001</v>
      </c>
      <c r="U547" s="4">
        <f t="shared" ref="U547:U588" si="231">V547+W547</f>
        <v>0</v>
      </c>
      <c r="V547" s="53">
        <v>0</v>
      </c>
      <c r="W547" s="53">
        <v>0</v>
      </c>
      <c r="X547" s="4">
        <f t="shared" ref="X547:X588" si="232">Y547+Z547</f>
        <v>16333271.279999999</v>
      </c>
      <c r="Y547" s="220">
        <v>12188240.859999999</v>
      </c>
      <c r="Z547" s="220">
        <v>4145030.42</v>
      </c>
      <c r="AA547" s="9">
        <f t="shared" ref="AA547:AA588" si="233">AB547+AC547</f>
        <v>0</v>
      </c>
      <c r="AB547" s="9">
        <v>0</v>
      </c>
      <c r="AC547" s="9">
        <v>0</v>
      </c>
      <c r="AD547" s="44">
        <f t="shared" si="227"/>
        <v>101980091.2</v>
      </c>
      <c r="AE547" s="9">
        <v>0</v>
      </c>
      <c r="AF547" s="9">
        <f t="shared" ref="AF547:AF588" si="234">AD547+AE547</f>
        <v>101980091.2</v>
      </c>
      <c r="AG547" s="59" t="s">
        <v>515</v>
      </c>
      <c r="AH547" s="13" t="s">
        <v>151</v>
      </c>
      <c r="AI547" s="1">
        <f>49139.8+35424.39+151117.2+88973.34</f>
        <v>324654.73</v>
      </c>
      <c r="AJ547" s="1">
        <v>0</v>
      </c>
    </row>
    <row r="548" spans="1:36" ht="375.75" customHeight="1" x14ac:dyDescent="0.25">
      <c r="A548" s="5">
        <f t="shared" si="228"/>
        <v>545</v>
      </c>
      <c r="B548" s="15">
        <v>127559</v>
      </c>
      <c r="C548" s="15">
        <v>601</v>
      </c>
      <c r="D548" s="55" t="s">
        <v>143</v>
      </c>
      <c r="E548" s="119" t="s">
        <v>1125</v>
      </c>
      <c r="F548" s="124" t="s">
        <v>1684</v>
      </c>
      <c r="G548" s="5" t="s">
        <v>1649</v>
      </c>
      <c r="H548" s="5" t="s">
        <v>1407</v>
      </c>
      <c r="I548" s="60" t="s">
        <v>1685</v>
      </c>
      <c r="J548" s="2">
        <v>43867</v>
      </c>
      <c r="K548" s="2">
        <v>44991</v>
      </c>
      <c r="L548" s="16">
        <f t="shared" si="229"/>
        <v>83.983863045863743</v>
      </c>
      <c r="M548" s="5" t="s">
        <v>1586</v>
      </c>
      <c r="N548" s="5" t="s">
        <v>262</v>
      </c>
      <c r="O548" s="5" t="s">
        <v>137</v>
      </c>
      <c r="P548" s="3" t="s">
        <v>138</v>
      </c>
      <c r="Q548" s="5" t="s">
        <v>1587</v>
      </c>
      <c r="R548" s="4">
        <f t="shared" si="230"/>
        <v>9288170.129999999</v>
      </c>
      <c r="S548" s="220">
        <v>7490100.0199999996</v>
      </c>
      <c r="T548" s="220">
        <v>1798070.11</v>
      </c>
      <c r="U548" s="4">
        <f t="shared" si="231"/>
        <v>735571.09</v>
      </c>
      <c r="V548" s="53">
        <v>543593.19999999995</v>
      </c>
      <c r="W548" s="53">
        <v>191977.89</v>
      </c>
      <c r="X548" s="4">
        <f t="shared" si="232"/>
        <v>1035728.77</v>
      </c>
      <c r="Y548" s="220">
        <v>778189.08</v>
      </c>
      <c r="Z548" s="220">
        <v>257539.69</v>
      </c>
      <c r="AA548" s="9">
        <f t="shared" si="233"/>
        <v>0</v>
      </c>
      <c r="AB548" s="9">
        <v>0</v>
      </c>
      <c r="AC548" s="9">
        <v>0</v>
      </c>
      <c r="AD548" s="44">
        <f t="shared" si="227"/>
        <v>11059469.989999998</v>
      </c>
      <c r="AE548" s="9">
        <v>0</v>
      </c>
      <c r="AF548" s="9">
        <f t="shared" si="234"/>
        <v>11059469.989999998</v>
      </c>
      <c r="AG548" s="59" t="s">
        <v>515</v>
      </c>
      <c r="AH548" s="13" t="s">
        <v>2190</v>
      </c>
      <c r="AI548" s="1">
        <v>0</v>
      </c>
      <c r="AJ548" s="1">
        <v>0</v>
      </c>
    </row>
    <row r="549" spans="1:36" ht="375.75" customHeight="1" x14ac:dyDescent="0.25">
      <c r="A549" s="5">
        <f t="shared" si="228"/>
        <v>546</v>
      </c>
      <c r="B549" s="15">
        <v>129439</v>
      </c>
      <c r="C549" s="15">
        <v>733</v>
      </c>
      <c r="D549" s="55" t="s">
        <v>143</v>
      </c>
      <c r="E549" s="119" t="s">
        <v>1227</v>
      </c>
      <c r="F549" s="124" t="s">
        <v>1687</v>
      </c>
      <c r="G549" s="5" t="s">
        <v>55</v>
      </c>
      <c r="H549" s="5" t="s">
        <v>1688</v>
      </c>
      <c r="I549" s="60" t="s">
        <v>1689</v>
      </c>
      <c r="J549" s="2">
        <v>43892</v>
      </c>
      <c r="K549" s="2">
        <v>44987</v>
      </c>
      <c r="L549" s="16">
        <f t="shared" si="229"/>
        <v>83.684692489870656</v>
      </c>
      <c r="M549" s="5" t="s">
        <v>1586</v>
      </c>
      <c r="N549" s="5" t="s">
        <v>262</v>
      </c>
      <c r="O549" s="5" t="s">
        <v>137</v>
      </c>
      <c r="P549" s="3" t="s">
        <v>138</v>
      </c>
      <c r="Q549" s="5" t="s">
        <v>1587</v>
      </c>
      <c r="R549" s="4">
        <f t="shared" si="230"/>
        <v>21087715.459999997</v>
      </c>
      <c r="S549" s="220">
        <v>17005405.329999998</v>
      </c>
      <c r="T549" s="220">
        <v>4082310.13</v>
      </c>
      <c r="U549" s="4">
        <f t="shared" si="231"/>
        <v>704463.35</v>
      </c>
      <c r="V549" s="53">
        <v>525685.84</v>
      </c>
      <c r="W549" s="53">
        <v>178777.51</v>
      </c>
      <c r="X549" s="4">
        <f t="shared" si="232"/>
        <v>3317067.9699999997</v>
      </c>
      <c r="Y549" s="221">
        <v>2475267.92</v>
      </c>
      <c r="Z549" s="221">
        <v>841800.05</v>
      </c>
      <c r="AA549" s="9">
        <f t="shared" si="233"/>
        <v>89764.93</v>
      </c>
      <c r="AB549" s="9">
        <v>71522.179999999993</v>
      </c>
      <c r="AC549" s="9">
        <v>18242.75</v>
      </c>
      <c r="AD549" s="44">
        <f t="shared" si="227"/>
        <v>25199011.709999997</v>
      </c>
      <c r="AE549" s="9">
        <v>0</v>
      </c>
      <c r="AF549" s="9">
        <f t="shared" si="234"/>
        <v>25199011.709999997</v>
      </c>
      <c r="AG549" s="59" t="s">
        <v>515</v>
      </c>
      <c r="AH549" s="13"/>
      <c r="AI549" s="1">
        <f>136005-607.39+307819.33+278885.5</f>
        <v>722102.44</v>
      </c>
      <c r="AJ549" s="1">
        <f>13919.68+26307.53+17343.02</f>
        <v>57570.229999999996</v>
      </c>
    </row>
    <row r="550" spans="1:36" ht="216" x14ac:dyDescent="0.25">
      <c r="A550" s="5">
        <f t="shared" si="228"/>
        <v>547</v>
      </c>
      <c r="B550" s="15">
        <v>129990</v>
      </c>
      <c r="C550" s="15">
        <v>705</v>
      </c>
      <c r="D550" s="55" t="s">
        <v>143</v>
      </c>
      <c r="E550" s="119" t="s">
        <v>1227</v>
      </c>
      <c r="F550" s="124" t="s">
        <v>1863</v>
      </c>
      <c r="G550" s="5" t="s">
        <v>1862</v>
      </c>
      <c r="H550" s="5" t="s">
        <v>849</v>
      </c>
      <c r="I550" s="60" t="s">
        <v>1864</v>
      </c>
      <c r="J550" s="2">
        <v>44014</v>
      </c>
      <c r="K550" s="2">
        <v>44744</v>
      </c>
      <c r="L550" s="16">
        <f t="shared" si="229"/>
        <v>83.983862938725991</v>
      </c>
      <c r="M550" s="5" t="s">
        <v>1586</v>
      </c>
      <c r="N550" s="5" t="s">
        <v>262</v>
      </c>
      <c r="O550" s="5" t="s">
        <v>137</v>
      </c>
      <c r="P550" s="3" t="s">
        <v>138</v>
      </c>
      <c r="Q550" s="5" t="s">
        <v>1587</v>
      </c>
      <c r="R550" s="4">
        <f t="shared" si="230"/>
        <v>16732528.039999999</v>
      </c>
      <c r="S550" s="220">
        <v>13493326.039999999</v>
      </c>
      <c r="T550" s="220">
        <v>3239202</v>
      </c>
      <c r="U550" s="4">
        <f t="shared" si="231"/>
        <v>2792505.58</v>
      </c>
      <c r="V550" s="53">
        <v>2063685.16</v>
      </c>
      <c r="W550" s="53">
        <v>728820.41999999993</v>
      </c>
      <c r="X550" s="4">
        <f t="shared" si="232"/>
        <v>398470.08</v>
      </c>
      <c r="Y550" s="221">
        <v>317490</v>
      </c>
      <c r="Z550" s="221">
        <v>80980.08</v>
      </c>
      <c r="AA550" s="9">
        <f t="shared" si="233"/>
        <v>0</v>
      </c>
      <c r="AB550" s="9">
        <v>0</v>
      </c>
      <c r="AC550" s="9">
        <v>0</v>
      </c>
      <c r="AD550" s="44">
        <f t="shared" si="227"/>
        <v>19923503.699999996</v>
      </c>
      <c r="AE550" s="9">
        <v>0</v>
      </c>
      <c r="AF550" s="9">
        <f t="shared" si="234"/>
        <v>19923503.699999996</v>
      </c>
      <c r="AG550" s="59" t="s">
        <v>515</v>
      </c>
      <c r="AH550" s="13"/>
      <c r="AI550" s="1">
        <f>246923.22+195477.64+569003.02</f>
        <v>1011403.88</v>
      </c>
      <c r="AJ550" s="1">
        <f>41209.23+32623.41+94961.39</f>
        <v>168794.03</v>
      </c>
    </row>
    <row r="551" spans="1:36" ht="141.75" x14ac:dyDescent="0.25">
      <c r="A551" s="5">
        <f t="shared" si="228"/>
        <v>548</v>
      </c>
      <c r="B551" s="15">
        <v>135331</v>
      </c>
      <c r="C551" s="15">
        <v>763</v>
      </c>
      <c r="D551" s="55" t="s">
        <v>145</v>
      </c>
      <c r="E551" s="119" t="s">
        <v>1381</v>
      </c>
      <c r="F551" s="124" t="s">
        <v>1900</v>
      </c>
      <c r="G551" s="5" t="s">
        <v>122</v>
      </c>
      <c r="H551" s="5" t="s">
        <v>1902</v>
      </c>
      <c r="I551" s="60" t="s">
        <v>1901</v>
      </c>
      <c r="J551" s="2">
        <v>44022</v>
      </c>
      <c r="K551" s="2">
        <v>44936</v>
      </c>
      <c r="L551" s="16">
        <f t="shared" si="229"/>
        <v>83.983862244196644</v>
      </c>
      <c r="M551" s="5" t="s">
        <v>1586</v>
      </c>
      <c r="N551" s="5" t="s">
        <v>262</v>
      </c>
      <c r="O551" s="5" t="s">
        <v>137</v>
      </c>
      <c r="P551" s="3" t="s">
        <v>138</v>
      </c>
      <c r="Q551" s="5" t="s">
        <v>34</v>
      </c>
      <c r="R551" s="4">
        <f t="shared" si="230"/>
        <v>3218611.31</v>
      </c>
      <c r="S551" s="220">
        <v>2595529.63</v>
      </c>
      <c r="T551" s="220">
        <v>623081.68000000005</v>
      </c>
      <c r="U551" s="4">
        <f t="shared" si="231"/>
        <v>0</v>
      </c>
      <c r="V551" s="53">
        <v>0</v>
      </c>
      <c r="W551" s="53">
        <v>0</v>
      </c>
      <c r="X551" s="4">
        <f t="shared" si="232"/>
        <v>613805.09</v>
      </c>
      <c r="Y551" s="221">
        <v>458034.63</v>
      </c>
      <c r="Z551" s="221">
        <v>155770.46</v>
      </c>
      <c r="AA551" s="9">
        <f t="shared" si="233"/>
        <v>0</v>
      </c>
      <c r="AB551" s="9">
        <v>0</v>
      </c>
      <c r="AC551" s="9">
        <v>0</v>
      </c>
      <c r="AD551" s="44">
        <f t="shared" si="227"/>
        <v>3832416.4</v>
      </c>
      <c r="AE551" s="9">
        <v>79730</v>
      </c>
      <c r="AF551" s="9">
        <f t="shared" si="234"/>
        <v>3912146.4</v>
      </c>
      <c r="AG551" s="59" t="s">
        <v>515</v>
      </c>
      <c r="AH551" s="13"/>
      <c r="AI551" s="1">
        <f>11666.2+16032.52</f>
        <v>27698.720000000001</v>
      </c>
      <c r="AJ551" s="1">
        <v>0</v>
      </c>
    </row>
    <row r="552" spans="1:36" ht="141.75" x14ac:dyDescent="0.25">
      <c r="A552" s="5">
        <f t="shared" si="228"/>
        <v>549</v>
      </c>
      <c r="B552" s="15">
        <v>133609</v>
      </c>
      <c r="C552" s="15">
        <v>756</v>
      </c>
      <c r="D552" s="55" t="s">
        <v>145</v>
      </c>
      <c r="E552" s="119" t="s">
        <v>1381</v>
      </c>
      <c r="F552" s="124" t="s">
        <v>1925</v>
      </c>
      <c r="G552" s="5" t="s">
        <v>99</v>
      </c>
      <c r="H552" s="5" t="s">
        <v>1902</v>
      </c>
      <c r="I552" s="60" t="s">
        <v>1926</v>
      </c>
      <c r="J552" s="2">
        <v>44041</v>
      </c>
      <c r="K552" s="2">
        <v>45014</v>
      </c>
      <c r="L552" s="16">
        <f t="shared" si="229"/>
        <v>83.983862912035761</v>
      </c>
      <c r="M552" s="5" t="s">
        <v>1586</v>
      </c>
      <c r="N552" s="5" t="s">
        <v>262</v>
      </c>
      <c r="O552" s="5" t="s">
        <v>137</v>
      </c>
      <c r="P552" s="3" t="s">
        <v>138</v>
      </c>
      <c r="Q552" s="5" t="s">
        <v>34</v>
      </c>
      <c r="R552" s="4">
        <f t="shared" si="230"/>
        <v>15409396.120000001</v>
      </c>
      <c r="S552" s="9">
        <v>12426335.420000002</v>
      </c>
      <c r="T552" s="9">
        <v>2983060.7</v>
      </c>
      <c r="U552" s="4">
        <f t="shared" si="231"/>
        <v>0</v>
      </c>
      <c r="V552" s="53">
        <v>0</v>
      </c>
      <c r="W552" s="53">
        <v>0</v>
      </c>
      <c r="X552" s="4">
        <f t="shared" si="232"/>
        <v>2938647.88</v>
      </c>
      <c r="Y552" s="53">
        <v>2192882.71</v>
      </c>
      <c r="Z552" s="53">
        <v>745765.17</v>
      </c>
      <c r="AA552" s="9">
        <f t="shared" si="233"/>
        <v>0</v>
      </c>
      <c r="AB552" s="9">
        <v>0</v>
      </c>
      <c r="AC552" s="9">
        <v>0</v>
      </c>
      <c r="AD552" s="44">
        <f t="shared" si="227"/>
        <v>18348044</v>
      </c>
      <c r="AE552" s="9">
        <v>0</v>
      </c>
      <c r="AF552" s="9">
        <f t="shared" si="234"/>
        <v>18348044</v>
      </c>
      <c r="AG552" s="59" t="s">
        <v>515</v>
      </c>
      <c r="AH552" s="13"/>
      <c r="AI552" s="1">
        <v>4635.91</v>
      </c>
      <c r="AJ552" s="1">
        <v>0</v>
      </c>
    </row>
    <row r="553" spans="1:36" ht="180" x14ac:dyDescent="0.25">
      <c r="A553" s="5">
        <f t="shared" si="228"/>
        <v>550</v>
      </c>
      <c r="B553" s="61">
        <v>135225</v>
      </c>
      <c r="C553" s="5">
        <v>760</v>
      </c>
      <c r="D553" s="55" t="s">
        <v>145</v>
      </c>
      <c r="E553" s="119" t="s">
        <v>1381</v>
      </c>
      <c r="F553" s="8" t="s">
        <v>1929</v>
      </c>
      <c r="G553" s="5" t="s">
        <v>908</v>
      </c>
      <c r="H553" s="5" t="s">
        <v>296</v>
      </c>
      <c r="I553" s="41" t="s">
        <v>1930</v>
      </c>
      <c r="J553" s="63">
        <v>44047</v>
      </c>
      <c r="K553" s="63">
        <v>45142</v>
      </c>
      <c r="L553" s="16">
        <f t="shared" si="229"/>
        <v>83.983862967148042</v>
      </c>
      <c r="M553" s="5" t="s">
        <v>1586</v>
      </c>
      <c r="N553" s="5" t="s">
        <v>262</v>
      </c>
      <c r="O553" s="5" t="s">
        <v>137</v>
      </c>
      <c r="P553" s="3" t="s">
        <v>138</v>
      </c>
      <c r="Q553" s="62" t="s">
        <v>34</v>
      </c>
      <c r="R553" s="4">
        <f t="shared" si="230"/>
        <v>15620059.060000001</v>
      </c>
      <c r="S553" s="66">
        <v>12596216.710000001</v>
      </c>
      <c r="T553" s="66">
        <v>3023842.35</v>
      </c>
      <c r="U553" s="4">
        <f t="shared" si="231"/>
        <v>0</v>
      </c>
      <c r="V553" s="53">
        <v>0</v>
      </c>
      <c r="W553" s="53">
        <v>0</v>
      </c>
      <c r="X553" s="4">
        <f t="shared" si="232"/>
        <v>2978822.33</v>
      </c>
      <c r="Y553" s="68">
        <v>2222861.7799999998</v>
      </c>
      <c r="Z553" s="68">
        <v>755960.55</v>
      </c>
      <c r="AA553" s="9">
        <f t="shared" si="233"/>
        <v>0</v>
      </c>
      <c r="AB553" s="9">
        <v>0</v>
      </c>
      <c r="AC553" s="9">
        <v>0</v>
      </c>
      <c r="AD553" s="44">
        <f t="shared" si="227"/>
        <v>18598881.390000001</v>
      </c>
      <c r="AE553" s="9">
        <v>0</v>
      </c>
      <c r="AF553" s="9">
        <f t="shared" si="234"/>
        <v>18598881.390000001</v>
      </c>
      <c r="AG553" s="59" t="s">
        <v>515</v>
      </c>
      <c r="AH553" s="13"/>
      <c r="AI553" s="1">
        <f>36440.6+102869.06</f>
        <v>139309.66</v>
      </c>
      <c r="AJ553" s="1">
        <v>0</v>
      </c>
    </row>
    <row r="554" spans="1:36" ht="204.75" x14ac:dyDescent="0.25">
      <c r="A554" s="5">
        <f t="shared" si="228"/>
        <v>551</v>
      </c>
      <c r="B554" s="15">
        <v>133850</v>
      </c>
      <c r="C554" s="15">
        <v>761</v>
      </c>
      <c r="D554" s="55" t="s">
        <v>145</v>
      </c>
      <c r="E554" s="119" t="s">
        <v>1381</v>
      </c>
      <c r="F554" s="124" t="s">
        <v>1931</v>
      </c>
      <c r="G554" s="5" t="s">
        <v>908</v>
      </c>
      <c r="H554" s="5" t="s">
        <v>1902</v>
      </c>
      <c r="I554" s="60" t="s">
        <v>1932</v>
      </c>
      <c r="J554" s="63">
        <v>44047</v>
      </c>
      <c r="K554" s="63">
        <v>45142</v>
      </c>
      <c r="L554" s="16">
        <f t="shared" si="229"/>
        <v>83.983863128517754</v>
      </c>
      <c r="M554" s="5" t="s">
        <v>1586</v>
      </c>
      <c r="N554" s="5" t="s">
        <v>262</v>
      </c>
      <c r="O554" s="5" t="s">
        <v>137</v>
      </c>
      <c r="P554" s="3" t="s">
        <v>138</v>
      </c>
      <c r="Q554" s="62" t="s">
        <v>34</v>
      </c>
      <c r="R554" s="4">
        <f t="shared" si="230"/>
        <v>12939698.83</v>
      </c>
      <c r="S554" s="9">
        <v>10434739.720000001</v>
      </c>
      <c r="T554" s="9">
        <v>2504959.11</v>
      </c>
      <c r="U554" s="4">
        <f t="shared" si="231"/>
        <v>0</v>
      </c>
      <c r="V554" s="53">
        <v>0</v>
      </c>
      <c r="W554" s="53">
        <v>0</v>
      </c>
      <c r="X554" s="4">
        <f t="shared" si="232"/>
        <v>2467664.38</v>
      </c>
      <c r="Y554" s="53">
        <v>1841424.63</v>
      </c>
      <c r="Z554" s="53">
        <v>626239.75</v>
      </c>
      <c r="AA554" s="9">
        <f t="shared" si="233"/>
        <v>0</v>
      </c>
      <c r="AB554" s="9">
        <v>0</v>
      </c>
      <c r="AC554" s="9">
        <v>0</v>
      </c>
      <c r="AD554" s="44">
        <f t="shared" si="227"/>
        <v>15407363.210000001</v>
      </c>
      <c r="AE554" s="9">
        <v>0</v>
      </c>
      <c r="AF554" s="9">
        <f t="shared" si="234"/>
        <v>15407363.210000001</v>
      </c>
      <c r="AG554" s="59" t="s">
        <v>515</v>
      </c>
      <c r="AH554" s="13" t="s">
        <v>2199</v>
      </c>
      <c r="AI554" s="1">
        <f>61477.87+197727.26</f>
        <v>259205.13</v>
      </c>
      <c r="AJ554" s="1">
        <v>0</v>
      </c>
    </row>
    <row r="555" spans="1:36" ht="180" x14ac:dyDescent="0.25">
      <c r="A555" s="5">
        <f t="shared" si="228"/>
        <v>552</v>
      </c>
      <c r="B555" s="15">
        <v>135456</v>
      </c>
      <c r="C555" s="15">
        <v>762</v>
      </c>
      <c r="D555" s="55" t="s">
        <v>145</v>
      </c>
      <c r="E555" s="119" t="s">
        <v>1381</v>
      </c>
      <c r="F555" s="124" t="s">
        <v>1933</v>
      </c>
      <c r="G555" s="5" t="s">
        <v>908</v>
      </c>
      <c r="H555" s="5" t="s">
        <v>1934</v>
      </c>
      <c r="I555" s="60" t="s">
        <v>1935</v>
      </c>
      <c r="J555" s="63">
        <v>44047</v>
      </c>
      <c r="K555" s="63">
        <v>45142</v>
      </c>
      <c r="L555" s="16">
        <f t="shared" si="229"/>
        <v>83.98386298283171</v>
      </c>
      <c r="M555" s="5" t="s">
        <v>1586</v>
      </c>
      <c r="N555" s="5" t="s">
        <v>262</v>
      </c>
      <c r="O555" s="5" t="s">
        <v>137</v>
      </c>
      <c r="P555" s="3" t="s">
        <v>138</v>
      </c>
      <c r="Q555" s="62" t="s">
        <v>34</v>
      </c>
      <c r="R555" s="4">
        <f t="shared" si="230"/>
        <v>29574774.769999988</v>
      </c>
      <c r="S555" s="9">
        <v>23849479.139999986</v>
      </c>
      <c r="T555" s="9">
        <v>5725295.6300000036</v>
      </c>
      <c r="U555" s="4">
        <f t="shared" si="231"/>
        <v>0</v>
      </c>
      <c r="V555" s="53">
        <v>0</v>
      </c>
      <c r="W555" s="53">
        <v>0</v>
      </c>
      <c r="X555" s="4">
        <f t="shared" si="232"/>
        <v>5640055.46</v>
      </c>
      <c r="Y555" s="53">
        <v>4208731.57</v>
      </c>
      <c r="Z555" s="53">
        <v>1431323.89</v>
      </c>
      <c r="AA555" s="9">
        <f t="shared" si="233"/>
        <v>0</v>
      </c>
      <c r="AB555" s="9">
        <v>0</v>
      </c>
      <c r="AC555" s="9">
        <v>0</v>
      </c>
      <c r="AD555" s="44">
        <f t="shared" si="227"/>
        <v>35214830.229999989</v>
      </c>
      <c r="AE555" s="9">
        <v>0</v>
      </c>
      <c r="AF555" s="9">
        <f t="shared" si="234"/>
        <v>35214830.229999989</v>
      </c>
      <c r="AG555" s="59" t="s">
        <v>515</v>
      </c>
      <c r="AH555" s="13"/>
      <c r="AI555" s="1">
        <f>62364.74+154421.59</f>
        <v>216786.33</v>
      </c>
      <c r="AJ555" s="1">
        <v>0</v>
      </c>
    </row>
    <row r="556" spans="1:36" ht="180" x14ac:dyDescent="0.25">
      <c r="A556" s="5">
        <f t="shared" si="228"/>
        <v>553</v>
      </c>
      <c r="B556" s="15">
        <v>133394</v>
      </c>
      <c r="C556" s="15">
        <v>764</v>
      </c>
      <c r="D556" s="55" t="s">
        <v>145</v>
      </c>
      <c r="E556" s="119" t="s">
        <v>1381</v>
      </c>
      <c r="F556" s="124" t="s">
        <v>1938</v>
      </c>
      <c r="G556" s="5" t="s">
        <v>1902</v>
      </c>
      <c r="H556" s="8" t="s">
        <v>1940</v>
      </c>
      <c r="I556" s="60" t="s">
        <v>1939</v>
      </c>
      <c r="J556" s="63">
        <v>44049</v>
      </c>
      <c r="K556" s="63">
        <v>45144</v>
      </c>
      <c r="L556" s="16">
        <f t="shared" si="229"/>
        <v>83.983862862472989</v>
      </c>
      <c r="M556" s="5" t="s">
        <v>1586</v>
      </c>
      <c r="N556" s="5" t="s">
        <v>262</v>
      </c>
      <c r="O556" s="5" t="s">
        <v>137</v>
      </c>
      <c r="P556" s="3" t="s">
        <v>138</v>
      </c>
      <c r="Q556" s="62" t="s">
        <v>34</v>
      </c>
      <c r="R556" s="4">
        <f t="shared" si="230"/>
        <v>28246326.609999999</v>
      </c>
      <c r="S556" s="9">
        <v>22778201.460000001</v>
      </c>
      <c r="T556" s="9">
        <v>5468125.1499999985</v>
      </c>
      <c r="U556" s="4">
        <f t="shared" si="231"/>
        <v>0</v>
      </c>
      <c r="V556" s="53">
        <v>0</v>
      </c>
      <c r="W556" s="53">
        <v>0</v>
      </c>
      <c r="X556" s="4">
        <f t="shared" si="232"/>
        <v>5386713.8899999997</v>
      </c>
      <c r="Y556" s="53">
        <v>4019682.59</v>
      </c>
      <c r="Z556" s="53">
        <v>1367031.3</v>
      </c>
      <c r="AA556" s="9">
        <f t="shared" si="233"/>
        <v>0</v>
      </c>
      <c r="AB556" s="9">
        <v>0</v>
      </c>
      <c r="AC556" s="9">
        <v>0</v>
      </c>
      <c r="AD556" s="44">
        <f t="shared" si="227"/>
        <v>33633040.5</v>
      </c>
      <c r="AE556" s="9">
        <v>0</v>
      </c>
      <c r="AF556" s="9">
        <f t="shared" si="234"/>
        <v>33633040.5</v>
      </c>
      <c r="AG556" s="59" t="s">
        <v>515</v>
      </c>
      <c r="AH556" s="13"/>
      <c r="AI556" s="1">
        <f>60051.25+102684.04</f>
        <v>162735.28999999998</v>
      </c>
      <c r="AJ556" s="1">
        <v>0</v>
      </c>
    </row>
    <row r="557" spans="1:36" ht="180" x14ac:dyDescent="0.25">
      <c r="A557" s="5">
        <f t="shared" si="228"/>
        <v>554</v>
      </c>
      <c r="B557" s="15">
        <v>129604</v>
      </c>
      <c r="C557" s="15">
        <v>706</v>
      </c>
      <c r="D557" s="55" t="s">
        <v>143</v>
      </c>
      <c r="E557" s="119" t="s">
        <v>1227</v>
      </c>
      <c r="F557" s="124" t="s">
        <v>1946</v>
      </c>
      <c r="G557" s="5" t="s">
        <v>1593</v>
      </c>
      <c r="H557" s="5" t="s">
        <v>1948</v>
      </c>
      <c r="I557" s="60" t="s">
        <v>1947</v>
      </c>
      <c r="J557" s="63">
        <v>44053</v>
      </c>
      <c r="K557" s="63">
        <v>44905</v>
      </c>
      <c r="L557" s="16">
        <f t="shared" si="229"/>
        <v>83.983862832931337</v>
      </c>
      <c r="M557" s="5" t="s">
        <v>1586</v>
      </c>
      <c r="N557" s="5" t="s">
        <v>262</v>
      </c>
      <c r="O557" s="5" t="s">
        <v>137</v>
      </c>
      <c r="P557" s="3" t="s">
        <v>138</v>
      </c>
      <c r="Q557" s="62" t="s">
        <v>34</v>
      </c>
      <c r="R557" s="4">
        <f t="shared" si="230"/>
        <v>19376667.390000001</v>
      </c>
      <c r="S557" s="9">
        <v>15625594.039999999</v>
      </c>
      <c r="T557" s="9">
        <v>3751073.3500000006</v>
      </c>
      <c r="U557" s="4">
        <f t="shared" si="231"/>
        <v>0</v>
      </c>
      <c r="V557" s="53">
        <v>0</v>
      </c>
      <c r="W557" s="53">
        <v>0</v>
      </c>
      <c r="X557" s="4">
        <f t="shared" si="232"/>
        <v>3695226.11</v>
      </c>
      <c r="Y557" s="53">
        <v>2757457.79</v>
      </c>
      <c r="Z557" s="53">
        <v>937768.32</v>
      </c>
      <c r="AA557" s="9">
        <f t="shared" si="233"/>
        <v>0</v>
      </c>
      <c r="AB557" s="9">
        <v>0</v>
      </c>
      <c r="AC557" s="9">
        <v>0</v>
      </c>
      <c r="AD557" s="44">
        <f t="shared" si="227"/>
        <v>23071893.5</v>
      </c>
      <c r="AE557" s="9">
        <v>0</v>
      </c>
      <c r="AF557" s="9">
        <f t="shared" si="234"/>
        <v>23071893.5</v>
      </c>
      <c r="AG557" s="59" t="s">
        <v>515</v>
      </c>
      <c r="AH557" s="13"/>
      <c r="AI557" s="1">
        <f>122000.84+335475.68</f>
        <v>457476.52</v>
      </c>
      <c r="AJ557" s="1">
        <v>0</v>
      </c>
    </row>
    <row r="558" spans="1:36" ht="180" x14ac:dyDescent="0.25">
      <c r="A558" s="5">
        <f t="shared" si="228"/>
        <v>555</v>
      </c>
      <c r="B558" s="15">
        <v>130047</v>
      </c>
      <c r="C558" s="15">
        <v>721</v>
      </c>
      <c r="D558" s="55" t="s">
        <v>143</v>
      </c>
      <c r="E558" s="119" t="s">
        <v>1227</v>
      </c>
      <c r="F558" s="124" t="s">
        <v>1950</v>
      </c>
      <c r="G558" s="5" t="s">
        <v>1949</v>
      </c>
      <c r="H558" s="5" t="s">
        <v>362</v>
      </c>
      <c r="I558" s="60" t="s">
        <v>1951</v>
      </c>
      <c r="J558" s="63">
        <v>44055</v>
      </c>
      <c r="K558" s="63">
        <v>44785</v>
      </c>
      <c r="L558" s="16">
        <f t="shared" si="229"/>
        <v>83.98386283554224</v>
      </c>
      <c r="M558" s="5" t="s">
        <v>1586</v>
      </c>
      <c r="N558" s="5" t="s">
        <v>262</v>
      </c>
      <c r="O558" s="5" t="s">
        <v>137</v>
      </c>
      <c r="P558" s="3" t="s">
        <v>138</v>
      </c>
      <c r="Q558" s="62" t="s">
        <v>34</v>
      </c>
      <c r="R558" s="4">
        <f t="shared" si="230"/>
        <v>13238013.899999999</v>
      </c>
      <c r="S558" s="9">
        <v>10675304.85</v>
      </c>
      <c r="T558" s="9">
        <v>2562709.0499999998</v>
      </c>
      <c r="U558" s="4">
        <f t="shared" si="231"/>
        <v>0</v>
      </c>
      <c r="V558" s="53">
        <v>0</v>
      </c>
      <c r="W558" s="53">
        <v>0</v>
      </c>
      <c r="X558" s="4">
        <f t="shared" si="232"/>
        <v>2524554.59</v>
      </c>
      <c r="Y558" s="53">
        <v>1883877.32</v>
      </c>
      <c r="Z558" s="53">
        <v>640677.27</v>
      </c>
      <c r="AA558" s="9">
        <f t="shared" si="233"/>
        <v>0</v>
      </c>
      <c r="AB558" s="9">
        <v>0</v>
      </c>
      <c r="AC558" s="9">
        <v>0</v>
      </c>
      <c r="AD558" s="44">
        <f t="shared" si="227"/>
        <v>15762568.489999998</v>
      </c>
      <c r="AE558" s="9">
        <v>0</v>
      </c>
      <c r="AF558" s="9">
        <f t="shared" si="234"/>
        <v>15762568.489999998</v>
      </c>
      <c r="AG558" s="59" t="s">
        <v>515</v>
      </c>
      <c r="AH558" s="13"/>
      <c r="AI558" s="1">
        <f>67715.09</f>
        <v>67715.09</v>
      </c>
      <c r="AJ558" s="1">
        <v>0</v>
      </c>
    </row>
    <row r="559" spans="1:36" ht="409.5" x14ac:dyDescent="0.25">
      <c r="A559" s="5">
        <f t="shared" si="228"/>
        <v>556</v>
      </c>
      <c r="B559" s="15">
        <v>134289</v>
      </c>
      <c r="C559" s="15">
        <v>859</v>
      </c>
      <c r="D559" s="55" t="s">
        <v>143</v>
      </c>
      <c r="E559" s="119" t="s">
        <v>1956</v>
      </c>
      <c r="F559" s="124" t="s">
        <v>1952</v>
      </c>
      <c r="G559" s="5" t="s">
        <v>1649</v>
      </c>
      <c r="H559" s="5" t="s">
        <v>362</v>
      </c>
      <c r="I559" s="60" t="s">
        <v>1953</v>
      </c>
      <c r="J559" s="63">
        <v>44055</v>
      </c>
      <c r="K559" s="63">
        <v>44512</v>
      </c>
      <c r="L559" s="16">
        <f t="shared" si="229"/>
        <v>83.98386309112847</v>
      </c>
      <c r="M559" s="5" t="s">
        <v>1586</v>
      </c>
      <c r="N559" s="5" t="s">
        <v>262</v>
      </c>
      <c r="O559" s="5" t="s">
        <v>137</v>
      </c>
      <c r="P559" s="3" t="s">
        <v>138</v>
      </c>
      <c r="Q559" s="62" t="s">
        <v>34</v>
      </c>
      <c r="R559" s="4">
        <f t="shared" si="230"/>
        <v>5544465.1499999994</v>
      </c>
      <c r="S559" s="9">
        <v>4471128.0699999994</v>
      </c>
      <c r="T559" s="9">
        <v>1073337.0799999998</v>
      </c>
      <c r="U559" s="4">
        <f t="shared" si="231"/>
        <v>0</v>
      </c>
      <c r="V559" s="53">
        <v>0</v>
      </c>
      <c r="W559" s="53">
        <v>0</v>
      </c>
      <c r="X559" s="4">
        <f t="shared" si="232"/>
        <v>1057356.8500000001</v>
      </c>
      <c r="Y559" s="53">
        <v>789022.6</v>
      </c>
      <c r="Z559" s="53">
        <v>268334.25</v>
      </c>
      <c r="AA559" s="9">
        <f t="shared" si="233"/>
        <v>0</v>
      </c>
      <c r="AB559" s="9">
        <v>0</v>
      </c>
      <c r="AC559" s="9">
        <v>0</v>
      </c>
      <c r="AD559" s="44">
        <f t="shared" si="227"/>
        <v>6601822</v>
      </c>
      <c r="AE559" s="9">
        <v>0</v>
      </c>
      <c r="AF559" s="9">
        <f t="shared" si="234"/>
        <v>6601822</v>
      </c>
      <c r="AG559" s="59" t="s">
        <v>515</v>
      </c>
      <c r="AH559" s="13"/>
      <c r="AI559" s="1">
        <f>70951.01+138909.3</f>
        <v>209860.31</v>
      </c>
      <c r="AJ559" s="1">
        <v>0</v>
      </c>
    </row>
    <row r="560" spans="1:36" ht="180" x14ac:dyDescent="0.25">
      <c r="A560" s="5">
        <f t="shared" si="228"/>
        <v>557</v>
      </c>
      <c r="B560" s="15">
        <v>129714</v>
      </c>
      <c r="C560" s="15">
        <v>726</v>
      </c>
      <c r="D560" s="55" t="s">
        <v>143</v>
      </c>
      <c r="E560" s="119" t="s">
        <v>1227</v>
      </c>
      <c r="F560" s="124" t="s">
        <v>1958</v>
      </c>
      <c r="G560" s="5" t="s">
        <v>55</v>
      </c>
      <c r="H560" s="5" t="s">
        <v>362</v>
      </c>
      <c r="I560" s="60" t="s">
        <v>1959</v>
      </c>
      <c r="J560" s="63">
        <v>44061</v>
      </c>
      <c r="K560" s="63">
        <v>44791</v>
      </c>
      <c r="L560" s="16">
        <f t="shared" si="229"/>
        <v>83.983862951227977</v>
      </c>
      <c r="M560" s="5" t="s">
        <v>1586</v>
      </c>
      <c r="N560" s="5" t="s">
        <v>262</v>
      </c>
      <c r="O560" s="5" t="s">
        <v>137</v>
      </c>
      <c r="P560" s="3" t="s">
        <v>138</v>
      </c>
      <c r="Q560" s="62" t="s">
        <v>34</v>
      </c>
      <c r="R560" s="4">
        <f t="shared" si="230"/>
        <v>1775235.61</v>
      </c>
      <c r="S560" s="9">
        <v>1431572.85</v>
      </c>
      <c r="T560" s="9">
        <v>343662.76</v>
      </c>
      <c r="U560" s="4">
        <f t="shared" si="231"/>
        <v>0</v>
      </c>
      <c r="V560" s="53">
        <v>0</v>
      </c>
      <c r="W560" s="53">
        <v>0</v>
      </c>
      <c r="X560" s="4">
        <f t="shared" si="232"/>
        <v>338546.19</v>
      </c>
      <c r="Y560" s="9">
        <v>252630.5</v>
      </c>
      <c r="Z560" s="9">
        <v>85915.69</v>
      </c>
      <c r="AA560" s="9">
        <f t="shared" si="233"/>
        <v>0</v>
      </c>
      <c r="AB560" s="9">
        <v>0</v>
      </c>
      <c r="AC560" s="9">
        <v>0</v>
      </c>
      <c r="AD560" s="44">
        <f t="shared" si="227"/>
        <v>2113781.8000000003</v>
      </c>
      <c r="AE560" s="9">
        <v>0</v>
      </c>
      <c r="AF560" s="9">
        <f t="shared" si="234"/>
        <v>2113781.8000000003</v>
      </c>
      <c r="AG560" s="59" t="s">
        <v>515</v>
      </c>
      <c r="AH560" s="13"/>
      <c r="AI560" s="1">
        <v>0</v>
      </c>
      <c r="AJ560" s="1">
        <v>0</v>
      </c>
    </row>
    <row r="561" spans="1:36" ht="220.5" x14ac:dyDescent="0.25">
      <c r="A561" s="5">
        <f t="shared" si="228"/>
        <v>558</v>
      </c>
      <c r="B561" s="15">
        <v>134962</v>
      </c>
      <c r="C561" s="15">
        <v>858</v>
      </c>
      <c r="D561" s="55" t="s">
        <v>143</v>
      </c>
      <c r="E561" s="119" t="s">
        <v>1956</v>
      </c>
      <c r="F561" s="124" t="s">
        <v>1961</v>
      </c>
      <c r="G561" s="34" t="s">
        <v>1960</v>
      </c>
      <c r="H561" s="5" t="s">
        <v>362</v>
      </c>
      <c r="I561" s="60" t="s">
        <v>1964</v>
      </c>
      <c r="J561" s="63">
        <v>44062</v>
      </c>
      <c r="K561" s="63">
        <v>45157</v>
      </c>
      <c r="L561" s="16">
        <f t="shared" si="229"/>
        <v>83.983862883576052</v>
      </c>
      <c r="M561" s="5" t="s">
        <v>1586</v>
      </c>
      <c r="N561" s="5" t="s">
        <v>262</v>
      </c>
      <c r="O561" s="5" t="s">
        <v>137</v>
      </c>
      <c r="P561" s="3" t="s">
        <v>138</v>
      </c>
      <c r="Q561" s="62" t="s">
        <v>34</v>
      </c>
      <c r="R561" s="4">
        <f t="shared" si="230"/>
        <v>25127215.920000002</v>
      </c>
      <c r="S561" s="9">
        <v>20262910.43</v>
      </c>
      <c r="T561" s="9">
        <v>4864305.4900000012</v>
      </c>
      <c r="U561" s="4">
        <f t="shared" si="231"/>
        <v>0</v>
      </c>
      <c r="V561" s="53">
        <v>0</v>
      </c>
      <c r="W561" s="53">
        <v>0</v>
      </c>
      <c r="X561" s="4">
        <f t="shared" si="232"/>
        <v>4791884.08</v>
      </c>
      <c r="Y561" s="9">
        <v>3575807.71</v>
      </c>
      <c r="Z561" s="9">
        <v>1216076.3700000001</v>
      </c>
      <c r="AA561" s="9">
        <f t="shared" si="233"/>
        <v>0</v>
      </c>
      <c r="AB561" s="9">
        <v>0</v>
      </c>
      <c r="AC561" s="9">
        <v>0</v>
      </c>
      <c r="AD561" s="44">
        <f t="shared" si="227"/>
        <v>29919100</v>
      </c>
      <c r="AE561" s="9">
        <v>0</v>
      </c>
      <c r="AF561" s="9">
        <f t="shared" si="234"/>
        <v>29919100</v>
      </c>
      <c r="AG561" s="59" t="s">
        <v>515</v>
      </c>
      <c r="AH561" s="13"/>
      <c r="AI561" s="1">
        <f>67453.27+112356.03</f>
        <v>179809.3</v>
      </c>
      <c r="AJ561" s="1">
        <v>0</v>
      </c>
    </row>
    <row r="562" spans="1:36" ht="330.75" x14ac:dyDescent="0.25">
      <c r="A562" s="5">
        <f t="shared" si="228"/>
        <v>559</v>
      </c>
      <c r="B562" s="15">
        <v>134464</v>
      </c>
      <c r="C562" s="15">
        <v>866</v>
      </c>
      <c r="D562" s="55" t="s">
        <v>143</v>
      </c>
      <c r="E562" s="119" t="s">
        <v>1956</v>
      </c>
      <c r="F562" s="124" t="s">
        <v>1963</v>
      </c>
      <c r="G562" s="5" t="s">
        <v>1962</v>
      </c>
      <c r="H562" s="5" t="s">
        <v>362</v>
      </c>
      <c r="I562" s="60" t="s">
        <v>1965</v>
      </c>
      <c r="J562" s="63">
        <v>44061</v>
      </c>
      <c r="K562" s="63">
        <v>44791</v>
      </c>
      <c r="L562" s="16">
        <f t="shared" si="229"/>
        <v>83.983863140442111</v>
      </c>
      <c r="M562" s="5" t="s">
        <v>1586</v>
      </c>
      <c r="N562" s="5" t="s">
        <v>262</v>
      </c>
      <c r="O562" s="5" t="s">
        <v>137</v>
      </c>
      <c r="P562" s="3" t="s">
        <v>138</v>
      </c>
      <c r="Q562" s="62" t="s">
        <v>34</v>
      </c>
      <c r="R562" s="4">
        <f t="shared" si="230"/>
        <v>6673124.2899999991</v>
      </c>
      <c r="S562" s="9">
        <v>5381293.3300000001</v>
      </c>
      <c r="T562" s="9">
        <v>1291830.9599999995</v>
      </c>
      <c r="U562" s="4">
        <f t="shared" si="231"/>
        <v>0</v>
      </c>
      <c r="V562" s="53">
        <v>0</v>
      </c>
      <c r="W562" s="53">
        <v>0</v>
      </c>
      <c r="X562" s="4">
        <f t="shared" si="232"/>
        <v>1272597.71</v>
      </c>
      <c r="Y562" s="9">
        <v>949639.99</v>
      </c>
      <c r="Z562" s="9">
        <v>322957.71999999997</v>
      </c>
      <c r="AA562" s="9">
        <f t="shared" si="233"/>
        <v>0</v>
      </c>
      <c r="AB562" s="9">
        <v>0</v>
      </c>
      <c r="AC562" s="9">
        <v>0</v>
      </c>
      <c r="AD562" s="44">
        <f t="shared" si="227"/>
        <v>7945721.9999999991</v>
      </c>
      <c r="AE562" s="9">
        <v>0</v>
      </c>
      <c r="AF562" s="9">
        <f t="shared" si="234"/>
        <v>7945721.9999999991</v>
      </c>
      <c r="AG562" s="59" t="s">
        <v>515</v>
      </c>
      <c r="AH562" s="13"/>
      <c r="AI562" s="1">
        <f>21724.86+44015.51</f>
        <v>65740.37</v>
      </c>
      <c r="AJ562" s="1">
        <v>0</v>
      </c>
    </row>
    <row r="563" spans="1:36" ht="198" x14ac:dyDescent="0.25">
      <c r="A563" s="5">
        <f t="shared" si="228"/>
        <v>560</v>
      </c>
      <c r="B563" s="15">
        <v>136528</v>
      </c>
      <c r="C563" s="15">
        <v>863</v>
      </c>
      <c r="D563" s="55" t="s">
        <v>143</v>
      </c>
      <c r="E563" s="119" t="s">
        <v>1956</v>
      </c>
      <c r="F563" s="124" t="s">
        <v>1977</v>
      </c>
      <c r="G563" s="5" t="s">
        <v>1593</v>
      </c>
      <c r="H563" s="5" t="s">
        <v>1978</v>
      </c>
      <c r="I563" s="60" t="s">
        <v>1979</v>
      </c>
      <c r="J563" s="63">
        <v>44078</v>
      </c>
      <c r="K563" s="63">
        <v>44808</v>
      </c>
      <c r="L563" s="16">
        <f t="shared" si="229"/>
        <v>83.983863224435268</v>
      </c>
      <c r="M563" s="5" t="s">
        <v>1586</v>
      </c>
      <c r="N563" s="5" t="s">
        <v>262</v>
      </c>
      <c r="O563" s="5" t="s">
        <v>137</v>
      </c>
      <c r="P563" s="3" t="s">
        <v>138</v>
      </c>
      <c r="Q563" s="62" t="s">
        <v>34</v>
      </c>
      <c r="R563" s="4">
        <f t="shared" si="230"/>
        <v>4228188.5900000008</v>
      </c>
      <c r="S563" s="9">
        <v>3409665.7400000007</v>
      </c>
      <c r="T563" s="9">
        <v>818522.84999999986</v>
      </c>
      <c r="U563" s="4">
        <f t="shared" si="231"/>
        <v>0</v>
      </c>
      <c r="V563" s="53">
        <v>0</v>
      </c>
      <c r="W563" s="53">
        <v>0</v>
      </c>
      <c r="X563" s="4">
        <f t="shared" si="232"/>
        <v>806336.41</v>
      </c>
      <c r="Y563" s="9">
        <v>601705.67000000004</v>
      </c>
      <c r="Z563" s="9">
        <v>204630.74</v>
      </c>
      <c r="AA563" s="9">
        <f t="shared" si="233"/>
        <v>0</v>
      </c>
      <c r="AB563" s="9">
        <v>0</v>
      </c>
      <c r="AC563" s="9">
        <v>0</v>
      </c>
      <c r="AD563" s="44">
        <f t="shared" si="227"/>
        <v>5034525.0000000009</v>
      </c>
      <c r="AE563" s="9">
        <v>0</v>
      </c>
      <c r="AF563" s="9">
        <f t="shared" si="234"/>
        <v>5034525.0000000009</v>
      </c>
      <c r="AG563" s="59" t="s">
        <v>515</v>
      </c>
      <c r="AH563" s="13"/>
      <c r="AI563" s="1">
        <f>404831.05+187670.34</f>
        <v>592501.39</v>
      </c>
      <c r="AJ563" s="1">
        <v>0</v>
      </c>
    </row>
    <row r="564" spans="1:36" ht="198" x14ac:dyDescent="0.25">
      <c r="A564" s="5">
        <f t="shared" si="228"/>
        <v>561</v>
      </c>
      <c r="B564" s="15">
        <v>130103</v>
      </c>
      <c r="C564" s="15">
        <v>737</v>
      </c>
      <c r="D564" s="55" t="s">
        <v>143</v>
      </c>
      <c r="E564" s="119" t="s">
        <v>1227</v>
      </c>
      <c r="F564" s="124" t="s">
        <v>1981</v>
      </c>
      <c r="G564" s="5" t="s">
        <v>2097</v>
      </c>
      <c r="H564" s="5" t="s">
        <v>362</v>
      </c>
      <c r="I564" s="60" t="s">
        <v>1982</v>
      </c>
      <c r="J564" s="63">
        <v>44083</v>
      </c>
      <c r="K564" s="63">
        <v>44813</v>
      </c>
      <c r="L564" s="16">
        <f t="shared" si="229"/>
        <v>83.983862888157404</v>
      </c>
      <c r="M564" s="5" t="s">
        <v>1586</v>
      </c>
      <c r="N564" s="5" t="s">
        <v>262</v>
      </c>
      <c r="O564" s="5" t="s">
        <v>137</v>
      </c>
      <c r="P564" s="3" t="s">
        <v>138</v>
      </c>
      <c r="Q564" s="62" t="s">
        <v>34</v>
      </c>
      <c r="R564" s="4">
        <f t="shared" si="230"/>
        <v>22633067.940000001</v>
      </c>
      <c r="S564" s="9">
        <v>18251597.380000003</v>
      </c>
      <c r="T564" s="9">
        <v>4381470.5599999996</v>
      </c>
      <c r="U564" s="4">
        <f t="shared" si="231"/>
        <v>0</v>
      </c>
      <c r="V564" s="53">
        <v>0</v>
      </c>
      <c r="W564" s="53">
        <v>0</v>
      </c>
      <c r="X564" s="4">
        <f t="shared" si="232"/>
        <v>4316237.75</v>
      </c>
      <c r="Y564" s="9">
        <v>3220870.12</v>
      </c>
      <c r="Z564" s="9">
        <v>1095367.6299999999</v>
      </c>
      <c r="AA564" s="9">
        <f t="shared" si="233"/>
        <v>0</v>
      </c>
      <c r="AB564" s="9">
        <v>0</v>
      </c>
      <c r="AC564" s="9">
        <v>0</v>
      </c>
      <c r="AD564" s="44">
        <f t="shared" si="227"/>
        <v>26949305.690000001</v>
      </c>
      <c r="AE564" s="9">
        <v>0</v>
      </c>
      <c r="AF564" s="9">
        <f t="shared" si="234"/>
        <v>26949305.690000001</v>
      </c>
      <c r="AG564" s="59" t="s">
        <v>515</v>
      </c>
      <c r="AH564" s="13"/>
      <c r="AI564" s="1">
        <v>0</v>
      </c>
      <c r="AJ564" s="1">
        <v>0</v>
      </c>
    </row>
    <row r="565" spans="1:36" ht="198" x14ac:dyDescent="0.25">
      <c r="A565" s="5">
        <f t="shared" si="228"/>
        <v>562</v>
      </c>
      <c r="B565" s="15">
        <v>130101</v>
      </c>
      <c r="C565" s="15">
        <v>739</v>
      </c>
      <c r="D565" s="55" t="s">
        <v>143</v>
      </c>
      <c r="E565" s="119" t="s">
        <v>1227</v>
      </c>
      <c r="F565" s="124" t="s">
        <v>1983</v>
      </c>
      <c r="G565" s="5" t="s">
        <v>2097</v>
      </c>
      <c r="H565" s="5" t="s">
        <v>362</v>
      </c>
      <c r="I565" s="60" t="s">
        <v>1984</v>
      </c>
      <c r="J565" s="63">
        <v>44083</v>
      </c>
      <c r="K565" s="63">
        <v>44813</v>
      </c>
      <c r="L565" s="16">
        <f t="shared" si="229"/>
        <v>83.983862947138277</v>
      </c>
      <c r="M565" s="5" t="s">
        <v>1586</v>
      </c>
      <c r="N565" s="5" t="s">
        <v>262</v>
      </c>
      <c r="O565" s="5" t="s">
        <v>137</v>
      </c>
      <c r="P565" s="3" t="s">
        <v>138</v>
      </c>
      <c r="Q565" s="62" t="s">
        <v>34</v>
      </c>
      <c r="R565" s="4">
        <f t="shared" si="230"/>
        <v>20113401.559999999</v>
      </c>
      <c r="S565" s="9">
        <v>16219705.959999999</v>
      </c>
      <c r="T565" s="9">
        <v>3893695.6</v>
      </c>
      <c r="U565" s="4">
        <f t="shared" si="231"/>
        <v>0</v>
      </c>
      <c r="V565" s="53">
        <v>0</v>
      </c>
      <c r="W565" s="53">
        <v>0</v>
      </c>
      <c r="X565" s="4">
        <f t="shared" si="232"/>
        <v>3835724.92</v>
      </c>
      <c r="Y565" s="9">
        <v>2862301.04</v>
      </c>
      <c r="Z565" s="9">
        <v>973423.88</v>
      </c>
      <c r="AA565" s="9">
        <f t="shared" si="233"/>
        <v>0</v>
      </c>
      <c r="AB565" s="9">
        <v>0</v>
      </c>
      <c r="AC565" s="9">
        <v>0</v>
      </c>
      <c r="AD565" s="44">
        <f t="shared" si="227"/>
        <v>23949126.479999997</v>
      </c>
      <c r="AE565" s="9">
        <v>0</v>
      </c>
      <c r="AF565" s="9">
        <f t="shared" si="234"/>
        <v>23949126.479999997</v>
      </c>
      <c r="AG565" s="59" t="s">
        <v>515</v>
      </c>
      <c r="AH565" s="13"/>
      <c r="AI565" s="1">
        <v>0</v>
      </c>
      <c r="AJ565" s="1">
        <v>0</v>
      </c>
    </row>
    <row r="566" spans="1:36" ht="180" x14ac:dyDescent="0.25">
      <c r="A566" s="5">
        <f t="shared" si="228"/>
        <v>563</v>
      </c>
      <c r="B566" s="15">
        <v>136610</v>
      </c>
      <c r="C566" s="15">
        <v>862</v>
      </c>
      <c r="D566" s="55" t="s">
        <v>143</v>
      </c>
      <c r="E566" s="119" t="s">
        <v>1956</v>
      </c>
      <c r="F566" s="124" t="s">
        <v>1990</v>
      </c>
      <c r="G566" s="5" t="s">
        <v>1593</v>
      </c>
      <c r="H566" s="5" t="s">
        <v>1991</v>
      </c>
      <c r="I566" s="60" t="s">
        <v>1992</v>
      </c>
      <c r="J566" s="63">
        <v>44090</v>
      </c>
      <c r="K566" s="63">
        <v>45001</v>
      </c>
      <c r="L566" s="16">
        <f t="shared" si="229"/>
        <v>83.983863078236666</v>
      </c>
      <c r="M566" s="5" t="s">
        <v>1586</v>
      </c>
      <c r="N566" s="5" t="s">
        <v>262</v>
      </c>
      <c r="O566" s="5" t="s">
        <v>137</v>
      </c>
      <c r="P566" s="3" t="s">
        <v>138</v>
      </c>
      <c r="Q566" s="62" t="s">
        <v>34</v>
      </c>
      <c r="R566" s="4">
        <f t="shared" si="230"/>
        <v>4326664.34</v>
      </c>
      <c r="S566" s="9">
        <v>3489077.81</v>
      </c>
      <c r="T566" s="9">
        <v>837586.5299999998</v>
      </c>
      <c r="U566" s="4">
        <f t="shared" si="231"/>
        <v>346722.08999999997</v>
      </c>
      <c r="V566" s="53">
        <v>256230.53</v>
      </c>
      <c r="W566" s="53">
        <v>90491.56</v>
      </c>
      <c r="X566" s="4">
        <f t="shared" si="232"/>
        <v>478394.14</v>
      </c>
      <c r="Y566" s="9">
        <v>359489.09</v>
      </c>
      <c r="Z566" s="9">
        <v>118905.05</v>
      </c>
      <c r="AA566" s="9">
        <f t="shared" si="233"/>
        <v>0</v>
      </c>
      <c r="AB566" s="9">
        <v>0</v>
      </c>
      <c r="AC566" s="9">
        <v>0</v>
      </c>
      <c r="AD566" s="44">
        <f t="shared" si="227"/>
        <v>5151780.5699999994</v>
      </c>
      <c r="AE566" s="9">
        <v>0</v>
      </c>
      <c r="AF566" s="9">
        <f t="shared" si="234"/>
        <v>5151780.5699999994</v>
      </c>
      <c r="AG566" s="59" t="s">
        <v>515</v>
      </c>
      <c r="AH566" s="13"/>
      <c r="AI566" s="1">
        <f>254057.43+298330.11</f>
        <v>552387.54</v>
      </c>
      <c r="AJ566" s="1">
        <f>24107.34+30833.68</f>
        <v>54941.020000000004</v>
      </c>
    </row>
    <row r="567" spans="1:36" ht="180" x14ac:dyDescent="0.25">
      <c r="A567" s="5">
        <f t="shared" si="228"/>
        <v>564</v>
      </c>
      <c r="B567" s="15">
        <v>129959</v>
      </c>
      <c r="C567" s="15">
        <v>716</v>
      </c>
      <c r="D567" s="55" t="s">
        <v>143</v>
      </c>
      <c r="E567" s="119" t="s">
        <v>1227</v>
      </c>
      <c r="F567" s="120" t="s">
        <v>2018</v>
      </c>
      <c r="G567" s="62" t="s">
        <v>2095</v>
      </c>
      <c r="H567" s="5" t="s">
        <v>362</v>
      </c>
      <c r="I567" s="60" t="s">
        <v>2019</v>
      </c>
      <c r="J567" s="63">
        <v>44109</v>
      </c>
      <c r="K567" s="63">
        <v>45204</v>
      </c>
      <c r="L567" s="16">
        <f t="shared" si="229"/>
        <v>83.983862963761638</v>
      </c>
      <c r="M567" s="5" t="s">
        <v>1586</v>
      </c>
      <c r="N567" s="5" t="s">
        <v>262</v>
      </c>
      <c r="O567" s="5" t="s">
        <v>137</v>
      </c>
      <c r="P567" s="3" t="s">
        <v>138</v>
      </c>
      <c r="Q567" s="62" t="s">
        <v>34</v>
      </c>
      <c r="R567" s="4">
        <f t="shared" si="230"/>
        <v>14005620.699999999</v>
      </c>
      <c r="S567" s="9">
        <v>11294312.83</v>
      </c>
      <c r="T567" s="9">
        <v>2711307.87</v>
      </c>
      <c r="U567" s="4">
        <f t="shared" si="231"/>
        <v>0</v>
      </c>
      <c r="V567" s="53">
        <v>0</v>
      </c>
      <c r="W567" s="53">
        <v>0</v>
      </c>
      <c r="X567" s="4">
        <f t="shared" si="232"/>
        <v>2670940.9700000002</v>
      </c>
      <c r="Y567" s="9">
        <v>1993114.04</v>
      </c>
      <c r="Z567" s="9">
        <v>677826.93</v>
      </c>
      <c r="AA567" s="9">
        <f t="shared" si="233"/>
        <v>0</v>
      </c>
      <c r="AB567" s="9">
        <v>0</v>
      </c>
      <c r="AC567" s="9">
        <v>0</v>
      </c>
      <c r="AD567" s="44">
        <f t="shared" si="227"/>
        <v>16676561.67</v>
      </c>
      <c r="AE567" s="9">
        <v>0</v>
      </c>
      <c r="AF567" s="9">
        <f t="shared" si="234"/>
        <v>16676561.67</v>
      </c>
      <c r="AG567" s="59" t="s">
        <v>515</v>
      </c>
      <c r="AH567" s="13"/>
      <c r="AI567" s="1">
        <v>105759.32</v>
      </c>
      <c r="AJ567" s="1">
        <v>0</v>
      </c>
    </row>
    <row r="568" spans="1:36" ht="288" x14ac:dyDescent="0.25">
      <c r="A568" s="5">
        <f t="shared" si="228"/>
        <v>565</v>
      </c>
      <c r="B568" s="15">
        <v>129982</v>
      </c>
      <c r="C568" s="15">
        <v>720</v>
      </c>
      <c r="D568" s="55" t="s">
        <v>143</v>
      </c>
      <c r="E568" s="119" t="s">
        <v>1227</v>
      </c>
      <c r="F568" s="124" t="s">
        <v>2025</v>
      </c>
      <c r="G568" s="120" t="s">
        <v>2094</v>
      </c>
      <c r="H568" s="5" t="s">
        <v>2026</v>
      </c>
      <c r="I568" s="60" t="s">
        <v>2027</v>
      </c>
      <c r="J568" s="63">
        <v>44118</v>
      </c>
      <c r="K568" s="63">
        <v>44848</v>
      </c>
      <c r="L568" s="16">
        <f t="shared" si="229"/>
        <v>83.983862641097033</v>
      </c>
      <c r="M568" s="5" t="s">
        <v>1586</v>
      </c>
      <c r="N568" s="5" t="s">
        <v>262</v>
      </c>
      <c r="O568" s="5" t="s">
        <v>137</v>
      </c>
      <c r="P568" s="3" t="s">
        <v>138</v>
      </c>
      <c r="Q568" s="62" t="s">
        <v>34</v>
      </c>
      <c r="R568" s="4">
        <f t="shared" si="230"/>
        <v>7678495.0699999984</v>
      </c>
      <c r="S568" s="9">
        <v>6192037.2799999984</v>
      </c>
      <c r="T568" s="9">
        <v>1486457.7900000003</v>
      </c>
      <c r="U568" s="4">
        <f t="shared" si="231"/>
        <v>0</v>
      </c>
      <c r="V568" s="53">
        <v>0</v>
      </c>
      <c r="W568" s="53">
        <v>0</v>
      </c>
      <c r="X568" s="4">
        <f t="shared" si="232"/>
        <v>1464326.93</v>
      </c>
      <c r="Y568" s="9">
        <v>1092712.48</v>
      </c>
      <c r="Z568" s="9">
        <v>371614.45</v>
      </c>
      <c r="AA568" s="9">
        <f t="shared" si="233"/>
        <v>0</v>
      </c>
      <c r="AB568" s="9">
        <v>0</v>
      </c>
      <c r="AC568" s="9">
        <v>0</v>
      </c>
      <c r="AD568" s="44">
        <f t="shared" si="227"/>
        <v>9142821.9999999981</v>
      </c>
      <c r="AE568" s="9">
        <v>0</v>
      </c>
      <c r="AF568" s="9">
        <f t="shared" si="234"/>
        <v>9142821.9999999981</v>
      </c>
      <c r="AG568" s="59" t="s">
        <v>515</v>
      </c>
      <c r="AH568" s="13"/>
      <c r="AI568" s="1">
        <v>0</v>
      </c>
      <c r="AJ568" s="1">
        <v>0</v>
      </c>
    </row>
    <row r="569" spans="1:36" ht="180" x14ac:dyDescent="0.25">
      <c r="A569" s="5">
        <f t="shared" si="228"/>
        <v>566</v>
      </c>
      <c r="B569" s="15">
        <v>130587</v>
      </c>
      <c r="C569" s="15">
        <v>750</v>
      </c>
      <c r="D569" s="55" t="s">
        <v>143</v>
      </c>
      <c r="E569" s="119" t="s">
        <v>2036</v>
      </c>
      <c r="F569" s="124" t="s">
        <v>2037</v>
      </c>
      <c r="G569" s="3" t="s">
        <v>2098</v>
      </c>
      <c r="H569" s="8" t="s">
        <v>2038</v>
      </c>
      <c r="I569" s="60" t="s">
        <v>2039</v>
      </c>
      <c r="J569" s="63">
        <v>44162</v>
      </c>
      <c r="K569" s="63">
        <v>44892</v>
      </c>
      <c r="L569" s="16">
        <f t="shared" si="229"/>
        <v>82.822280549048671</v>
      </c>
      <c r="M569" s="5" t="s">
        <v>1586</v>
      </c>
      <c r="N569" s="5" t="s">
        <v>262</v>
      </c>
      <c r="O569" s="5" t="s">
        <v>137</v>
      </c>
      <c r="P569" s="3" t="s">
        <v>138</v>
      </c>
      <c r="Q569" s="62" t="s">
        <v>34</v>
      </c>
      <c r="R569" s="4">
        <f t="shared" si="230"/>
        <v>17080376.949999999</v>
      </c>
      <c r="S569" s="9">
        <v>13773835.85</v>
      </c>
      <c r="T569" s="9">
        <v>3306541.0999999996</v>
      </c>
      <c r="U569" s="4">
        <f t="shared" si="231"/>
        <v>2238506.0100000002</v>
      </c>
      <c r="V569" s="53">
        <v>1670421.7100000004</v>
      </c>
      <c r="W569" s="53">
        <v>568084.29999999981</v>
      </c>
      <c r="X569" s="4">
        <f t="shared" si="232"/>
        <v>1304042.22</v>
      </c>
      <c r="Y569" s="9">
        <v>987523.49</v>
      </c>
      <c r="Z569" s="9">
        <v>316518.73</v>
      </c>
      <c r="AA569" s="9">
        <f t="shared" si="233"/>
        <v>0</v>
      </c>
      <c r="AB569" s="9">
        <v>0</v>
      </c>
      <c r="AC569" s="9">
        <v>0</v>
      </c>
      <c r="AD569" s="44">
        <f t="shared" si="227"/>
        <v>20622925.18</v>
      </c>
      <c r="AE569" s="9">
        <v>0</v>
      </c>
      <c r="AF569" s="9">
        <f t="shared" si="234"/>
        <v>20622925.18</v>
      </c>
      <c r="AG569" s="59" t="s">
        <v>515</v>
      </c>
      <c r="AH569" s="13"/>
      <c r="AI569" s="1">
        <v>1407602.94</v>
      </c>
      <c r="AJ569" s="1">
        <v>0</v>
      </c>
    </row>
    <row r="570" spans="1:36" ht="180" x14ac:dyDescent="0.25">
      <c r="A570" s="5">
        <f t="shared" si="228"/>
        <v>567</v>
      </c>
      <c r="B570" s="15">
        <v>129878</v>
      </c>
      <c r="C570" s="15">
        <v>704</v>
      </c>
      <c r="D570" s="55" t="s">
        <v>143</v>
      </c>
      <c r="E570" s="119" t="s">
        <v>1227</v>
      </c>
      <c r="F570" s="124" t="s">
        <v>2043</v>
      </c>
      <c r="G570" s="120" t="s">
        <v>2042</v>
      </c>
      <c r="H570" s="8" t="s">
        <v>2044</v>
      </c>
      <c r="I570" s="60" t="s">
        <v>2045</v>
      </c>
      <c r="J570" s="63">
        <v>44168</v>
      </c>
      <c r="K570" s="63">
        <v>45266</v>
      </c>
      <c r="L570" s="16">
        <f t="shared" si="229"/>
        <v>83.98386311034065</v>
      </c>
      <c r="M570" s="5" t="s">
        <v>1586</v>
      </c>
      <c r="N570" s="5" t="s">
        <v>262</v>
      </c>
      <c r="O570" s="5" t="s">
        <v>137</v>
      </c>
      <c r="P570" s="3" t="s">
        <v>138</v>
      </c>
      <c r="Q570" s="62" t="s">
        <v>34</v>
      </c>
      <c r="R570" s="4">
        <f t="shared" si="230"/>
        <v>14631872.040000001</v>
      </c>
      <c r="S570" s="9">
        <v>11799329.99</v>
      </c>
      <c r="T570" s="9">
        <v>2832542.0500000007</v>
      </c>
      <c r="U570" s="4">
        <f t="shared" si="231"/>
        <v>2441925.3200000003</v>
      </c>
      <c r="V570" s="53">
        <v>1804603.3500000006</v>
      </c>
      <c r="W570" s="53">
        <v>637321.97</v>
      </c>
      <c r="X570" s="4">
        <f t="shared" si="232"/>
        <v>348444.84</v>
      </c>
      <c r="Y570" s="9">
        <v>277631.32</v>
      </c>
      <c r="Z570" s="9">
        <v>70813.52</v>
      </c>
      <c r="AA570" s="9">
        <f t="shared" si="233"/>
        <v>0</v>
      </c>
      <c r="AB570" s="9">
        <v>0</v>
      </c>
      <c r="AC570" s="9">
        <v>0</v>
      </c>
      <c r="AD570" s="44">
        <f t="shared" si="227"/>
        <v>17422242.199999999</v>
      </c>
      <c r="AE570" s="9">
        <v>0</v>
      </c>
      <c r="AF570" s="9">
        <f t="shared" si="234"/>
        <v>17422242.199999999</v>
      </c>
      <c r="AG570" s="59" t="s">
        <v>515</v>
      </c>
      <c r="AH570" s="13"/>
      <c r="AI570" s="1">
        <v>80297.81</v>
      </c>
      <c r="AJ570" s="1">
        <v>13400.970000000003</v>
      </c>
    </row>
    <row r="571" spans="1:36" ht="330.75" x14ac:dyDescent="0.25">
      <c r="A571" s="5">
        <f t="shared" si="228"/>
        <v>568</v>
      </c>
      <c r="B571" s="15">
        <v>134950</v>
      </c>
      <c r="C571" s="15">
        <v>869</v>
      </c>
      <c r="D571" s="55" t="s">
        <v>143</v>
      </c>
      <c r="E571" s="119" t="s">
        <v>1956</v>
      </c>
      <c r="F571" s="124" t="s">
        <v>2048</v>
      </c>
      <c r="G571" s="120" t="s">
        <v>1649</v>
      </c>
      <c r="H571" s="8" t="s">
        <v>2049</v>
      </c>
      <c r="I571" s="60" t="s">
        <v>2050</v>
      </c>
      <c r="J571" s="63">
        <v>44173</v>
      </c>
      <c r="K571" s="63">
        <v>44720</v>
      </c>
      <c r="L571" s="16">
        <f t="shared" si="229"/>
        <v>83.983863016010105</v>
      </c>
      <c r="M571" s="5" t="s">
        <v>1586</v>
      </c>
      <c r="N571" s="5" t="s">
        <v>262</v>
      </c>
      <c r="O571" s="5" t="s">
        <v>137</v>
      </c>
      <c r="P571" s="3" t="s">
        <v>138</v>
      </c>
      <c r="Q571" s="62" t="s">
        <v>34</v>
      </c>
      <c r="R571" s="4">
        <f t="shared" si="230"/>
        <v>3740241.21</v>
      </c>
      <c r="S571" s="9">
        <v>3016178.64</v>
      </c>
      <c r="T571" s="9">
        <v>724062.57000000007</v>
      </c>
      <c r="U571" s="4">
        <f t="shared" si="231"/>
        <v>0</v>
      </c>
      <c r="V571" s="53">
        <v>0</v>
      </c>
      <c r="W571" s="53">
        <v>0</v>
      </c>
      <c r="X571" s="4">
        <f t="shared" si="232"/>
        <v>713282.45</v>
      </c>
      <c r="Y571" s="9">
        <v>532266.84</v>
      </c>
      <c r="Z571" s="9">
        <v>181015.61</v>
      </c>
      <c r="AA571" s="9">
        <f t="shared" si="233"/>
        <v>0</v>
      </c>
      <c r="AB571" s="9">
        <v>0</v>
      </c>
      <c r="AC571" s="9">
        <v>0</v>
      </c>
      <c r="AD571" s="44">
        <f t="shared" si="227"/>
        <v>4453523.66</v>
      </c>
      <c r="AE571" s="9">
        <v>0</v>
      </c>
      <c r="AF571" s="9">
        <f t="shared" si="234"/>
        <v>4453523.66</v>
      </c>
      <c r="AG571" s="59" t="s">
        <v>515</v>
      </c>
      <c r="AH571" s="13"/>
      <c r="AI571" s="1">
        <v>27506.400000000001</v>
      </c>
      <c r="AJ571" s="1">
        <v>0</v>
      </c>
    </row>
    <row r="572" spans="1:36" ht="180" x14ac:dyDescent="0.25">
      <c r="A572" s="5">
        <f t="shared" si="228"/>
        <v>569</v>
      </c>
      <c r="B572" s="15">
        <v>140086</v>
      </c>
      <c r="C572" s="15">
        <v>870</v>
      </c>
      <c r="D572" s="55" t="s">
        <v>146</v>
      </c>
      <c r="E572" s="119" t="s">
        <v>2053</v>
      </c>
      <c r="F572" s="124" t="s">
        <v>2051</v>
      </c>
      <c r="G572" s="120" t="s">
        <v>133</v>
      </c>
      <c r="H572" s="8" t="s">
        <v>2052</v>
      </c>
      <c r="I572" s="60" t="s">
        <v>2054</v>
      </c>
      <c r="J572" s="63">
        <v>44173</v>
      </c>
      <c r="K572" s="63">
        <v>45085</v>
      </c>
      <c r="L572" s="16">
        <f t="shared" si="229"/>
        <v>83.983863083333333</v>
      </c>
      <c r="M572" s="5" t="s">
        <v>1586</v>
      </c>
      <c r="N572" s="5" t="s">
        <v>262</v>
      </c>
      <c r="O572" s="5" t="s">
        <v>137</v>
      </c>
      <c r="P572" s="3" t="s">
        <v>138</v>
      </c>
      <c r="Q572" s="62" t="s">
        <v>34</v>
      </c>
      <c r="R572" s="4">
        <f t="shared" si="230"/>
        <v>10078063.569999998</v>
      </c>
      <c r="S572" s="9">
        <v>8127080.1999999983</v>
      </c>
      <c r="T572" s="9">
        <v>1950983.3699999999</v>
      </c>
      <c r="U572" s="4">
        <f t="shared" si="231"/>
        <v>347356.29</v>
      </c>
      <c r="V572" s="53">
        <v>256699.24</v>
      </c>
      <c r="W572" s="53">
        <v>90657.05</v>
      </c>
      <c r="X572" s="4">
        <f t="shared" si="232"/>
        <v>1574580.1400000001</v>
      </c>
      <c r="Y572" s="9">
        <v>1177491.3700000001</v>
      </c>
      <c r="Z572" s="9">
        <v>397088.77</v>
      </c>
      <c r="AA572" s="9">
        <f t="shared" si="233"/>
        <v>0</v>
      </c>
      <c r="AB572" s="9">
        <v>0</v>
      </c>
      <c r="AC572" s="9">
        <v>0</v>
      </c>
      <c r="AD572" s="44">
        <f t="shared" si="227"/>
        <v>11999999.999999998</v>
      </c>
      <c r="AE572" s="9">
        <v>221760</v>
      </c>
      <c r="AF572" s="9">
        <f t="shared" si="234"/>
        <v>12221759.999999998</v>
      </c>
      <c r="AG572" s="59" t="s">
        <v>515</v>
      </c>
      <c r="AH572" s="13" t="s">
        <v>2197</v>
      </c>
      <c r="AI572" s="1">
        <v>21467.119999999999</v>
      </c>
      <c r="AJ572" s="1">
        <v>166.51000000000002</v>
      </c>
    </row>
    <row r="573" spans="1:36" ht="283.5" x14ac:dyDescent="0.25">
      <c r="A573" s="5">
        <f t="shared" si="228"/>
        <v>570</v>
      </c>
      <c r="B573" s="15">
        <v>129968</v>
      </c>
      <c r="C573" s="15">
        <v>697</v>
      </c>
      <c r="D573" s="55" t="s">
        <v>143</v>
      </c>
      <c r="E573" s="119" t="s">
        <v>1227</v>
      </c>
      <c r="F573" s="124" t="s">
        <v>2058</v>
      </c>
      <c r="G573" s="120" t="s">
        <v>2057</v>
      </c>
      <c r="H573" s="5" t="s">
        <v>362</v>
      </c>
      <c r="I573" s="60" t="s">
        <v>2059</v>
      </c>
      <c r="J573" s="63">
        <v>44180</v>
      </c>
      <c r="K573" s="63">
        <v>45092</v>
      </c>
      <c r="L573" s="16">
        <f t="shared" si="229"/>
        <v>83.983862447702634</v>
      </c>
      <c r="M573" s="5" t="s">
        <v>1586</v>
      </c>
      <c r="N573" s="5" t="s">
        <v>281</v>
      </c>
      <c r="O573" s="5" t="s">
        <v>281</v>
      </c>
      <c r="P573" s="3" t="s">
        <v>138</v>
      </c>
      <c r="Q573" s="62" t="s">
        <v>34</v>
      </c>
      <c r="R573" s="4">
        <f t="shared" si="230"/>
        <v>4995589.0699999994</v>
      </c>
      <c r="S573" s="9">
        <v>4028507.3399999994</v>
      </c>
      <c r="T573" s="9">
        <v>967081.7300000001</v>
      </c>
      <c r="U573" s="4">
        <f t="shared" si="231"/>
        <v>833718.07</v>
      </c>
      <c r="V573" s="53">
        <v>616124.67999999993</v>
      </c>
      <c r="W573" s="53">
        <v>217593.39</v>
      </c>
      <c r="X573" s="4">
        <f t="shared" si="232"/>
        <v>118965.45000000001</v>
      </c>
      <c r="Y573" s="9">
        <v>94788.41</v>
      </c>
      <c r="Z573" s="9">
        <v>24177.040000000001</v>
      </c>
      <c r="AA573" s="9">
        <f t="shared" si="233"/>
        <v>0</v>
      </c>
      <c r="AB573" s="9">
        <v>0</v>
      </c>
      <c r="AC573" s="9">
        <v>0</v>
      </c>
      <c r="AD573" s="44">
        <f t="shared" si="227"/>
        <v>5948272.5899999999</v>
      </c>
      <c r="AE573" s="9">
        <v>0</v>
      </c>
      <c r="AF573" s="9">
        <f t="shared" si="234"/>
        <v>5948272.5899999999</v>
      </c>
      <c r="AG573" s="59" t="s">
        <v>515</v>
      </c>
      <c r="AH573" s="13"/>
      <c r="AI573" s="1">
        <v>0</v>
      </c>
      <c r="AJ573" s="1">
        <v>0</v>
      </c>
    </row>
    <row r="574" spans="1:36" ht="236.25" x14ac:dyDescent="0.25">
      <c r="A574" s="5">
        <f t="shared" si="228"/>
        <v>571</v>
      </c>
      <c r="B574" s="15">
        <v>129831</v>
      </c>
      <c r="C574" s="15">
        <v>735</v>
      </c>
      <c r="D574" s="55" t="s">
        <v>143</v>
      </c>
      <c r="E574" s="119" t="s">
        <v>1227</v>
      </c>
      <c r="F574" s="124" t="s">
        <v>2060</v>
      </c>
      <c r="G574" s="120" t="s">
        <v>1620</v>
      </c>
      <c r="H574" s="5" t="s">
        <v>362</v>
      </c>
      <c r="I574" s="60" t="s">
        <v>2061</v>
      </c>
      <c r="J574" s="63">
        <v>44180</v>
      </c>
      <c r="K574" s="63">
        <v>45092</v>
      </c>
      <c r="L574" s="16">
        <f t="shared" si="229"/>
        <v>83.983862896657286</v>
      </c>
      <c r="M574" s="5" t="s">
        <v>1586</v>
      </c>
      <c r="N574" s="5" t="s">
        <v>262</v>
      </c>
      <c r="O574" s="5" t="s">
        <v>137</v>
      </c>
      <c r="P574" s="3" t="s">
        <v>138</v>
      </c>
      <c r="Q574" s="62" t="s">
        <v>34</v>
      </c>
      <c r="R574" s="4">
        <f t="shared" si="230"/>
        <v>22026311.919999998</v>
      </c>
      <c r="S574" s="9">
        <v>17762301.509999998</v>
      </c>
      <c r="T574" s="9">
        <v>4264010.41</v>
      </c>
      <c r="U574" s="4">
        <f t="shared" si="231"/>
        <v>0</v>
      </c>
      <c r="V574" s="53">
        <v>0</v>
      </c>
      <c r="W574" s="53">
        <v>0</v>
      </c>
      <c r="X574" s="4">
        <f t="shared" si="232"/>
        <v>4200526.38</v>
      </c>
      <c r="Y574" s="9">
        <v>3134523.79</v>
      </c>
      <c r="Z574" s="9">
        <v>1066002.5900000001</v>
      </c>
      <c r="AA574" s="9">
        <f t="shared" si="233"/>
        <v>0</v>
      </c>
      <c r="AB574" s="9">
        <v>0</v>
      </c>
      <c r="AC574" s="9">
        <v>0</v>
      </c>
      <c r="AD574" s="44">
        <f t="shared" si="227"/>
        <v>26226838.299999997</v>
      </c>
      <c r="AE574" s="9">
        <v>0</v>
      </c>
      <c r="AF574" s="9">
        <f t="shared" si="234"/>
        <v>26226838.299999997</v>
      </c>
      <c r="AG574" s="59" t="s">
        <v>515</v>
      </c>
      <c r="AH574" s="13"/>
      <c r="AI574" s="1">
        <v>0</v>
      </c>
      <c r="AJ574" s="1">
        <v>0</v>
      </c>
    </row>
    <row r="575" spans="1:36" ht="180" x14ac:dyDescent="0.25">
      <c r="A575" s="5">
        <f t="shared" si="228"/>
        <v>572</v>
      </c>
      <c r="B575" s="15">
        <v>147622</v>
      </c>
      <c r="C575" s="15">
        <v>872</v>
      </c>
      <c r="D575" s="55" t="s">
        <v>143</v>
      </c>
      <c r="E575" s="119" t="s">
        <v>2062</v>
      </c>
      <c r="F575" s="124" t="s">
        <v>2063</v>
      </c>
      <c r="G575" s="120" t="s">
        <v>1593</v>
      </c>
      <c r="H575" s="5" t="s">
        <v>362</v>
      </c>
      <c r="I575" s="60" t="s">
        <v>2064</v>
      </c>
      <c r="J575" s="63">
        <v>44182</v>
      </c>
      <c r="K575" s="63">
        <v>44547</v>
      </c>
      <c r="L575" s="16">
        <f t="shared" si="229"/>
        <v>83.911615729320985</v>
      </c>
      <c r="M575" s="5" t="s">
        <v>1586</v>
      </c>
      <c r="N575" s="5" t="s">
        <v>262</v>
      </c>
      <c r="O575" s="5" t="s">
        <v>137</v>
      </c>
      <c r="P575" s="3" t="s">
        <v>138</v>
      </c>
      <c r="Q575" s="62" t="s">
        <v>34</v>
      </c>
      <c r="R575" s="4">
        <f t="shared" si="230"/>
        <v>5698223.4299999988</v>
      </c>
      <c r="S575" s="9">
        <v>4515672.5999999987</v>
      </c>
      <c r="T575" s="9">
        <v>1182550.83</v>
      </c>
      <c r="U575" s="4">
        <f t="shared" si="231"/>
        <v>0</v>
      </c>
      <c r="V575" s="53">
        <v>0</v>
      </c>
      <c r="W575" s="53">
        <v>0</v>
      </c>
      <c r="X575" s="4">
        <f t="shared" si="232"/>
        <v>1092521.07</v>
      </c>
      <c r="Y575" s="9">
        <v>796883.4</v>
      </c>
      <c r="Z575" s="9">
        <v>295637.67</v>
      </c>
      <c r="AA575" s="9">
        <f t="shared" si="233"/>
        <v>0</v>
      </c>
      <c r="AB575" s="9">
        <v>0</v>
      </c>
      <c r="AC575" s="9">
        <v>0</v>
      </c>
      <c r="AD575" s="44">
        <f t="shared" si="227"/>
        <v>6790744.4999999991</v>
      </c>
      <c r="AE575" s="9">
        <v>0</v>
      </c>
      <c r="AF575" s="9">
        <f t="shared" si="234"/>
        <v>6790744.4999999991</v>
      </c>
      <c r="AG575" s="59" t="s">
        <v>515</v>
      </c>
      <c r="AH575" s="13"/>
      <c r="AI575" s="1">
        <f>4503721.85+76276.87</f>
        <v>4579998.72</v>
      </c>
      <c r="AJ575" s="1">
        <v>0</v>
      </c>
    </row>
    <row r="576" spans="1:36" ht="230.25" customHeight="1" x14ac:dyDescent="0.25">
      <c r="A576" s="5">
        <f t="shared" si="228"/>
        <v>573</v>
      </c>
      <c r="B576" s="15">
        <v>129973</v>
      </c>
      <c r="C576" s="15">
        <v>698</v>
      </c>
      <c r="D576" s="55" t="s">
        <v>143</v>
      </c>
      <c r="E576" s="119" t="s">
        <v>1227</v>
      </c>
      <c r="F576" s="124" t="s">
        <v>2067</v>
      </c>
      <c r="G576" s="120" t="s">
        <v>2066</v>
      </c>
      <c r="H576" s="5" t="s">
        <v>362</v>
      </c>
      <c r="I576" s="60" t="s">
        <v>2068</v>
      </c>
      <c r="J576" s="63">
        <v>44186</v>
      </c>
      <c r="K576" s="63">
        <v>45098</v>
      </c>
      <c r="L576" s="16">
        <f t="shared" si="229"/>
        <v>83.983862827834926</v>
      </c>
      <c r="M576" s="5" t="s">
        <v>1586</v>
      </c>
      <c r="N576" s="5" t="s">
        <v>262</v>
      </c>
      <c r="O576" s="5" t="s">
        <v>137</v>
      </c>
      <c r="P576" s="3" t="s">
        <v>138</v>
      </c>
      <c r="Q576" s="62" t="s">
        <v>34</v>
      </c>
      <c r="R576" s="4">
        <f t="shared" si="230"/>
        <v>11483727.939999996</v>
      </c>
      <c r="S576" s="9">
        <v>9260626.0799999963</v>
      </c>
      <c r="T576" s="9">
        <v>2223101.86</v>
      </c>
      <c r="U576" s="4">
        <f t="shared" si="231"/>
        <v>0</v>
      </c>
      <c r="V576" s="53">
        <v>0</v>
      </c>
      <c r="W576" s="53">
        <v>0</v>
      </c>
      <c r="X576" s="4">
        <f t="shared" si="232"/>
        <v>2190003.6</v>
      </c>
      <c r="Y576" s="9">
        <v>1634228.11</v>
      </c>
      <c r="Z576" s="9">
        <v>555775.49</v>
      </c>
      <c r="AA576" s="9">
        <f t="shared" si="233"/>
        <v>0</v>
      </c>
      <c r="AB576" s="9">
        <v>0</v>
      </c>
      <c r="AC576" s="9">
        <v>0</v>
      </c>
      <c r="AD576" s="44">
        <f t="shared" si="227"/>
        <v>13673731.539999995</v>
      </c>
      <c r="AE576" s="9">
        <v>0</v>
      </c>
      <c r="AF576" s="9">
        <f t="shared" si="234"/>
        <v>13673731.539999995</v>
      </c>
      <c r="AG576" s="59" t="s">
        <v>515</v>
      </c>
      <c r="AH576" s="13"/>
      <c r="AI576" s="1">
        <v>0</v>
      </c>
      <c r="AJ576" s="1">
        <v>0</v>
      </c>
    </row>
    <row r="577" spans="1:36" ht="252" x14ac:dyDescent="0.25">
      <c r="A577" s="5">
        <f t="shared" si="228"/>
        <v>574</v>
      </c>
      <c r="B577" s="15">
        <v>130045</v>
      </c>
      <c r="C577" s="15">
        <v>742</v>
      </c>
      <c r="D577" s="55" t="s">
        <v>143</v>
      </c>
      <c r="E577" s="119" t="s">
        <v>1227</v>
      </c>
      <c r="F577" s="124" t="s">
        <v>2070</v>
      </c>
      <c r="G577" s="120" t="s">
        <v>2069</v>
      </c>
      <c r="H577" s="5" t="s">
        <v>362</v>
      </c>
      <c r="I577" s="60" t="s">
        <v>2071</v>
      </c>
      <c r="J577" s="63">
        <v>44187</v>
      </c>
      <c r="K577" s="63">
        <v>44917</v>
      </c>
      <c r="L577" s="16">
        <f t="shared" si="229"/>
        <v>83.983862703045403</v>
      </c>
      <c r="M577" s="5" t="s">
        <v>1586</v>
      </c>
      <c r="N577" s="5" t="s">
        <v>262</v>
      </c>
      <c r="O577" s="5" t="s">
        <v>137</v>
      </c>
      <c r="P577" s="3" t="s">
        <v>138</v>
      </c>
      <c r="Q577" s="62" t="s">
        <v>34</v>
      </c>
      <c r="R577" s="4">
        <f t="shared" si="230"/>
        <v>11892012.700000003</v>
      </c>
      <c r="S577" s="9">
        <v>9589872.1600000039</v>
      </c>
      <c r="T577" s="9">
        <v>2302140.54</v>
      </c>
      <c r="U577" s="4">
        <f t="shared" si="231"/>
        <v>0</v>
      </c>
      <c r="V577" s="53">
        <v>0</v>
      </c>
      <c r="W577" s="53">
        <v>0</v>
      </c>
      <c r="X577" s="4">
        <f t="shared" si="232"/>
        <v>2267865.54</v>
      </c>
      <c r="Y577" s="9">
        <v>1692330.39</v>
      </c>
      <c r="Z577" s="9">
        <v>575535.15</v>
      </c>
      <c r="AA577" s="9">
        <f t="shared" si="233"/>
        <v>0</v>
      </c>
      <c r="AB577" s="9">
        <v>0</v>
      </c>
      <c r="AC577" s="9">
        <v>0</v>
      </c>
      <c r="AD577" s="44">
        <f t="shared" si="227"/>
        <v>14159878.240000002</v>
      </c>
      <c r="AE577" s="9">
        <v>0</v>
      </c>
      <c r="AF577" s="9">
        <f t="shared" si="234"/>
        <v>14159878.240000002</v>
      </c>
      <c r="AG577" s="59" t="s">
        <v>515</v>
      </c>
      <c r="AH577" s="13"/>
      <c r="AI577" s="1">
        <v>0</v>
      </c>
      <c r="AJ577" s="1">
        <v>0</v>
      </c>
    </row>
    <row r="578" spans="1:36" ht="236.25" x14ac:dyDescent="0.25">
      <c r="A578" s="5">
        <f t="shared" si="228"/>
        <v>575</v>
      </c>
      <c r="B578" s="15">
        <v>130054</v>
      </c>
      <c r="C578" s="15">
        <v>743</v>
      </c>
      <c r="D578" s="55" t="s">
        <v>143</v>
      </c>
      <c r="E578" s="119" t="s">
        <v>1227</v>
      </c>
      <c r="F578" s="124" t="s">
        <v>2073</v>
      </c>
      <c r="G578" s="120" t="s">
        <v>2072</v>
      </c>
      <c r="H578" s="5" t="s">
        <v>362</v>
      </c>
      <c r="I578" s="60" t="s">
        <v>2074</v>
      </c>
      <c r="J578" s="63">
        <v>44186</v>
      </c>
      <c r="K578" s="63">
        <v>45098</v>
      </c>
      <c r="L578" s="16">
        <f t="shared" si="229"/>
        <v>83.983862881970154</v>
      </c>
      <c r="M578" s="5" t="s">
        <v>1586</v>
      </c>
      <c r="N578" s="5" t="s">
        <v>262</v>
      </c>
      <c r="O578" s="5" t="s">
        <v>137</v>
      </c>
      <c r="P578" s="3" t="s">
        <v>138</v>
      </c>
      <c r="Q578" s="62" t="s">
        <v>34</v>
      </c>
      <c r="R578" s="4">
        <f t="shared" si="230"/>
        <v>12463109.93</v>
      </c>
      <c r="S578" s="9">
        <v>10050412.300000001</v>
      </c>
      <c r="T578" s="9">
        <v>2412697.63</v>
      </c>
      <c r="U578" s="4">
        <f t="shared" si="231"/>
        <v>0</v>
      </c>
      <c r="V578" s="53">
        <v>0</v>
      </c>
      <c r="W578" s="53">
        <v>0</v>
      </c>
      <c r="X578" s="4">
        <f t="shared" si="232"/>
        <v>2376776.5699999998</v>
      </c>
      <c r="Y578" s="9">
        <v>1773602.17</v>
      </c>
      <c r="Z578" s="9">
        <v>603174.40000000002</v>
      </c>
      <c r="AA578" s="9">
        <f t="shared" si="233"/>
        <v>0</v>
      </c>
      <c r="AB578" s="9">
        <v>0</v>
      </c>
      <c r="AC578" s="9">
        <v>0</v>
      </c>
      <c r="AD578" s="44">
        <f t="shared" si="227"/>
        <v>14839886.5</v>
      </c>
      <c r="AE578" s="9">
        <v>0</v>
      </c>
      <c r="AF578" s="9">
        <f t="shared" si="234"/>
        <v>14839886.5</v>
      </c>
      <c r="AG578" s="59" t="s">
        <v>515</v>
      </c>
      <c r="AH578" s="13"/>
      <c r="AI578" s="1">
        <v>0</v>
      </c>
      <c r="AJ578" s="1">
        <v>0</v>
      </c>
    </row>
    <row r="579" spans="1:36" ht="198" x14ac:dyDescent="0.25">
      <c r="A579" s="5">
        <f t="shared" si="228"/>
        <v>576</v>
      </c>
      <c r="B579" s="15">
        <v>135024</v>
      </c>
      <c r="C579" s="15">
        <v>868</v>
      </c>
      <c r="D579" s="55" t="s">
        <v>143</v>
      </c>
      <c r="E579" s="119" t="s">
        <v>1956</v>
      </c>
      <c r="F579" s="124" t="s">
        <v>2075</v>
      </c>
      <c r="G579" s="120" t="s">
        <v>550</v>
      </c>
      <c r="H579" s="5" t="s">
        <v>2076</v>
      </c>
      <c r="I579" s="60" t="s">
        <v>2077</v>
      </c>
      <c r="J579" s="63">
        <v>44186</v>
      </c>
      <c r="K579" s="63">
        <v>45098</v>
      </c>
      <c r="L579" s="16">
        <f>R579/AD579*100</f>
        <v>83.98386335793829</v>
      </c>
      <c r="M579" s="5" t="s">
        <v>1586</v>
      </c>
      <c r="N579" s="5" t="s">
        <v>262</v>
      </c>
      <c r="O579" s="5" t="s">
        <v>137</v>
      </c>
      <c r="P579" s="3" t="s">
        <v>138</v>
      </c>
      <c r="Q579" s="62" t="s">
        <v>34</v>
      </c>
      <c r="R579" s="4">
        <f t="shared" si="230"/>
        <v>10518279.300000001</v>
      </c>
      <c r="S579" s="9">
        <v>8482075.9199999999</v>
      </c>
      <c r="T579" s="9">
        <v>2036203.38</v>
      </c>
      <c r="U579" s="4">
        <f t="shared" si="231"/>
        <v>826424.82000000007</v>
      </c>
      <c r="V579" s="53">
        <v>610734.86</v>
      </c>
      <c r="W579" s="53">
        <v>215689.96000000002</v>
      </c>
      <c r="X579" s="4">
        <f t="shared" si="232"/>
        <v>1179462.8800000001</v>
      </c>
      <c r="Y579" s="9">
        <v>886101.92</v>
      </c>
      <c r="Z579" s="9">
        <v>293360.96000000002</v>
      </c>
      <c r="AA579" s="9">
        <f t="shared" si="233"/>
        <v>0</v>
      </c>
      <c r="AB579" s="9">
        <v>0</v>
      </c>
      <c r="AC579" s="9">
        <v>0</v>
      </c>
      <c r="AD579" s="44">
        <f t="shared" si="227"/>
        <v>12524167.000000002</v>
      </c>
      <c r="AE579" s="9">
        <v>0</v>
      </c>
      <c r="AF579" s="9">
        <f t="shared" si="234"/>
        <v>12524167.000000002</v>
      </c>
      <c r="AG579" s="59" t="s">
        <v>515</v>
      </c>
      <c r="AH579" s="13"/>
      <c r="AI579" s="1">
        <v>0</v>
      </c>
      <c r="AJ579" s="1">
        <v>0</v>
      </c>
    </row>
    <row r="580" spans="1:36" ht="378" x14ac:dyDescent="0.25">
      <c r="A580" s="5">
        <f t="shared" si="228"/>
        <v>577</v>
      </c>
      <c r="B580" s="15">
        <v>129541</v>
      </c>
      <c r="C580" s="15">
        <v>709</v>
      </c>
      <c r="D580" s="55" t="s">
        <v>143</v>
      </c>
      <c r="E580" s="119" t="s">
        <v>1227</v>
      </c>
      <c r="F580" s="124" t="s">
        <v>2080</v>
      </c>
      <c r="G580" s="125" t="s">
        <v>2079</v>
      </c>
      <c r="H580" s="5" t="s">
        <v>2081</v>
      </c>
      <c r="I580" s="60" t="s">
        <v>2082</v>
      </c>
      <c r="J580" s="63">
        <v>44187</v>
      </c>
      <c r="K580" s="63">
        <v>45038</v>
      </c>
      <c r="L580" s="16">
        <f t="shared" ref="L580:L588" si="235">R580/AD580*100</f>
        <v>83.98386306929801</v>
      </c>
      <c r="M580" s="5" t="s">
        <v>1586</v>
      </c>
      <c r="N580" s="5" t="s">
        <v>262</v>
      </c>
      <c r="O580" s="5" t="s">
        <v>137</v>
      </c>
      <c r="P580" s="3" t="s">
        <v>138</v>
      </c>
      <c r="Q580" s="62" t="s">
        <v>34</v>
      </c>
      <c r="R580" s="4">
        <f t="shared" si="230"/>
        <v>5951029.3500000043</v>
      </c>
      <c r="S580" s="9">
        <v>4798986.7300000042</v>
      </c>
      <c r="T580" s="9">
        <v>1152042.6200000003</v>
      </c>
      <c r="U580" s="4">
        <f t="shared" si="231"/>
        <v>551557.41999999993</v>
      </c>
      <c r="V580" s="53">
        <v>407605.53999999986</v>
      </c>
      <c r="W580" s="53">
        <v>143951.88</v>
      </c>
      <c r="X580" s="4">
        <f t="shared" si="232"/>
        <v>583333.23</v>
      </c>
      <c r="Y580" s="9">
        <v>439274.4</v>
      </c>
      <c r="Z580" s="9">
        <v>144058.82999999999</v>
      </c>
      <c r="AA580" s="9">
        <f t="shared" si="233"/>
        <v>0</v>
      </c>
      <c r="AB580" s="9">
        <v>0</v>
      </c>
      <c r="AC580" s="9">
        <v>0</v>
      </c>
      <c r="AD580" s="44">
        <f t="shared" si="227"/>
        <v>7085920.0000000037</v>
      </c>
      <c r="AE580" s="9">
        <v>0</v>
      </c>
      <c r="AF580" s="9">
        <f t="shared" si="234"/>
        <v>7085920.0000000037</v>
      </c>
      <c r="AG580" s="59" t="s">
        <v>515</v>
      </c>
      <c r="AH580" s="13"/>
      <c r="AI580" s="1">
        <v>0</v>
      </c>
      <c r="AJ580" s="1">
        <v>0</v>
      </c>
    </row>
    <row r="581" spans="1:36" ht="180" x14ac:dyDescent="0.25">
      <c r="A581" s="5">
        <f t="shared" si="228"/>
        <v>578</v>
      </c>
      <c r="B581" s="15">
        <v>134024</v>
      </c>
      <c r="C581" s="15">
        <v>754</v>
      </c>
      <c r="D581" s="55" t="s">
        <v>143</v>
      </c>
      <c r="E581" s="119" t="s">
        <v>1956</v>
      </c>
      <c r="F581" s="124" t="s">
        <v>2083</v>
      </c>
      <c r="G581" s="120" t="s">
        <v>74</v>
      </c>
      <c r="H581" s="5" t="s">
        <v>2084</v>
      </c>
      <c r="I581" s="60" t="s">
        <v>2085</v>
      </c>
      <c r="J581" s="63">
        <v>44186</v>
      </c>
      <c r="K581" s="63">
        <v>45037</v>
      </c>
      <c r="L581" s="16">
        <f t="shared" si="235"/>
        <v>83.208378225753307</v>
      </c>
      <c r="M581" s="5" t="s">
        <v>1586</v>
      </c>
      <c r="N581" s="5" t="s">
        <v>262</v>
      </c>
      <c r="O581" s="5" t="s">
        <v>137</v>
      </c>
      <c r="P581" s="3" t="s">
        <v>138</v>
      </c>
      <c r="Q581" s="62" t="s">
        <v>34</v>
      </c>
      <c r="R581" s="4">
        <f t="shared" si="230"/>
        <v>9711600.1300000008</v>
      </c>
      <c r="S581" s="9">
        <v>7831559.3700000001</v>
      </c>
      <c r="T581" s="9">
        <v>1880040.7600000005</v>
      </c>
      <c r="U581" s="4">
        <f t="shared" si="231"/>
        <v>845775.4</v>
      </c>
      <c r="V581" s="53">
        <v>631135.92000000004</v>
      </c>
      <c r="W581" s="53">
        <v>214639.48</v>
      </c>
      <c r="X581" s="4">
        <f t="shared" si="232"/>
        <v>1006274.6499999999</v>
      </c>
      <c r="Y581" s="9">
        <v>750903.95</v>
      </c>
      <c r="Z581" s="9">
        <v>255370.7</v>
      </c>
      <c r="AA581" s="9">
        <f t="shared" si="233"/>
        <v>107770.81999999999</v>
      </c>
      <c r="AB581" s="9">
        <v>85868.84</v>
      </c>
      <c r="AC581" s="9">
        <v>21901.98</v>
      </c>
      <c r="AD581" s="44">
        <f t="shared" ref="AD581:AD588" si="236">R581+U581+X581+AA581</f>
        <v>11671421.000000002</v>
      </c>
      <c r="AE581" s="9">
        <v>0</v>
      </c>
      <c r="AF581" s="9">
        <f t="shared" si="234"/>
        <v>11671421.000000002</v>
      </c>
      <c r="AG581" s="59" t="s">
        <v>515</v>
      </c>
      <c r="AH581" s="13"/>
      <c r="AI581" s="1">
        <v>538854.1</v>
      </c>
      <c r="AJ581" s="1">
        <v>0</v>
      </c>
    </row>
    <row r="582" spans="1:36" ht="180" x14ac:dyDescent="0.25">
      <c r="A582" s="5">
        <f t="shared" ref="A582:A588" si="237">A581+1</f>
        <v>579</v>
      </c>
      <c r="B582" s="15">
        <v>129365</v>
      </c>
      <c r="C582" s="15">
        <v>695</v>
      </c>
      <c r="D582" s="55" t="s">
        <v>143</v>
      </c>
      <c r="E582" s="119" t="s">
        <v>1227</v>
      </c>
      <c r="F582" s="124" t="s">
        <v>2086</v>
      </c>
      <c r="G582" s="120" t="s">
        <v>74</v>
      </c>
      <c r="H582" s="5" t="s">
        <v>362</v>
      </c>
      <c r="I582" s="60" t="s">
        <v>2087</v>
      </c>
      <c r="J582" s="63">
        <v>44188</v>
      </c>
      <c r="K582" s="63">
        <v>45069</v>
      </c>
      <c r="L582" s="16">
        <f t="shared" si="235"/>
        <v>83.983862328307552</v>
      </c>
      <c r="M582" s="5" t="s">
        <v>1586</v>
      </c>
      <c r="N582" s="5" t="s">
        <v>262</v>
      </c>
      <c r="O582" s="5" t="s">
        <v>137</v>
      </c>
      <c r="P582" s="3" t="s">
        <v>138</v>
      </c>
      <c r="Q582" s="62" t="s">
        <v>34</v>
      </c>
      <c r="R582" s="4">
        <f t="shared" si="230"/>
        <v>5064322.6399999997</v>
      </c>
      <c r="S582" s="9">
        <v>4083934.8599999994</v>
      </c>
      <c r="T582" s="9">
        <v>980387.78</v>
      </c>
      <c r="U582" s="4">
        <f t="shared" si="231"/>
        <v>0</v>
      </c>
      <c r="V582" s="53">
        <v>0</v>
      </c>
      <c r="W582" s="53">
        <v>0</v>
      </c>
      <c r="X582" s="4">
        <f t="shared" si="232"/>
        <v>965791.3600000001</v>
      </c>
      <c r="Y582" s="9">
        <v>720694.56</v>
      </c>
      <c r="Z582" s="9">
        <v>245096.8</v>
      </c>
      <c r="AA582" s="9">
        <f t="shared" si="233"/>
        <v>0</v>
      </c>
      <c r="AB582" s="9">
        <v>0</v>
      </c>
      <c r="AC582" s="9">
        <v>0</v>
      </c>
      <c r="AD582" s="44">
        <f t="shared" si="236"/>
        <v>6030114</v>
      </c>
      <c r="AE582" s="9">
        <v>0</v>
      </c>
      <c r="AF582" s="9">
        <f t="shared" si="234"/>
        <v>6030114</v>
      </c>
      <c r="AG582" s="59" t="s">
        <v>515</v>
      </c>
      <c r="AH582" s="13"/>
      <c r="AI582" s="1">
        <f>66550.23</f>
        <v>66550.23</v>
      </c>
      <c r="AJ582" s="1">
        <v>0</v>
      </c>
    </row>
    <row r="583" spans="1:36" ht="204.75" x14ac:dyDescent="0.25">
      <c r="A583" s="5">
        <f t="shared" si="237"/>
        <v>580</v>
      </c>
      <c r="B583" s="15">
        <v>136668</v>
      </c>
      <c r="C583" s="15">
        <v>865</v>
      </c>
      <c r="D583" s="55" t="s">
        <v>143</v>
      </c>
      <c r="E583" s="119" t="s">
        <v>1956</v>
      </c>
      <c r="F583" s="124" t="s">
        <v>2088</v>
      </c>
      <c r="G583" s="120" t="s">
        <v>550</v>
      </c>
      <c r="H583" s="5" t="s">
        <v>1991</v>
      </c>
      <c r="I583" s="60" t="s">
        <v>2089</v>
      </c>
      <c r="J583" s="63">
        <v>44188</v>
      </c>
      <c r="K583" s="63">
        <v>45089</v>
      </c>
      <c r="L583" s="16">
        <f t="shared" si="235"/>
        <v>83.983862732578785</v>
      </c>
      <c r="M583" s="5" t="s">
        <v>1586</v>
      </c>
      <c r="N583" s="5" t="s">
        <v>262</v>
      </c>
      <c r="O583" s="5" t="s">
        <v>137</v>
      </c>
      <c r="P583" s="3" t="s">
        <v>138</v>
      </c>
      <c r="Q583" s="62" t="s">
        <v>34</v>
      </c>
      <c r="R583" s="4">
        <f t="shared" si="230"/>
        <v>9968940.4899999965</v>
      </c>
      <c r="S583" s="9">
        <v>8039081.9599999972</v>
      </c>
      <c r="T583" s="9">
        <v>1929858.5299999996</v>
      </c>
      <c r="U583" s="4">
        <f t="shared" si="231"/>
        <v>698109.6399999999</v>
      </c>
      <c r="V583" s="53">
        <v>515908.92</v>
      </c>
      <c r="W583" s="53">
        <v>182200.71999999997</v>
      </c>
      <c r="X583" s="4">
        <f t="shared" si="232"/>
        <v>1203016.53</v>
      </c>
      <c r="Y583" s="9">
        <v>902752.61</v>
      </c>
      <c r="Z583" s="9">
        <v>300263.92</v>
      </c>
      <c r="AA583" s="9">
        <f t="shared" si="233"/>
        <v>0</v>
      </c>
      <c r="AB583" s="9">
        <v>0</v>
      </c>
      <c r="AC583" s="9">
        <v>0</v>
      </c>
      <c r="AD583" s="44">
        <f t="shared" si="236"/>
        <v>11870066.659999996</v>
      </c>
      <c r="AE583" s="9">
        <v>0</v>
      </c>
      <c r="AF583" s="9">
        <f t="shared" si="234"/>
        <v>11870066.659999996</v>
      </c>
      <c r="AG583" s="59" t="s">
        <v>515</v>
      </c>
      <c r="AH583" s="13"/>
      <c r="AI583" s="1">
        <v>498000</v>
      </c>
      <c r="AJ583" s="1">
        <v>0</v>
      </c>
    </row>
    <row r="584" spans="1:36" ht="180" x14ac:dyDescent="0.25">
      <c r="A584" s="5">
        <f t="shared" si="237"/>
        <v>581</v>
      </c>
      <c r="B584" s="15">
        <v>136584</v>
      </c>
      <c r="C584" s="15">
        <v>867</v>
      </c>
      <c r="D584" s="55" t="s">
        <v>143</v>
      </c>
      <c r="E584" s="119" t="s">
        <v>1956</v>
      </c>
      <c r="F584" s="124" t="s">
        <v>2090</v>
      </c>
      <c r="G584" s="5" t="s">
        <v>2204</v>
      </c>
      <c r="H584" s="5" t="s">
        <v>1991</v>
      </c>
      <c r="I584" s="60" t="s">
        <v>2091</v>
      </c>
      <c r="J584" s="63">
        <v>44188</v>
      </c>
      <c r="K584" s="63">
        <v>45283</v>
      </c>
      <c r="L584" s="16">
        <f t="shared" si="235"/>
        <v>83.983863185742621</v>
      </c>
      <c r="M584" s="5" t="s">
        <v>1586</v>
      </c>
      <c r="N584" s="5" t="s">
        <v>262</v>
      </c>
      <c r="O584" s="5" t="s">
        <v>137</v>
      </c>
      <c r="P584" s="3" t="s">
        <v>138</v>
      </c>
      <c r="Q584" s="62" t="s">
        <v>34</v>
      </c>
      <c r="R584" s="4">
        <f t="shared" si="230"/>
        <v>8836684.2599999998</v>
      </c>
      <c r="S584" s="9">
        <v>7126015.9400000004</v>
      </c>
      <c r="T584" s="9">
        <v>1710668.3199999987</v>
      </c>
      <c r="U584" s="4">
        <f t="shared" si="231"/>
        <v>721551.53999999992</v>
      </c>
      <c r="V584" s="53">
        <v>533232.69999999995</v>
      </c>
      <c r="W584" s="53">
        <v>188318.83999999997</v>
      </c>
      <c r="X584" s="4">
        <f t="shared" si="232"/>
        <v>963647.72</v>
      </c>
      <c r="Y584" s="9">
        <v>724299.51</v>
      </c>
      <c r="Z584" s="9">
        <v>239348.21</v>
      </c>
      <c r="AA584" s="9">
        <f t="shared" si="233"/>
        <v>0</v>
      </c>
      <c r="AB584" s="9">
        <v>0</v>
      </c>
      <c r="AC584" s="9">
        <v>0</v>
      </c>
      <c r="AD584" s="44">
        <f t="shared" si="236"/>
        <v>10521883.52</v>
      </c>
      <c r="AE584" s="9">
        <v>0</v>
      </c>
      <c r="AF584" s="9">
        <f t="shared" si="234"/>
        <v>10521883.52</v>
      </c>
      <c r="AG584" s="59" t="s">
        <v>515</v>
      </c>
      <c r="AH584" s="13"/>
      <c r="AI584" s="1">
        <v>500000</v>
      </c>
      <c r="AJ584" s="1">
        <v>0</v>
      </c>
    </row>
    <row r="585" spans="1:36" ht="180" x14ac:dyDescent="0.25">
      <c r="A585" s="5">
        <f t="shared" si="237"/>
        <v>582</v>
      </c>
      <c r="B585" s="15">
        <v>142520</v>
      </c>
      <c r="C585" s="15">
        <v>871</v>
      </c>
      <c r="D585" s="55" t="s">
        <v>2117</v>
      </c>
      <c r="E585" s="119" t="s">
        <v>2116</v>
      </c>
      <c r="F585" s="124" t="s">
        <v>2113</v>
      </c>
      <c r="G585" s="120" t="s">
        <v>99</v>
      </c>
      <c r="H585" s="5" t="s">
        <v>2114</v>
      </c>
      <c r="I585" s="60" t="s">
        <v>2115</v>
      </c>
      <c r="J585" s="63">
        <v>44237</v>
      </c>
      <c r="K585" s="63">
        <v>45270</v>
      </c>
      <c r="L585" s="16">
        <f t="shared" si="235"/>
        <v>83.983862838235396</v>
      </c>
      <c r="M585" s="5" t="s">
        <v>1586</v>
      </c>
      <c r="N585" s="5" t="s">
        <v>262</v>
      </c>
      <c r="O585" s="5" t="s">
        <v>137</v>
      </c>
      <c r="P585" s="3" t="s">
        <v>138</v>
      </c>
      <c r="Q585" s="62" t="s">
        <v>34</v>
      </c>
      <c r="R585" s="4">
        <f t="shared" si="230"/>
        <v>98115055.239999995</v>
      </c>
      <c r="S585" s="9">
        <v>79121243.75999999</v>
      </c>
      <c r="T585" s="9">
        <v>18993811.48</v>
      </c>
      <c r="U585" s="4">
        <f t="shared" si="231"/>
        <v>0</v>
      </c>
      <c r="V585" s="53">
        <v>0</v>
      </c>
      <c r="W585" s="53">
        <v>0</v>
      </c>
      <c r="X585" s="4">
        <f t="shared" si="232"/>
        <v>18711025.300000001</v>
      </c>
      <c r="Y585" s="9">
        <v>13962572.42954802</v>
      </c>
      <c r="Z585" s="9">
        <v>4748452.8704519821</v>
      </c>
      <c r="AA585" s="9">
        <f t="shared" si="233"/>
        <v>0</v>
      </c>
      <c r="AB585" s="9">
        <v>0</v>
      </c>
      <c r="AC585" s="9">
        <v>0</v>
      </c>
      <c r="AD585" s="44">
        <f t="shared" si="236"/>
        <v>116826080.53999999</v>
      </c>
      <c r="AE585" s="9">
        <v>17637270.609999999</v>
      </c>
      <c r="AF585" s="9">
        <f t="shared" si="234"/>
        <v>134463351.14999998</v>
      </c>
      <c r="AG585" s="59" t="s">
        <v>1668</v>
      </c>
      <c r="AH585" s="13"/>
      <c r="AI585" s="1">
        <v>0</v>
      </c>
      <c r="AJ585" s="1">
        <v>0</v>
      </c>
    </row>
    <row r="586" spans="1:36" ht="180" x14ac:dyDescent="0.25">
      <c r="A586" s="5">
        <f t="shared" si="237"/>
        <v>583</v>
      </c>
      <c r="B586" s="15">
        <v>134321</v>
      </c>
      <c r="C586" s="15">
        <v>860</v>
      </c>
      <c r="D586" s="55" t="s">
        <v>143</v>
      </c>
      <c r="E586" s="119" t="s">
        <v>1956</v>
      </c>
      <c r="F586" s="124" t="s">
        <v>2129</v>
      </c>
      <c r="G586" s="120" t="s">
        <v>2128</v>
      </c>
      <c r="H586" s="5" t="s">
        <v>362</v>
      </c>
      <c r="I586" s="60" t="s">
        <v>2130</v>
      </c>
      <c r="J586" s="63">
        <v>44252</v>
      </c>
      <c r="K586" s="63">
        <v>45163</v>
      </c>
      <c r="L586" s="16">
        <f t="shared" si="235"/>
        <v>83.983862849138816</v>
      </c>
      <c r="M586" s="5" t="s">
        <v>1586</v>
      </c>
      <c r="N586" s="5" t="s">
        <v>262</v>
      </c>
      <c r="O586" s="5" t="s">
        <v>137</v>
      </c>
      <c r="P586" s="3" t="s">
        <v>138</v>
      </c>
      <c r="Q586" s="62" t="s">
        <v>34</v>
      </c>
      <c r="R586" s="4">
        <f t="shared" si="230"/>
        <v>6163224.3899999987</v>
      </c>
      <c r="S586" s="9">
        <v>4970103.5099999988</v>
      </c>
      <c r="T586" s="9">
        <v>1193120.8799999999</v>
      </c>
      <c r="U586" s="4">
        <f t="shared" si="231"/>
        <v>0</v>
      </c>
      <c r="V586" s="53">
        <v>0</v>
      </c>
      <c r="W586" s="53">
        <v>0</v>
      </c>
      <c r="X586" s="4">
        <f t="shared" si="232"/>
        <v>1175357.31</v>
      </c>
      <c r="Y586" s="9">
        <v>877077.08</v>
      </c>
      <c r="Z586" s="9">
        <v>298280.23</v>
      </c>
      <c r="AA586" s="9">
        <f t="shared" si="233"/>
        <v>0</v>
      </c>
      <c r="AB586" s="9">
        <v>0</v>
      </c>
      <c r="AC586" s="9">
        <v>0</v>
      </c>
      <c r="AD586" s="44">
        <f t="shared" si="236"/>
        <v>7338581.6999999993</v>
      </c>
      <c r="AE586" s="9">
        <v>0</v>
      </c>
      <c r="AF586" s="9">
        <f t="shared" si="234"/>
        <v>7338581.6999999993</v>
      </c>
      <c r="AG586" s="59" t="s">
        <v>1668</v>
      </c>
      <c r="AH586" s="13"/>
      <c r="AI586" s="1">
        <v>0</v>
      </c>
      <c r="AJ586" s="1">
        <v>0</v>
      </c>
    </row>
    <row r="587" spans="1:36" ht="180" x14ac:dyDescent="0.25">
      <c r="A587" s="5">
        <f t="shared" si="237"/>
        <v>584</v>
      </c>
      <c r="B587" s="15">
        <v>134092</v>
      </c>
      <c r="C587" s="15">
        <v>864</v>
      </c>
      <c r="D587" s="55" t="s">
        <v>143</v>
      </c>
      <c r="E587" s="119" t="s">
        <v>1956</v>
      </c>
      <c r="F587" s="124" t="s">
        <v>2138</v>
      </c>
      <c r="G587" s="120" t="s">
        <v>2137</v>
      </c>
      <c r="H587" s="5" t="s">
        <v>2139</v>
      </c>
      <c r="I587" s="60" t="s">
        <v>2140</v>
      </c>
      <c r="J587" s="63">
        <v>44267</v>
      </c>
      <c r="K587" s="63">
        <v>44816</v>
      </c>
      <c r="L587" s="16">
        <f t="shared" si="235"/>
        <v>83.983862883683784</v>
      </c>
      <c r="M587" s="5" t="s">
        <v>1586</v>
      </c>
      <c r="N587" s="5" t="s">
        <v>262</v>
      </c>
      <c r="O587" s="5" t="s">
        <v>137</v>
      </c>
      <c r="P587" s="3" t="s">
        <v>138</v>
      </c>
      <c r="Q587" s="62" t="s">
        <v>34</v>
      </c>
      <c r="R587" s="4">
        <f t="shared" si="230"/>
        <v>3719903.0000000009</v>
      </c>
      <c r="S587" s="9">
        <v>2999777.6600000006</v>
      </c>
      <c r="T587" s="9">
        <v>720125.34000000008</v>
      </c>
      <c r="U587" s="4">
        <f t="shared" si="231"/>
        <v>0</v>
      </c>
      <c r="V587" s="53">
        <v>0</v>
      </c>
      <c r="W587" s="53">
        <v>0</v>
      </c>
      <c r="X587" s="4">
        <f t="shared" si="232"/>
        <v>709403.8600000001</v>
      </c>
      <c r="Y587" s="9">
        <v>529372.54</v>
      </c>
      <c r="Z587" s="9">
        <v>180031.32</v>
      </c>
      <c r="AA587" s="9">
        <f t="shared" si="233"/>
        <v>0</v>
      </c>
      <c r="AB587" s="9">
        <v>0</v>
      </c>
      <c r="AC587" s="9">
        <v>0</v>
      </c>
      <c r="AD587" s="44">
        <f t="shared" si="236"/>
        <v>4429306.8600000013</v>
      </c>
      <c r="AE587" s="9">
        <v>0</v>
      </c>
      <c r="AF587" s="9">
        <f t="shared" si="234"/>
        <v>4429306.8600000013</v>
      </c>
      <c r="AG587" s="59" t="s">
        <v>1668</v>
      </c>
      <c r="AH587" s="13"/>
      <c r="AI587" s="1">
        <v>0</v>
      </c>
      <c r="AJ587" s="1">
        <v>0</v>
      </c>
    </row>
    <row r="588" spans="1:36" ht="180" x14ac:dyDescent="0.25">
      <c r="A588" s="5">
        <f t="shared" si="237"/>
        <v>585</v>
      </c>
      <c r="B588" s="15">
        <v>129984</v>
      </c>
      <c r="C588" s="15">
        <v>727</v>
      </c>
      <c r="D588" s="55" t="s">
        <v>143</v>
      </c>
      <c r="E588" s="119" t="s">
        <v>1227</v>
      </c>
      <c r="F588" s="124" t="s">
        <v>2145</v>
      </c>
      <c r="G588" s="120" t="s">
        <v>2146</v>
      </c>
      <c r="H588" s="5" t="s">
        <v>362</v>
      </c>
      <c r="I588" s="60" t="s">
        <v>2147</v>
      </c>
      <c r="J588" s="63">
        <v>44273</v>
      </c>
      <c r="K588" s="63">
        <v>45003</v>
      </c>
      <c r="L588" s="16">
        <f t="shared" si="235"/>
        <v>83.983862919401076</v>
      </c>
      <c r="M588" s="5" t="s">
        <v>1586</v>
      </c>
      <c r="N588" s="5" t="s">
        <v>262</v>
      </c>
      <c r="O588" s="5" t="s">
        <v>137</v>
      </c>
      <c r="P588" s="3" t="s">
        <v>138</v>
      </c>
      <c r="Q588" s="62" t="s">
        <v>34</v>
      </c>
      <c r="R588" s="4">
        <f t="shared" si="230"/>
        <v>4109527.38</v>
      </c>
      <c r="S588" s="9">
        <v>3313975.8</v>
      </c>
      <c r="T588" s="9">
        <v>795551.58000000007</v>
      </c>
      <c r="U588" s="4">
        <f t="shared" si="231"/>
        <v>0</v>
      </c>
      <c r="V588" s="53">
        <v>0</v>
      </c>
      <c r="W588" s="53">
        <v>0</v>
      </c>
      <c r="X588" s="4">
        <f t="shared" si="232"/>
        <v>783707.15</v>
      </c>
      <c r="Y588" s="9">
        <v>584819.24180504959</v>
      </c>
      <c r="Z588" s="9">
        <v>198887.9081949504</v>
      </c>
      <c r="AA588" s="9">
        <f t="shared" si="233"/>
        <v>0</v>
      </c>
      <c r="AB588" s="9">
        <v>0</v>
      </c>
      <c r="AC588" s="9">
        <v>0</v>
      </c>
      <c r="AD588" s="44">
        <f t="shared" si="236"/>
        <v>4893234.53</v>
      </c>
      <c r="AE588" s="9">
        <v>0</v>
      </c>
      <c r="AF588" s="9">
        <f t="shared" si="234"/>
        <v>4893234.53</v>
      </c>
      <c r="AG588" s="59" t="s">
        <v>1668</v>
      </c>
      <c r="AH588" s="13"/>
      <c r="AI588" s="1">
        <v>0</v>
      </c>
      <c r="AJ588" s="1">
        <v>0</v>
      </c>
    </row>
    <row r="589" spans="1:36" x14ac:dyDescent="0.25">
      <c r="R589" s="23">
        <f>SUM(R4:R588)</f>
        <v>3293367830.1416416</v>
      </c>
      <c r="S589" s="23">
        <f t="shared" ref="S589:AJ589" si="238">SUM(S4:S588)</f>
        <v>2745786387.6178913</v>
      </c>
      <c r="T589" s="23">
        <f t="shared" si="238"/>
        <v>547581442.52374792</v>
      </c>
      <c r="U589" s="23">
        <f t="shared" si="238"/>
        <v>146436282.43999994</v>
      </c>
      <c r="V589" s="23">
        <f t="shared" si="238"/>
        <v>122554142.10000005</v>
      </c>
      <c r="W589" s="23">
        <f t="shared" si="238"/>
        <v>23882140.340000011</v>
      </c>
      <c r="X589" s="23">
        <f t="shared" si="238"/>
        <v>475012667.21569347</v>
      </c>
      <c r="Y589" s="23">
        <f t="shared" si="238"/>
        <v>362057433.66086125</v>
      </c>
      <c r="Z589" s="23">
        <f t="shared" si="238"/>
        <v>112955233.55483231</v>
      </c>
      <c r="AA589" s="23">
        <f t="shared" si="238"/>
        <v>3924903.2038636641</v>
      </c>
      <c r="AB589" s="23">
        <f t="shared" si="238"/>
        <v>3197089.3699999992</v>
      </c>
      <c r="AC589" s="23">
        <f t="shared" si="238"/>
        <v>727813.83386366197</v>
      </c>
      <c r="AD589" s="23">
        <f t="shared" si="238"/>
        <v>3918741683.0011988</v>
      </c>
      <c r="AE589" s="23">
        <f t="shared" si="238"/>
        <v>47638045.349999994</v>
      </c>
      <c r="AF589" s="23">
        <f t="shared" si="238"/>
        <v>3966379728.3511987</v>
      </c>
      <c r="AG589" s="23"/>
      <c r="AH589" s="23"/>
      <c r="AI589" s="23">
        <f t="shared" si="238"/>
        <v>1024708096.0899993</v>
      </c>
      <c r="AJ589" s="23">
        <f t="shared" si="238"/>
        <v>53076819.157299973</v>
      </c>
    </row>
    <row r="590" spans="1:36" x14ac:dyDescent="0.25">
      <c r="R590" s="23"/>
      <c r="S590" s="23"/>
      <c r="T590" s="23"/>
      <c r="U590" s="23"/>
      <c r="X590" s="23"/>
      <c r="Y590" s="23"/>
      <c r="Z590" s="23"/>
      <c r="AA590" s="23"/>
      <c r="AB590" s="23"/>
      <c r="AC590" s="23"/>
      <c r="AD590" s="23"/>
      <c r="AE590" s="23"/>
    </row>
    <row r="591" spans="1:36" x14ac:dyDescent="0.25">
      <c r="R591" s="23"/>
      <c r="S591" s="23"/>
      <c r="T591" s="23"/>
      <c r="U591" s="23"/>
      <c r="X591" s="23"/>
      <c r="Y591" s="23"/>
      <c r="Z591" s="23" t="s">
        <v>2217</v>
      </c>
      <c r="AA591" s="226">
        <v>4.9275000000000002</v>
      </c>
      <c r="AB591" s="23"/>
      <c r="AC591" s="23"/>
      <c r="AD591" s="23">
        <f>AD589/AA591</f>
        <v>795279895.07888353</v>
      </c>
      <c r="AE591" s="23"/>
    </row>
    <row r="592" spans="1:36" x14ac:dyDescent="0.25">
      <c r="R592" s="23"/>
      <c r="S592" s="23"/>
      <c r="T592" s="23"/>
      <c r="U592" s="23"/>
      <c r="X592" s="23"/>
      <c r="Y592" s="23"/>
      <c r="Z592" s="23"/>
      <c r="AA592" s="23"/>
      <c r="AB592" s="23"/>
      <c r="AC592" s="23"/>
      <c r="AD592" s="23"/>
      <c r="AE592" s="23"/>
    </row>
    <row r="593" spans="18:31" x14ac:dyDescent="0.25">
      <c r="R593" s="23"/>
      <c r="S593" s="23"/>
      <c r="T593" s="23"/>
      <c r="U593" s="23"/>
      <c r="X593" s="23"/>
      <c r="Y593" s="23"/>
      <c r="Z593" s="23"/>
      <c r="AA593" s="23"/>
      <c r="AB593" s="23"/>
      <c r="AC593" s="23"/>
      <c r="AD593" s="23"/>
      <c r="AE593" s="23"/>
    </row>
    <row r="594" spans="18:31" x14ac:dyDescent="0.25">
      <c r="R594" s="23"/>
      <c r="S594" s="23"/>
      <c r="T594" s="23"/>
      <c r="U594" s="23"/>
      <c r="X594" s="23"/>
      <c r="Y594" s="23"/>
      <c r="Z594" s="23"/>
      <c r="AA594" s="23"/>
      <c r="AB594" s="23"/>
      <c r="AC594" s="23"/>
      <c r="AD594" s="23"/>
      <c r="AE594" s="23"/>
    </row>
    <row r="595" spans="18:31" x14ac:dyDescent="0.25">
      <c r="R595" s="23"/>
      <c r="S595" s="23"/>
      <c r="T595" s="23"/>
      <c r="U595" s="23"/>
      <c r="X595" s="23"/>
      <c r="Y595" s="23"/>
      <c r="Z595" s="23"/>
      <c r="AA595" s="23"/>
      <c r="AB595" s="23"/>
      <c r="AC595" s="23"/>
      <c r="AD595" s="23"/>
      <c r="AE595" s="23"/>
    </row>
    <row r="596" spans="18:31" x14ac:dyDescent="0.25">
      <c r="R596" s="23"/>
      <c r="S596" s="23"/>
      <c r="T596" s="23"/>
      <c r="U596" s="23"/>
      <c r="X596" s="23"/>
      <c r="Y596" s="23"/>
      <c r="Z596" s="23"/>
      <c r="AA596" s="23"/>
      <c r="AB596" s="23"/>
      <c r="AC596" s="23"/>
      <c r="AD596" s="23"/>
      <c r="AE596" s="23"/>
    </row>
    <row r="597" spans="18:31" x14ac:dyDescent="0.25">
      <c r="R597" s="23"/>
      <c r="S597" s="23"/>
      <c r="T597" s="23"/>
      <c r="U597" s="23"/>
      <c r="X597" s="23"/>
      <c r="Y597" s="23"/>
      <c r="Z597" s="23"/>
      <c r="AA597" s="23"/>
      <c r="AB597" s="23"/>
      <c r="AC597" s="23"/>
      <c r="AD597" s="23"/>
      <c r="AE597" s="23"/>
    </row>
    <row r="598" spans="18:31" x14ac:dyDescent="0.25">
      <c r="R598" s="23"/>
      <c r="S598" s="23"/>
      <c r="T598" s="23"/>
      <c r="U598" s="23"/>
      <c r="X598" s="23"/>
      <c r="Y598" s="23"/>
      <c r="Z598" s="23"/>
      <c r="AA598" s="23"/>
      <c r="AB598" s="23"/>
      <c r="AC598" s="23"/>
      <c r="AD598" s="23"/>
      <c r="AE598" s="23"/>
    </row>
    <row r="599" spans="18:31" x14ac:dyDescent="0.25">
      <c r="R599" s="23"/>
      <c r="S599" s="23"/>
      <c r="T599" s="23"/>
      <c r="U599" s="23"/>
      <c r="X599" s="23"/>
      <c r="Y599" s="23"/>
      <c r="Z599" s="23"/>
      <c r="AA599" s="23"/>
      <c r="AB599" s="23"/>
      <c r="AC599" s="23"/>
      <c r="AD599" s="23"/>
      <c r="AE599" s="23"/>
    </row>
    <row r="600" spans="18:31" x14ac:dyDescent="0.25">
      <c r="R600" s="23"/>
      <c r="S600" s="23"/>
      <c r="T600" s="23"/>
      <c r="U600" s="23"/>
      <c r="X600" s="23"/>
      <c r="Y600" s="23"/>
      <c r="Z600" s="23"/>
      <c r="AA600" s="23"/>
      <c r="AB600" s="23"/>
      <c r="AC600" s="23"/>
      <c r="AD600" s="23"/>
      <c r="AE600" s="23"/>
    </row>
    <row r="601" spans="18:31" x14ac:dyDescent="0.25">
      <c r="R601" s="23"/>
      <c r="S601" s="23"/>
      <c r="T601" s="23"/>
      <c r="U601" s="23"/>
      <c r="X601" s="23"/>
      <c r="Y601" s="23"/>
      <c r="Z601" s="23"/>
      <c r="AA601" s="23"/>
      <c r="AB601" s="23"/>
      <c r="AC601" s="23"/>
      <c r="AD601" s="23"/>
      <c r="AE601" s="23"/>
    </row>
    <row r="602" spans="18:31" x14ac:dyDescent="0.25">
      <c r="R602" s="23"/>
      <c r="S602" s="23"/>
      <c r="T602" s="23"/>
      <c r="U602" s="23"/>
      <c r="X602" s="23"/>
      <c r="Y602" s="23"/>
      <c r="Z602" s="23"/>
      <c r="AA602" s="23"/>
      <c r="AB602" s="23"/>
      <c r="AC602" s="23"/>
      <c r="AD602" s="23"/>
      <c r="AE602" s="23"/>
    </row>
    <row r="603" spans="18:31" x14ac:dyDescent="0.25">
      <c r="R603" s="23"/>
      <c r="S603" s="23"/>
      <c r="T603" s="23"/>
      <c r="U603" s="23"/>
      <c r="X603" s="23"/>
      <c r="Y603" s="23"/>
      <c r="Z603" s="23"/>
      <c r="AA603" s="23"/>
      <c r="AB603" s="23"/>
      <c r="AC603" s="23"/>
      <c r="AD603" s="23"/>
      <c r="AE603" s="23"/>
    </row>
    <row r="604" spans="18:31" x14ac:dyDescent="0.25">
      <c r="R604" s="23"/>
      <c r="S604" s="23"/>
      <c r="T604" s="23"/>
      <c r="U604" s="23"/>
      <c r="X604" s="23"/>
      <c r="Y604" s="23"/>
      <c r="Z604" s="23"/>
      <c r="AA604" s="23"/>
      <c r="AB604" s="23"/>
      <c r="AC604" s="23"/>
      <c r="AD604" s="23"/>
      <c r="AE604" s="23"/>
    </row>
    <row r="605" spans="18:31" x14ac:dyDescent="0.25">
      <c r="R605" s="23"/>
      <c r="S605" s="23"/>
      <c r="T605" s="23"/>
      <c r="U605" s="23"/>
      <c r="X605" s="23"/>
      <c r="Y605" s="23"/>
      <c r="Z605" s="23"/>
      <c r="AA605" s="23"/>
      <c r="AB605" s="23"/>
      <c r="AC605" s="23"/>
      <c r="AD605" s="23"/>
      <c r="AE605" s="23"/>
    </row>
  </sheetData>
  <protectedRanges>
    <protectedRange sqref="H1:H2 B6:C11 AH374:AJ374 AE372:AE374 S372:T374 V372:W374 Y373:Z374 AB372:AC374 Y7:Z11 V7:W11 S7:T11 AE7:AE11 B26:C26 S20:T21 V20:W21 Y20:Z21 AB20:AC21 AE20:AE21 C447:C459 W26 Z26 AB26:AC26 F451:K459 B167:C173 AE26 AE447:AE466 AH26 S63:T69 S233:T233 S196 V196 Y196 M120:Q121 AE142:AE146 AH144:AH146 AB157:AC160 H149:K150 S220:T223 AE167 W149:W151 S225:T231 B56:C59 AH93:AH99 O169 M196 Y128:Z130 T149:T151 B181:C184 B100:B102 F149:F150 V157:W160 T157:T160 S148:T148 V148:W148 Y148:Z148 S167:T167 V167:W167 Y167:Z167 C192 AB128:AC130 B246:C252 C195 O128:O130 AH196:AH198 AB200:AC203 AE200:AE203 S200:T203 V225:W231 V240:Z241 M243:P243 M244:N244 P244 AK132:XFD140 B274:C279 AE63:AE69 F63:F69 F372:K373 B30:C33 T376 AK372:XFD374 E374:K374 E376:K376 V376:W388 S377:T388 AE376:AE388 F377:K378 Y376:Z385 V31:W33 AB40:AC44 Y31:Z33 AB31:AC33 D381:K381 F389:K389 S389:AC389 AB391:AC393 Y225:Z231 AB221:AC223 W94 E400 Y397:Z399 V390:W399 S390:T399 AE390:AE399 C270 AB395:AC399 E397:K399 AH391:AJ392 M205 B20:C21 D401:K403 C264 AH403:AJ403 C245 B154:B156 M157:M160 D409:K412 Q413 Q401:Q410 R83:T83 W83 F195:K195 AE196:AE198 AB196:AC198 E167:K167 R26:T26 Q381:Q399 F220 E26:K26 E303:K303 AH415:AJ415 AB93:AC98 B40:C44 W245:Z245 K245:K252 AK245:XFD252 B128:C130 I40:K44 M26:P26 S192:T194 AE193:AE194 AH192:AH194 F83:K84 AE157:AE160 AH167 E170:K173 E128:G129 M20:M21 AE31:AE33 E12:E13 AE128:AE130 M167:P167 C215 M206:N206 M225:Q225 H205:K206 P205:Q206 M35:M38 Y63:Z69 F6:K8 E20:K21 P20:P21 AH20:AH21 AK20:XFD21 Q303 V465:W466 AE215 AB465:AC466 C253:C258 E30:K33 F447:K447 G450 F271:K271 F448:G449 Q447:Q466 F148:K148 R93:T94 AB71:AC73 AE305 E448:E455 B265:C269 C273 D406 E270:K270 E205:F206 E379:K380 D390:K390 B63:C69 S215:T215 Y215:Z215 E459:E466 F461:K463 M215:O215 R234:T234 Y157:Z160 AH57:AH59 AH119:AH121 AK128:XFD130 AK142:XFD146 AH181:AH188 AK200:XFD203 AK220:XFD223 P37:P38 B271:C272 M83:P83 M49:P49 S31:T33 F93:K94 E71:K71 I1:XFD3 C232 M119:P119 E468:E470 B148:C151 AE214:AF214 Y447:Z466 AB447:AC447 S447:T466 V447:W463 H448:K450 B233:C234 E290:K291 B83:C86 AB63:AC69 AB148:AC152 AB142:AC144 M142:M144 P144 Z149:Z151 Y142:Z146 S142:T146 M148:M150 S181:T184 AB181:AC184 AE181:AE184 AH221 AE221:AE223 I233:K233 E168:F169 H168:K169 S168 V168 Y168 M168:N169 C240:C241 E221:G221 I220:K223 Q220 AE240:AE241 AB240:AC241 E240:K241 AB7:AC11 V84:W86 AB86:AC86 AB284:AC284 AH378 AK377:XFD378 AH380 AK380:XFD380 AH382:AH386 AK382:XFD386 AH389:AH390 AH396:AJ396 AH393:AH395 AH397:AH399 AH401:AH402 AH405:AJ405 AH404 AH407:AJ408 AH406 AH409:AH414 AH423:AJ423 AH416:AH422 AH424:AH428 AH432:AH433 AH453:AH454 AI451:AJ454 AK56:XFD59 N233 AH7:AH11 M51:P51 AB56:AC59 E56:F58 I56:K59 B93:C98 V232:Z232 Y56:Z59 AE56:AE59 S56:T59 E77 AB291:AC295 E294:K294 M137:P137 AE298:AE299 B298:C299 AB246:AC258 F298:G299 R298:T299 V298:Z299 AB298:AC299 I298:K299 AH126 B119:C121 Y220:Z223 AB126:AC126 M126:Q126 S128:T130 I128:K130 AB205:AC208 S205:T213 AE205:AE213 E64:E67 H63:K69 B132:C140 V132:W138 AE132:AE140 AB132:AC134 Y132:Z139 S132:T139 B49:C51 E132:K137 F138:K139 F96:K98 E182:E184 F181:K184 E284:E287 S170:T173 Y170:Z173 AB170:AC171 V170:W173 E52 H52:H54 M50:Q50 E49:K51 AE49:AE51 AH49:AH51 AB189:AC194 S189:S191 E189 S49:T54 Y49:Z54 AB49:AC54 W139 S260:T279 V260:W279 Y260:Z279 AE260:AE279 AB260:AC264 B225:C231 Y14:Z14 S14:T14 AB14:AC14 AH14:AH18 E14:F14 M170:O173 F73:K73 Y305:Z305 S305:T305 E111:E112 O181:O184 M181:M184 AH305 M192:P194 AB119:AC121 AE119:AE126 S119:T126 C235 Q235 S235:T235 V233:W235 AE225:AE235 Y233:Z235 AB225:AC235 M235:O235 M303:O303 AB401:AC406 Y303:Z303 AE303 V303:W303 S303:T303 Q425:Q443 E431:K437 AK14:XFD18 B35:C38 AK236:XFD239 B305 E253:K254 AB377:AC380 Y205:Z213 AK496:XFD509 AB35:AC38 I35:K38 E35:G35 E142:K146 M145:P146 M234:P234 M30:P33 AK157:XFD160 M93:P94 M264:Q264 M265:P265 M84:T86 M240:T241 M232:T232 M270:Q276 M95:T98 M214:T214 AB163:AC165 AH162:AH165 E163:E164 G89 M135:Q136 P23 G23 AE14 V56:W59 V142:W146 V200:W203 V14:W14 V49:W54 V63:W69 V305:W305 V93:W93 V95:W98 V181:W184 V128:W130 V220:W223 Y85:AC85 Y86:Z86 Y200:Z203 Y119:Z126 Y93:Z98 Y181:Z184 Y189:Z194 Y214:AC214 AK26:XFD26 B157:C160 AK167:XFD174 AH225:AH229 AK225:XFD229 AK7:XFD11 B200:C203 AK305:XFD305 B71:C75 B220:C223 E511:E522 AB173:AC173 AB266:AC270 AB272:AC275 AB382:AC387 AB303:AC303 AB430:AC430 AB432:AC445 AB450:AC459 AB461:AC463 AB75:AC76 AB78:AC84 AB136:AC140 AB146:AC146 E46:E47 V119:W126 V189:W194 V205:W218 E222:F223 E496:E509 AH434:AJ445 AH455:AJ467 AK511:XFD588 E9:K9 H305:K305 G185:G188 F36:G36 O35:P36 B14:C14 C303 F37:F38 AE148:AE152 E272:K276 F277:G279 I277:K279 E200:K201 F202:G203 I202:K203 M200:Q201 AH200:AH201 E207:K207 M207:Q209 M216:T216 Y216:AC218 E264:K267 M266:Q267 F217:K218 F268:K269 E157:K159 O157:P160 F160:K160 G99 R99 AE94:AE99 F231:K232 M202:P203 AK205:XFD218 F130 M128:M130 N27:N29 P27:P29 AK30:XFD44 AK49:XFD54 H242:H244 M253:T254 M268:P269 B142:C146 B193:C194 M138:Q139 M140:P140 AH135:AH140 F255:K258 M255:O258 R255:T257 AE245:AE258 R258 T258 AE290:AE295 V290:Z295 F198:I198 B196:C198 M217:P218 R217:T218 AH216:AH218 AE216:AF218 B216:C218 E40:G44 M40:P44 AK93:XFD99 M210:P213 AH205:AH214 F59 AK63:XFD69 AK162:XFD165 H189:H191 AK148:XFD152 F263:K263 M260:M263 O260:P263 B260:C263 M238:M239 AH238:AH239 M245:P252 R245:T252 V246:Z258 M72:Q72 M78:Q82 H76:K76 H78:K82 AK71:XFD86 V71:W76 V78:W82 AH71:AH76 AH78:AH86 S71:T76 S78:T82 Y71:Z76 Y78:Z84 B76 B78:B82 AE71:AE76 AE78:AE86 E472:E480 AB408:AC428 S401:T445 V401:W445 AE401:AE445 Y402:Z445 AK389:XFD445 Q416:Q421 E413:K428 C403:C445 C122:C125 H101:H102 H104:H105 F295:K295 M277:O279 B290:C295 AK119:XFD126 M122:O125 B126:C126 E86:K86 E95:K95 AK181:XFD198 E126:K126 B205:C214 E192:K194 E196:K196 E197:I197 E214:K214 E216:K216 E233:F233 E260:K262 E404:K408 E382:K388 D393:K396 E391:K392 O62:O63 E234:K235 E119:K121 F122:K125 E245:I249 F250:I252 G34 E11:K11 E10:F10 H10:K10 H14:K14 E72:F72 H72:K72 F74 H74:K74 F75:K75 G76:G82 E85:F85 H85:K85 G154 G156 F210:K213 F215:K215 E439:K445 E438:F438 H438:K438 G52 F292:K293 G224 E225:K230 E209:K209 E208:F208 H208:K208 C461:C466 N573:O573 G312 G332 G348 G351:G353 G363 G487 G518 G526 G529 G533 G569 E429:F430 H429:K430 C376:C399 C372:C374 E525:E588 A1:G3 O65 O68:O69 M71:N71 P71:Q71 M74:Q76 M73:N73 P73:Q73 N296 M290:T295 M298:O299 N300:O300 N304:O304 M305:Q305 N306:O338 N340:O340 N342:O343 N345:O348 N351:O353 N375:O376 M378:O399 M401:O443 N444:O446 M447:O466 F465:K466 F464 H464:K464 E483:E494 AK451:XFD494 AI260:XFD260 AH290:XFD295 AH261:XFD276 AI277:XFD279 AH253:XFD258 AH447:XFD450 AH240:XFD241 AH230:XFD235 AH303:XFD303 AI298:XFD298 AH299:XFD299 AH387:XFD388 AH381:XFD381 AH429:AJ431 AH379:XFD379 AI376:XFD376 AE389:AF389 AE93:AF93 A589:XFD1048576" name="maria" securityDescriptor="O:WDG:WDD:(A;;CC;;;S-1-5-21-3048853270-2157241324-869001692-3245)(A;;CC;;;S-1-5-21-3048853270-2157241324-869001692-1007)"/>
    <protectedRange sqref="R4:AH4 AA5:AA11 R12:T13 AA14 AB5:AC5 AH55 AH222:AH223 AE12:AE13 AH12:AH13 V12:W13 Y12:AC13 AG5:AG588 AD5:AD588" name="maria_1_1_1" securityDescriptor="O:WDG:WDD:(A;;CC;;;S-1-5-21-3048853270-2157241324-869001692-3245)(A;;CC;;;S-1-5-21-3048853270-2157241324-869001692-1007)"/>
    <protectedRange sqref="P5:Q6 Q215 Q62 Q119 Q155:Q156 Q265 Q366 Q422:Q424 Q445 P7:P11 P14 Q246:Q252" name="maria_1_3" securityDescriptor="O:WDG:WDD:(A;;CC;;;S-1-5-21-3048853270-2157241324-869001692-3245)(A;;CC;;;S-1-5-21-3048853270-2157241324-869001692-1007)"/>
    <protectedRange sqref="R5:R11 R14 AF5:AF14 U5:U14 X5:X14 U305 X305 AF19:AF44 X19:X76 X78:X89 U19:U76 U78:U89 X277:X279 U277:U279 U93:U184 X189:X231 U189:U231 X93:X184" name="maria_1_1_2" securityDescriptor="O:WDG:WDD:(A;;CC;;;S-1-5-21-3048853270-2157241324-869001692-3245)(A;;CC;;;S-1-5-21-3048853270-2157241324-869001692-1007)"/>
    <protectedRange sqref="AK19:XFD19 AE19 S19:T19 V19:W19 Y19:AA19 E22:K22 AA20:AA21 M19:O19 B22:C22 N20:O21 E6 E19:K19 AK22:XFD22 AE22 S22:T22 V22:W22 Y22:AA22 M22:O23 B19:C19" name="maria_4" securityDescriptor="O:WDG:WDD:(A;;CC;;;S-1-5-21-3048853270-2157241324-869001692-3245)(A;;CC;;;S-1-5-21-3048853270-2157241324-869001692-1007)"/>
    <protectedRange sqref="P19:Q19 Q20:Q21 P22:Q22 Q26:Q28 Q7:Q11 Q30:Q33 Q14 Q23 Q268 Q160 Q217:Q218 Q40:Q44 Q35:Q38 Q210:Q213 Q238:Q239" name="maria_1_4" securityDescriptor="O:WDG:WDD:(A;;CC;;;S-1-5-21-3048853270-2157241324-869001692-3245)(A;;CC;;;S-1-5-21-3048853270-2157241324-869001692-1007)"/>
    <protectedRange sqref="AH19 R19:R22 AH22" name="maria_1_1_3" securityDescriptor="O:WDG:WDD:(A;;CC;;;S-1-5-21-3048853270-2157241324-869001692-3245)(A;;CC;;;S-1-5-21-3048853270-2157241324-869001692-1007)"/>
    <protectedRange sqref="E24 T25 AK25:XFD25 D294:D295 M25:O25 AB25:AC25 Y25:Z25 V25:W25 B24 AE25 AE87:AE89 S87:T89 V87:W89 Y87:Z89 AB88:AC89 AH87:AH92 AK87:XFD92 E87:K88 M87:O89 E89:F89 H89:K89 D305 O92 D139 D7:E8 D21 B25:K25 D31 D50 D63 D72:D73 D83:D84 D93:D94 D119 D128 D133 D135 D142 D148:D149 D156 D167:D168 D181:D182 D200 D206 D220 D226 D232 D245 D253 D266 D271:E271 D274 D283 D290 D321 D336 D345:D348 D438 D471 G24 D297 D301:D303 D388 D391:D392 D404:D405 D407:D408 D415 D430:D431 D435 D443 D460:D461 D482 B87:C89" name="maria_5" securityDescriptor="O:WDG:WDD:(A;;CC;;;S-1-5-21-3048853270-2157241324-869001692-3245)(A;;CC;;;S-1-5-21-3048853270-2157241324-869001692-1007)"/>
    <protectedRange sqref="P25:Q25 P87:Q89" name="maria_1_5" securityDescriptor="O:WDG:WDD:(A;;CC;;;S-1-5-21-3048853270-2157241324-869001692-3245)(A;;CC;;;S-1-5-21-3048853270-2157241324-869001692-1007)"/>
    <protectedRange sqref="AA35:AA38 F24 AA25:AA26 R25:S25 V26 Y26 AH24 I24:K24 AA31:AA33 R31:R33 S40:S44 V40:V44 Y40:Y44 S35:S38 V35:V38 Y35:Y38 M24:T24 R87:R89 AA87:AA89 AF87:AF89 AE24 V24:W24 Y24:AA24 AK24:XFD24 AA40:AA44 C24" name="maria_1_1_4" securityDescriptor="O:WDG:WDD:(A;;CC;;;S-1-5-21-3048853270-2157241324-869001692-3245)(A;;CC;;;S-1-5-21-3048853270-2157241324-869001692-1007)"/>
    <protectedRange sqref="AK45:XFD48 B39:C39 H40:H44 H233 H56:H59 G48 E39:K39 E45:K45 M39:O39 F46:K47 M45:O47 H35:H38 H277:H279 B45:C47" name="maria_6" securityDescriptor="O:WDG:WDD:(A;;CC;;;S-1-5-21-3048853270-2157241324-869001692-3245)(A;;CC;;;S-1-5-21-3048853270-2157241324-869001692-1007)"/>
    <protectedRange sqref="P39:Q39 Q49 Q51 P45:Q47" name="maria_1_6" securityDescriptor="O:WDG:WDD:(A;;CC;;;S-1-5-21-3048853270-2157241324-869001692-3245)(A;;CC;;;S-1-5-21-3048853270-2157241324-869001692-1007)"/>
    <protectedRange sqref="Z40:Z44 R30:T30 R39:T39 AH25 AH30:AH33 W40:W44 T40:T44 Z35:Z38 W35:W38 T35:T38 AE30 AE35:AE44 V30:W30 V39:W39 V45:W47 Y30:AC30 Y39:AA39 Y45:AA46 R45:T47 Y47:AC47 R48 AA48:AC48 R40:R44 AH39:AH48 R50:R54 AF50:AF54 AA50:AA54 R35:R38 AE45:AF48" name="maria_1_1_5" securityDescriptor="O:WDG:WDD:(A;;CC;;;S-1-5-21-3048853270-2157241324-869001692-3245)(A;;CC;;;S-1-5-21-3048853270-2157241324-869001692-1007)"/>
    <protectedRange sqref="AK60:XFD60 O66:O67 E60:K60 M60:O60 N61:N69 O61 O64 B60:C60" name="maria_8" securityDescriptor="O:WDG:WDD:(A;;CC;;;S-1-5-21-3048853270-2157241324-869001692-3245)(A;;CC;;;S-1-5-21-3048853270-2157241324-869001692-1007)"/>
    <protectedRange sqref="P60:Q60" name="maria_1_8" securityDescriptor="O:WDG:WDD:(A;;CC;;;S-1-5-21-3048853270-2157241324-869001692-3245)(A;;CC;;;S-1-5-21-3048853270-2157241324-869001692-1007)"/>
    <protectedRange sqref="R60:T60 V60:W60 AB60:AC60 AH60 AF215 AF447:AF466 AF298:AF299 AF166:AF173 AF179:AF184 AF219:AF232 Y60:Z60 AF496:AF509 AF484:AF494 AF189:AF213 AF234:AF241 AF61:AF86 AF303:AF388 AF468:AF481 AF390:AF445 AF245:AF295 AF94:AF161 AF511:AF588 AE60:AF60" name="maria_1_1_7" securityDescriptor="O:WDG:WDD:(A;;CC;;;S-1-5-21-3048853270-2157241324-869001692-3245)(A;;CC;;;S-1-5-21-3048853270-2157241324-869001692-1007)"/>
    <protectedRange sqref="AE61:AE62 S61:T62 V61:W62 Y61:Z62 AB61:AC62 G63:G69 E61:K62 AH61:AH69 AK61:XFD62 M61:M69 B61:C62" name="maria_9" securityDescriptor="O:WDG:WDD:(A;;CC;;;S-1-5-21-3048853270-2157241324-869001692-3245)(A;;CC;;;S-1-5-21-3048853270-2157241324-869001692-1007)"/>
    <protectedRange sqref="P61:Q61 P62:P69" name="maria_1_9" securityDescriptor="O:WDG:WDD:(A;;CC;;;S-1-5-21-3048853270-2157241324-869001692-3245)(A;;CC;;;S-1-5-21-3048853270-2157241324-869001692-1007)"/>
    <protectedRange sqref="R61:R69" name="maria_1_1_8" securityDescriptor="O:WDG:WDD:(A;;CC;;;S-1-5-21-3048853270-2157241324-869001692-3245)(A;;CC;;;S-1-5-21-3048853270-2157241324-869001692-1007)"/>
    <protectedRange sqref="AH70 AE70 S70:T70 V70:W70 Y70:Z70 O73 AB70:AC70 E70:K70 AK70:XFD70 G72 G74 M70:O70 O71 B70:C70" name="maria_10" securityDescriptor="O:WDG:WDD:(A;;CC;;;S-1-5-21-3048853270-2157241324-869001692-3245)(A;;CC;;;S-1-5-21-3048853270-2157241324-869001692-1007)"/>
    <protectedRange sqref="P70:Q70 Q63:Q67" name="maria_1_10" securityDescriptor="O:WDG:WDD:(A;;CC;;;S-1-5-21-3048853270-2157241324-869001692-3245)(A;;CC;;;S-1-5-21-3048853270-2157241324-869001692-1007)"/>
    <protectedRange sqref="R305 R70:R76 R78:R82" name="maria_1_1_9" securityDescriptor="O:WDG:WDD:(A;;CC;;;S-1-5-21-3048853270-2157241324-869001692-3245)(A;;CC;;;S-1-5-21-3048853270-2157241324-869001692-1007)"/>
    <protectedRange sqref="AE100:AE105 S100:T102 V100:W102 Y100:Z102 G103:G105 AB100:AC105 AK100:XFD105 E100:K100 I101:K102 M100:O102 O104:O105 AH100:AH105 F101:G102 C100:C102" name="maria_11" securityDescriptor="O:WDG:WDD:(A;;CC;;;S-1-5-21-3048853270-2157241324-869001692-3245)(A;;CC;;;S-1-5-21-3048853270-2157241324-869001692-1007)"/>
    <protectedRange sqref="Q83 Q93:Q94 Q148:Q150 P100:Q102" name="maria_1_11" securityDescriptor="O:WDG:WDD:(A;;CC;;;S-1-5-21-3048853270-2157241324-869001692-3245)(A;;CC;;;S-1-5-21-3048853270-2157241324-869001692-1007)"/>
    <protectedRange sqref="R100:R117" name="maria_1_1_10" securityDescriptor="O:WDG:WDD:(A;;CC;;;S-1-5-21-3048853270-2157241324-869001692-3245)(A;;CC;;;S-1-5-21-3048853270-2157241324-869001692-1007)"/>
    <protectedRange sqref="M106:Q106 V106:W106 AH106 S106:T106 Y106:Z106 AE106 AK106:XFD106 E106:K106 B106:C106" name="maria_12" securityDescriptor="O:WDG:WDD:(A;;CC;;;S-1-5-21-3048853270-2157241324-869001692-3245)(A;;CC;;;S-1-5-21-3048853270-2157241324-869001692-1007)"/>
    <protectedRange sqref="AH107 AE107 S107:T107 V107:W107 Y107:Z107 O117 M107:O107 E107:K107 AK107:XFD107 O108 O110:O111 B107:C107" name="maria_13" securityDescriptor="O:WDG:WDD:(A;;CC;;;S-1-5-21-3048853270-2157241324-869001692-3245)(A;;CC;;;S-1-5-21-3048853270-2157241324-869001692-1007)"/>
    <protectedRange sqref="P107:Q107" name="maria_1_12" securityDescriptor="O:WDG:WDD:(A;;CC;;;S-1-5-21-3048853270-2157241324-869001692-3245)(A;;CC;;;S-1-5-21-3048853270-2157241324-869001692-1007)"/>
    <protectedRange sqref="S108:T117 V108:W117 Y108:Z117 AB108:AC117 E96:E98 M110:N111 AH108:AH111 E138:E139 E108:K110 E101:E102 AK108:XFD117 AE108:AE117 M109:O109 M117:N117 G117 F111:K116 M108:N108 M112:O116 B108:C116" name="maria_14" securityDescriptor="O:WDG:WDD:(A;;CC;;;S-1-5-21-3048853270-2157241324-869001692-3245)(A;;CC;;;S-1-5-21-3048853270-2157241324-869001692-1007)"/>
    <protectedRange sqref="P108:Q112" name="maria_1_13" securityDescriptor="O:WDG:WDD:(A;;CC;;;S-1-5-21-3048853270-2157241324-869001692-3245)(A;;CC;;;S-1-5-21-3048853270-2157241324-869001692-1007)"/>
    <protectedRange sqref="AE118 S118:T118 V118:W118 Y118:Z118 AH112:AH118 AB118:AC118 E118:K118 AK118:XFD118 M118:O118 B118:C118" name="maria_15" securityDescriptor="O:WDG:WDD:(A;;CC;;;S-1-5-21-3048853270-2157241324-869001692-3245)(A;;CC;;;S-1-5-21-3048853270-2157241324-869001692-1007)"/>
    <protectedRange sqref="P118:Q118" name="maria_1_14" securityDescriptor="O:WDG:WDD:(A;;CC;;;S-1-5-21-3048853270-2157241324-869001692-3245)(A;;CC;;;S-1-5-21-3048853270-2157241324-869001692-1007)"/>
    <protectedRange sqref="R118:R121 R126" name="maria_1_1_13" securityDescriptor="O:WDG:WDD:(A;;CC;;;S-1-5-21-3048853270-2157241324-869001692-3245)(A;;CC;;;S-1-5-21-3048853270-2157241324-869001692-1007)"/>
    <protectedRange sqref="AE127 G130 V127:W127 E127:K127 K204 K280 AK127:XFD127 AH127:AH128 M127:T127 Y127:Z127 H128:H130 N128:N130 P128:R129 P130 R130 B127:C127" name="maria_16" securityDescriptor="O:WDG:WDD:(A;;CC;;;S-1-5-21-3048853270-2157241324-869001692-3245)(A;;CC;;;S-1-5-21-3048853270-2157241324-869001692-1007)"/>
    <protectedRange sqref="V141:W141 AE141 N142:R143 AH141:AH143 N144:O144 E141:K141 K309 Q144:R146 M141:T141 Y141:Z141 AK141:XFD141 B141:C141" name="maria_17" securityDescriptor="O:WDG:WDD:(A;;CC;;;S-1-5-21-3048853270-2157241324-869001692-3245)(A;;CC;;;S-1-5-21-3048853270-2157241324-869001692-1007)"/>
    <protectedRange sqref="AK131:XFD131 M131:O134 E131:K131 B131:C131" name="maria_18" securityDescriptor="O:WDG:WDD:(A;;CC;;;S-1-5-21-3048853270-2157241324-869001692-3245)(A;;CC;;;S-1-5-21-3048853270-2157241324-869001692-1007)"/>
    <protectedRange sqref="P131:Q134" name="maria_1_16" securityDescriptor="O:WDG:WDD:(A;;CC;;;S-1-5-21-3048853270-2157241324-869001692-3245)(A;;CC;;;S-1-5-21-3048853270-2157241324-869001692-1007)"/>
    <protectedRange sqref="R131:T131 V131:W131 AE131 AH131:AH134 Y131:Z131 R132:R140" name="maria_1_1_14" securityDescriptor="O:WDG:WDD:(A;;CC;;;S-1-5-21-3048853270-2157241324-869001692-3245)(A;;CC;;;S-1-5-21-3048853270-2157241324-869001692-1007)"/>
    <protectedRange sqref="AH153 AE153 S153:T153 V153:W153 Y153:Z153 N157:N160 N154:O156 E153:K153 AK153:XFD153 M153:O153 C153" name="maria_19" securityDescriptor="O:WDG:WDD:(A;;CC;;;S-1-5-21-3048853270-2157241324-869001692-3245)(A;;CC;;;S-1-5-21-3048853270-2157241324-869001692-1007)"/>
    <protectedRange sqref="P153:Q153" name="maria_1_17" securityDescriptor="O:WDG:WDD:(A;;CC;;;S-1-5-21-3048853270-2157241324-869001692-3245)(A;;CC;;;S-1-5-21-3048853270-2157241324-869001692-1007)"/>
    <protectedRange sqref="S157:S160 R153:R160" name="maria_1_1_15" securityDescriptor="O:WDG:WDD:(A;;CC;;;S-1-5-21-3048853270-2157241324-869001692-3245)(A;;CC;;;S-1-5-21-3048853270-2157241324-869001692-1007)"/>
    <protectedRange sqref="AE147 S147:T147 V147:W147 Y147:Z147 AH202:AH203 B153 E147:K147 M147:O147 AK147:XFD147 G149:G151 AH277:AH279 N148:O152 AH147:AH152 B147:C147" name="maria_20" securityDescriptor="O:WDG:WDD:(A;;CC;;;S-1-5-21-3048853270-2157241324-869001692-3245)(A;;CC;;;S-1-5-21-3048853270-2157241324-869001692-1007)"/>
    <protectedRange sqref="P147:Q147 P148:P150" name="maria_1_18" securityDescriptor="O:WDG:WDD:(A;;CC;;;S-1-5-21-3048853270-2157241324-869001692-3245)(A;;CC;;;S-1-5-21-3048853270-2157241324-869001692-1007)"/>
    <protectedRange sqref="Y149:Y151 S149:S151 R147:R152 R277:R279" name="maria_1_1_16" securityDescriptor="O:WDG:WDD:(A;;CC;;;S-1-5-21-3048853270-2157241324-869001692-3245)(A;;CC;;;S-1-5-21-3048853270-2157241324-869001692-1007)"/>
    <protectedRange sqref="AK166:XFD166 M166:O166 B192 B195 B199 B179:B180 E166:K166 G168:G169 O168 B166:C166" name="maria_21" securityDescriptor="O:WDG:WDD:(A;;CC;;;S-1-5-21-3048853270-2157241324-869001692-3245)(A;;CC;;;S-1-5-21-3048853270-2157241324-869001692-1007)"/>
    <protectedRange sqref="P166:Q166 P168:P173 P163:P165" name="maria_1_19" securityDescriptor="O:WDG:WDD:(A;;CC;;;S-1-5-21-3048853270-2157241324-869001692-3245)(A;;CC;;;S-1-5-21-3048853270-2157241324-869001692-1007)"/>
    <protectedRange sqref="R166:T166 V166:W166 AE166 AH166 W168 R167:R168 T168 Z168 R169:T169 V169:W169 AB169:AC169 AH168:AH173 R170:R173 AE168:AE173 Y166:Z166 Y169:Z169" name="maria_1_1_17" securityDescriptor="O:WDG:WDD:(A;;CC;;;S-1-5-21-3048853270-2157241324-869001692-3245)(A;;CC;;;S-1-5-21-3048853270-2157241324-869001692-1007)"/>
    <protectedRange sqref="AK161:XFD161 M161 O161 E161:K161 B161:C161" name="maria_22" securityDescriptor="O:WDG:WDD:(A;;CC;;;S-1-5-21-3048853270-2157241324-869001692-3245)(A;;CC;;;S-1-5-21-3048853270-2157241324-869001692-1007)"/>
    <protectedRange sqref="P161:Q161" name="maria_1_20" securityDescriptor="O:WDG:WDD:(A;;CC;;;S-1-5-21-3048853270-2157241324-869001692-3245)(A;;CC;;;S-1-5-21-3048853270-2157241324-869001692-1007)"/>
    <protectedRange sqref="R161:T161 V161:W161 AH161 Y161:Z161 R162:R165 AE161:AE165" name="maria_1_1_18" securityDescriptor="O:WDG:WDD:(A;;CC;;;S-1-5-21-3048853270-2157241324-869001692-3245)(A;;CC;;;S-1-5-21-3048853270-2157241324-869001692-1007)"/>
    <protectedRange sqref="AE179:AE180 T179:T180 V179:W180 Y179:Z180 AB180:AC180 E181 M179:O180 E179:K180 AH179:AH180 AK179:XFD180 N181:N184 C179:C180" name="maria_23" securityDescriptor="O:WDG:WDD:(A;;CC;;;S-1-5-21-3048853270-2157241324-869001692-3245)(A;;CC;;;S-1-5-21-3048853270-2157241324-869001692-1007)"/>
    <protectedRange sqref="Q189 P179:Q184 Q52:Q54" name="maria_1_21" securityDescriptor="O:WDG:WDD:(A;;CC;;;S-1-5-21-3048853270-2157241324-869001692-3245)(A;;CC;;;S-1-5-21-3048853270-2157241324-869001692-1007)"/>
    <protectedRange sqref="R179:S180 R181:R184 R196:R198 R189:R194" name="maria_1_1_19" securityDescriptor="O:WDG:WDD:(A;;CC;;;S-1-5-21-3048853270-2157241324-869001692-3245)(A;;CC;;;S-1-5-21-3048853270-2157241324-869001692-1007)"/>
    <protectedRange sqref="AH199 AE199 S199:T199 V199:W199 Y199:Z199 AK199:XFD199 H202:H203 AH195 AE195 S195:T195 V195:W195 Y195:Z195 M195:O195 AB195:AC195 AE192 Z196 E195 E199:K199 N196:O196 T196 W196 M199:O199 C199" name="maria_24" securityDescriptor="O:WDG:WDD:(A;;CC;;;S-1-5-21-3048853270-2157241324-869001692-3245)(A;;CC;;;S-1-5-21-3048853270-2157241324-869001692-1007)"/>
    <protectedRange sqref="P199:Q199 P195:Q196 Q192:Q194" name="maria_1_22" securityDescriptor="O:WDG:WDD:(A;;CC;;;S-1-5-21-3048853270-2157241324-869001692-3245)(A;;CC;;;S-1-5-21-3048853270-2157241324-869001692-1007)"/>
    <protectedRange sqref="R195 R199:R203 R207:R213" name="maria_1_1_20" securityDescriptor="O:WDG:WDD:(A;;CC;;;S-1-5-21-3048853270-2157241324-869001692-3245)(A;;CC;;;S-1-5-21-3048853270-2157241324-869001692-1007)"/>
    <protectedRange sqref="S219:T219 V219:W219 Y219:Z219 M219:O223 B224 B232 B245 B253:B259 B264 B273 B270 G220 E220 AE219:AE220 AH219:AH220 E219:K219 E232 B240:B241 AK219:XFD219 H220:H221 G222:H223 B219:C219" name="maria_25" securityDescriptor="O:WDG:WDD:(A;;CC;;;S-1-5-21-3048853270-2157241324-869001692-3245)(A;;CC;;;S-1-5-21-3048853270-2157241324-869001692-1007)"/>
    <protectedRange sqref="P219:Q219 P220:P221 Q221 P222:Q223" name="maria_1_23" securityDescriptor="O:WDG:WDD:(A;;CC;;;S-1-5-21-3048853270-2157241324-869001692-3245)(A;;CC;;;S-1-5-21-3048853270-2157241324-869001692-1007)"/>
    <protectedRange sqref="R219:R223" name="maria_1_1_21" securityDescriptor="O:WDG:WDD:(A;;CC;;;S-1-5-21-3048853270-2157241324-869001692-3245)(A;;CC;;;S-1-5-21-3048853270-2157241324-869001692-1007)"/>
    <protectedRange sqref="AE55 S55:T55 V55:W55 Y55:AA55 AA78:AA84 AA49 E55:K55 G233 M233 AA86 AK55:XFD55 O233 AA298:AA299 Q233:Q234 AA240:AA241 AA179:AA181 AH56 AA219:AA234 AA126:AA173 AA93:AA121 AA192:AA213 M55:O59 Q55:Q59 AA245:AA295 AA56:AA76 AA304:AA313 G56:G59 B55:C55" name="maria_26" securityDescriptor="O:WDG:WDD:(A;;CC;;;S-1-5-21-3048853270-2157241324-869001692-3245)(A;;CC;;;S-1-5-21-3048853270-2157241324-869001692-1007)"/>
    <protectedRange sqref="P233 P55:P59" name="maria_1_24" securityDescriptor="O:WDG:WDD:(A;;CC;;;S-1-5-21-3048853270-2157241324-869001692-3245)(A;;CC;;;S-1-5-21-3048853270-2157241324-869001692-1007)"/>
    <protectedRange sqref="V149:V151 U232:U234 V83 R49 AF49 V245 V94 U298:U299 R233 AF233 X233:X234 U240:U241 AF55:AF59 R55:R59 U280:U295 U245:U276" name="maria_1_1_22" securityDescriptor="O:WDG:WDD:(A;;CC;;;S-1-5-21-3048853270-2157241324-869001692-3245)(A;;CC;;;S-1-5-21-3048853270-2157241324-869001692-1007)"/>
    <protectedRange sqref="X281:X289 V280:Z280 AE280 AH280 M280:T280 AK280:XFD280 E122 E280:J280 R281:R289 B280:C280" name="maria_28" securityDescriptor="O:WDG:WDD:(A;;CC;;;S-1-5-21-3048853270-2157241324-869001692-3245)(A;;CC;;;S-1-5-21-3048853270-2157241324-869001692-1007)"/>
    <protectedRange sqref="AE281:AE289 S281:T289 V281:W289 Y281:Z289 E63 E93:E94 E281:K283 AB285:AC285 AH281:AH282 AK281:XFD282 E148:E150 E162 AB287:AC289 E305 E78:E84 F284:K289 M281:O289 E73:E76 B281:C289 AH283:XFD289" name="maria_29" securityDescriptor="O:WDG:WDD:(A;;CC;;;S-1-5-21-3048853270-2157241324-869001692-3245)(A;;CC;;;S-1-5-21-3048853270-2157241324-869001692-1007)"/>
    <protectedRange sqref="Q157:Q159 P281:Q287 Q167:Q173 Q163:Q164 P288:P289" name="maria_1_25" securityDescriptor="O:WDG:WDD:(A;;CC;;;S-1-5-21-3048853270-2157241324-869001692-3245)(A;;CC;;;S-1-5-21-3048853270-2157241324-869001692-1007)"/>
    <protectedRange sqref="AH259 AE259 S259:T259 V259:W259 Y259:Z259 AH245:AJ252 E259:K259 AK259:XFD259 J245:J252 M259:O259 N260:N263 C259" name="maria_30" securityDescriptor="O:WDG:WDD:(A;;CC;;;S-1-5-21-3048853270-2157241324-869001692-3245)(A;;CC;;;S-1-5-21-3048853270-2157241324-869001692-1007)"/>
    <protectedRange sqref="P259:Q259 Q245 Q260:Q263" name="maria_1_26" securityDescriptor="O:WDG:WDD:(A;;CC;;;S-1-5-21-3048853270-2157241324-869001692-3245)(A;;CC;;;S-1-5-21-3048853270-2157241324-869001692-1007)"/>
    <protectedRange sqref="X259:X276 R259:R276" name="maria_1_1_24" securityDescriptor="O:WDG:WDD:(A;;CC;;;S-1-5-21-3048853270-2157241324-869001692-3245)(A;;CC;;;S-1-5-21-3048853270-2157241324-869001692-1007)"/>
    <protectedRange sqref="AH224 AE224 S224:T224 V224:W224 Y224:Z224 H224:K224 E224:F224 AK224:XFD224 M224:O224 M226:O231 C224" name="maria_31" securityDescriptor="O:WDG:WDD:(A;;CC;;;S-1-5-21-3048853270-2157241324-869001692-3245)(A;;CC;;;S-1-5-21-3048853270-2157241324-869001692-1007)"/>
    <protectedRange sqref="P224:Q224 Q137 P226:Q230 P231" name="maria_1_27" securityDescriptor="O:WDG:WDD:(A;;CC;;;S-1-5-21-3048853270-2157241324-869001692-3245)(A;;CC;;;S-1-5-21-3048853270-2157241324-869001692-1007)"/>
    <protectedRange sqref="R205 R224:R231" name="maria_1_1_25" securityDescriptor="O:WDG:WDD:(A;;CC;;;S-1-5-21-3048853270-2157241324-869001692-3245)(A;;CC;;;S-1-5-21-3048853270-2157241324-869001692-1007)"/>
    <protectedRange sqref="B204 E204" name="maria_32" securityDescriptor="O:WDG:WDD:(A;;CC;;;S-1-5-21-3048853270-2157241324-869001692-3245)(A;;CC;;;S-1-5-21-3048853270-2157241324-869001692-1007)"/>
    <protectedRange sqref="G208 F204:G204 V204:W204 AE204 AH204 R206 N205:O205 O206 I204:J204 M204:T204 AK204:XFD204 Y204:Z204 G205:G206 C204" name="maria_1_28" securityDescriptor="O:WDG:WDD:(A;;CC;;;S-1-5-21-3048853270-2157241324-869001692-3245)(A;;CC;;;S-1-5-21-3048853270-2157241324-869001692-1007)"/>
    <protectedRange sqref="D349:G349 I341:K341 S307:T353 V323:W353 Y323:Z353 H306:K308 AB314:AC314 V306:Z322 M339:Q339 C401:C402 AA215 B215 R215 I349:K353 B461:B467 AK304:XFD304 U447:U466 R447:R466 B447:B459 AA447:AA466 X447:X466 AH304 H310:K340 H309:J309 M304 X77 U77 R77 R483 X483 T189:T191 R486:AC494 B122:B125 AA122:AA125 R303 AA303 X303 U303 B34 AA34 R34 B235:B239 R307:R405 AA314:AA388 X323:X388 U306:U388 AA77 R495 U495 X495 AA495 R496:AC501 Y512 AA511:AC512 Y511:Z511 R511:X512 R502:AA502 AB319:AC319 AB341:AC341 R503:AC509 G584 G486 R513:AC536 AA235:AA239 R235:R239 X235:X239 U235:U239 AE304 AE306:AE353 B306:B399 B303 AA468:AA481 R468:R481 U468:U481 X468:X481 U390:U445 X391:X445 AA390:AA445 B403:B445 R407:R445 R122:R125 AH260 D338:G340 E336:G336 E345:K347 G477:G479 E321:G321 D342:K344 G495 D333:G335 G488 G521 G527 G532 G538 G544 G549 G560 D337:F337 D324:G330 D322:F323 D320:F320 D306:G311 G460 G564:G565 D312:F312 D331:F332 E348:F348 H348:K348 D350:F353 H350:H353 AA537:AC588 U537:X588 R537:R588 P304:Z304 P306:T306 M306:M338 P307:Q338 M341:Q341 M340 P340:Q340 M344:Q344 M342:M343 P342:Q343 M349:Q350 M345:M348 P345:Q348 M351:M353 P351:Q353 D341:F341 D313:G319 R484:AA485 B304:K304 C306:C353 AH306:XFD353" name="maria_33" securityDescriptor="O:WDG:WDD:(A;;CC;;;S-1-5-21-3048853270-2157241324-869001692-3245)(A;;CC;;;S-1-5-21-3048853270-2157241324-869001692-1007)"/>
    <protectedRange sqref="AH354 AE354 S354:T354 V354:W354 Y354:Z354 AB354:AC354 M354:O354 D419:D422 AK354:XFD354 C354:K354" name="maria_34" securityDescriptor="O:WDG:WDD:(A;;CC;;;S-1-5-21-3048853270-2157241324-869001692-3245)(A;;CC;;;S-1-5-21-3048853270-2157241324-869001692-1007)"/>
    <protectedRange sqref="P354:Q354" name="maria_1_29" securityDescriptor="O:WDG:WDD:(A;;CC;;;S-1-5-21-3048853270-2157241324-869001692-3245)(A;;CC;;;S-1-5-21-3048853270-2157241324-869001692-1007)"/>
    <protectedRange sqref="E34:F34 M236 Q236:Q237 AE236:AE239 S236:T239 V236:W239 Y237:Z239 Q411:Q412 Q414:Q415 M237:N237 C34 AH236:AH237 AH122:AH125 Q34 AE34 S34:T34 V34:W34 Y34:Z34 M34:O34 AB484:AC485 Z236 AB245:AC245 AB265:AC265 AB271:AC271 AB276:AC283 AB286:AC286 AB290:AC290 AB315:AC318 AB342:AC353 AB376:AC376 AB381:AC381 AB388:AC388 AB407:AC407 AB429:AC429 AB431:AC431 AB446:AC446 AB448:AC449 AB460:AC460 AB502:AC502 AB19:AC19 AB22:AC22 AB24:AC24 AB34:AC34 AB39:AC39 AB45:AC46 AB55:AC55 AB74:AC74 AB87:AC87 AB106:AC107 AB122:AC125 AB127:AC127 AB131:AC131 AB135:AC135 AB141:AC141 AB145:AC145 AB147:AC147 AB153:AC155 AB166:AC168 AB172:AC172 AB179:AC179 AB199:AC199 AB204:AC204 AB209:AC213 AB215:AC215 AB219:AC220 AB224:AC224 AB236:AC239 AB320:AC340 G37:G38 N35:N37 O37 E236:K237 AH129:AH130 N38:O38 AH34:AH38 F238:K239 N238:N239 AB304:AC313 Q122:Q125 H34:K34 AB161:AC162 C236:C239" name="maria_35" securityDescriptor="O:WDG:WDD:(A;;CC;;;S-1-5-21-3048853270-2157241324-869001692-3245)(A;;CC;;;S-1-5-21-3048853270-2157241324-869001692-1007)"/>
    <protectedRange sqref="P34 P236:P239" name="maria_1_30" securityDescriptor="O:WDG:WDD:(A;;CC;;;S-1-5-21-3048853270-2157241324-869001692-3245)(A;;CC;;;S-1-5-21-3048853270-2157241324-869001692-1007)"/>
    <protectedRange sqref="Y236" name="maria_1_1_27" securityDescriptor="O:WDG:WDD:(A;;CC;;;S-1-5-21-3048853270-2157241324-869001692-3245)(A;;CC;;;S-1-5-21-3048853270-2157241324-869001692-1007)"/>
    <protectedRange sqref="AE355:AE362 S355:T362 V355:W362 Y355:Z362 AB355:AC362 M355:O362 D366 D371:D373 D377:D378 D380 D382:D386 D389 D397:D399 D413:D414 D444:D445 D448:D455 D423:D429 D459 D439:D442 D462:D466 AH355:AH362 AK355:XFD362 D478:D479 D481:E481 D488:D494 D432:D434 D496:D509 D511:D522 D416:D418 D436:D437 D525:D588 C355:K362" name="maria_36" securityDescriptor="O:WDG:WDD:(A;;CC;;;S-1-5-21-3048853270-2157241324-869001692-3245)(A;;CC;;;S-1-5-21-3048853270-2157241324-869001692-1007)"/>
    <protectedRange sqref="P355:Q362" name="maria_1_31" securityDescriptor="O:WDG:WDD:(A;;CC;;;S-1-5-21-3048853270-2157241324-869001692-3245)(A;;CC;;;S-1-5-21-3048853270-2157241324-869001692-1007)"/>
    <protectedRange sqref="AE363:AE364 S363:T364 V363:W364 Y364 Z363:Z364 D364:K364 AB363:AC364 M363:O364 AE375 S375:T375 V375:W375 Z375 AB375:AC375 AH375:XFD375 D374 D376 AH376 D387 D379 AH364 AK364:XFD364 D363:F363 H363:K363 H375:K375 M375:M376 C375:F375 C363:C364 AH363:XFD363" name="maria_37" securityDescriptor="O:WDG:WDD:(A;;CC;;;S-1-5-21-3048853270-2157241324-869001692-3245)(A;;CC;;;S-1-5-21-3048853270-2157241324-869001692-1007)"/>
    <protectedRange sqref="P363:Q364 P375:Q376" name="maria_1_32" securityDescriptor="O:WDG:WDD:(A;;CC;;;S-1-5-21-3048853270-2157241324-869001692-3245)(A;;CC;;;S-1-5-21-3048853270-2157241324-869001692-1007)"/>
    <protectedRange sqref="Y363 Y375" name="maria_1_1_29" securityDescriptor="O:WDG:WDD:(A;;CC;;;S-1-5-21-3048853270-2157241324-869001692-3245)(A;;CC;;;S-1-5-21-3048853270-2157241324-869001692-1007)"/>
    <protectedRange sqref="AE365:AE366 S365:T366 V365:W366 Y366:Z366 AB365:AC366 D365:K365 M365:O366 AK365:XFD366 E366:K366 AH365:AH366 C365:C366" name="maria_38" securityDescriptor="O:WDG:WDD:(A;;CC;;;S-1-5-21-3048853270-2157241324-869001692-3245)(A;;CC;;;S-1-5-21-3048853270-2157241324-869001692-1007)"/>
    <protectedRange sqref="P365:Q365 P366" name="maria_1_33" securityDescriptor="O:WDG:WDD:(A;;CC;;;S-1-5-21-3048853270-2157241324-869001692-3245)(A;;CC;;;S-1-5-21-3048853270-2157241324-869001692-1007)"/>
    <protectedRange sqref="G369:H369 F367:H368 AE367:AE369 S367:T369 V367:W369 Y367:Z369 I367:K369 AB367:AC369 M374:O374 M367:O369 AH367:AH368 AK367:XFD368 C367:E369 AH369:XFD369" name="maria_39" securityDescriptor="O:WDG:WDD:(A;;CC;;;S-1-5-21-3048853270-2157241324-869001692-3245)(A;;CC;;;S-1-5-21-3048853270-2157241324-869001692-1007)"/>
    <protectedRange sqref="P367:Q369 Q374" name="maria_1_34" securityDescriptor="O:WDG:WDD:(A;;CC;;;S-1-5-21-3048853270-2157241324-869001692-3245)(A;;CC;;;S-1-5-21-3048853270-2157241324-869001692-1007)"/>
    <protectedRange sqref="AE370:AE371 S370:T371 V370:W371 D370:K370 AB370:AC371 Y370:Z372 AH372:AJ372 M370:O373 AH377 M377:O377 AH373 E371:K371 E372:E373 E377:E378 E389 AH371 AK371:XFD371 C370:C371 AH370:XFD370" name="maria_40" securityDescriptor="O:WDG:WDD:(A;;CC;;;S-1-5-21-3048853270-2157241324-869001692-3245)(A;;CC;;;S-1-5-21-3048853270-2157241324-869001692-1007)"/>
    <protectedRange sqref="P370:Q373 P377:Q377 Q378:Q380" name="maria_1_35" securityDescriptor="O:WDG:WDD:(A;;CC;;;S-1-5-21-3048853270-2157241324-869001692-3245)(A;;CC;;;S-1-5-21-3048853270-2157241324-869001692-1007)"/>
    <protectedRange sqref="AE154:AE156 S154:T156 V154:W156 Y154:Z156 AB156:AC156 H156:K156 E155:K155 M154:M156 AK154:XFD156 AH154:AH160 E154:F154 H154:K154 E156:F156 C154:C156" name="maria_42" securityDescriptor="O:WDG:WDD:(A;;CC;;;S-1-5-21-3048853270-2157241324-869001692-3245)(A;;CC;;;S-1-5-21-3048853270-2157241324-869001692-1007)"/>
    <protectedRange sqref="P154:Q154 P155:P156" name="maria_1_37" securityDescriptor="O:WDG:WDD:(A;;CC;;;S-1-5-21-3048853270-2157241324-869001692-3245)(A;;CC;;;S-1-5-21-3048853270-2157241324-869001692-1007)"/>
    <protectedRange sqref="S446:T446 V446:W446 AE446 Y446:Z446 AK446:XFD446 M446 AH446 E446:K446 E447 E456:E458 C446" name="maria_7" securityDescriptor="O:WDG:WDD:(A;;CC;;;S-1-5-21-3048853270-2157241324-869001692-3245)(A;;CC;;;S-1-5-21-3048853270-2157241324-869001692-1007)"/>
    <protectedRange sqref="P446" name="maria_1_7" securityDescriptor="O:WDG:WDD:(A;;CC;;;S-1-5-21-3048853270-2157241324-869001692-3245)(A;;CC;;;S-1-5-21-3048853270-2157241324-869001692-1007)"/>
    <protectedRange sqref="AF446" name="maria_1_1_7_1" securityDescriptor="O:WDG:WDD:(A;;CC;;;S-1-5-21-3048853270-2157241324-869001692-3245)(A;;CC;;;S-1-5-21-3048853270-2157241324-869001692-1007)"/>
    <protectedRange sqref="U446 X446 AA446 B446 R446" name="maria_33_1" securityDescriptor="O:WDG:WDD:(A;;CC;;;S-1-5-21-3048853270-2157241324-869001692-3245)(A;;CC;;;S-1-5-21-3048853270-2157241324-869001692-1007)"/>
    <protectedRange sqref="D446:D447 D456:D458" name="maria_36_1" securityDescriptor="O:WDG:WDD:(A;;CC;;;S-1-5-21-3048853270-2157241324-869001692-3245)(A;;CC;;;S-1-5-21-3048853270-2157241324-869001692-1007)"/>
    <protectedRange sqref="S482:T482 V482:W482 AE482 Y482:Z482 AB482:AC482 C482 E482:F482 AH482:AJ482" name="maria_27" securityDescriptor="O:WDG:WDD:(A;;CC;;;S-1-5-21-3048853270-2157241324-869001692-3245)(A;;CC;;;S-1-5-21-3048853270-2157241324-869001692-1007)"/>
    <protectedRange sqref="AF482:AF483" name="maria_1_1_7_2" securityDescriptor="O:WDG:WDD:(A;;CC;;;S-1-5-21-3048853270-2157241324-869001692-3245)(A;;CC;;;S-1-5-21-3048853270-2157241324-869001692-1007)"/>
    <protectedRange sqref="X482 B482 R482 AA482:AA483 U482:U483" name="maria_33_2" securityDescriptor="O:WDG:WDD:(A;;CC;;;S-1-5-21-3048853270-2157241324-869001692-3245)(A;;CC;;;S-1-5-21-3048853270-2157241324-869001692-1007)"/>
    <protectedRange sqref="N482:O482" name="maria_10_1" securityDescriptor="O:WDG:WDD:(A;;CC;;;S-1-5-21-3048853270-2157241324-869001692-3245)(A;;CC;;;S-1-5-21-3048853270-2157241324-869001692-1007)"/>
    <protectedRange sqref="F162:G165 B162:C165" name="maria_41" securityDescriptor="O:WDG:WDD:(A;;CC;;;S-1-5-21-3048853270-2157241324-869001692-3245)(A;;CC;;;S-1-5-21-3048853270-2157241324-869001692-1007)"/>
    <protectedRange sqref="I162:I165" name="maria_43" securityDescriptor="O:WDG:WDD:(A;;CC;;;S-1-5-21-3048853270-2157241324-869001692-3245)(A;;CC;;;S-1-5-21-3048853270-2157241324-869001692-1007)"/>
    <protectedRange sqref="H162:H165" name="maria_22_2" securityDescriptor="O:WDG:WDD:(A;;CC;;;S-1-5-21-3048853270-2157241324-869001692-3245)(A;;CC;;;S-1-5-21-3048853270-2157241324-869001692-1007)"/>
    <protectedRange sqref="J162:K165" name="maria_44" securityDescriptor="O:WDG:WDD:(A;;CC;;;S-1-5-21-3048853270-2157241324-869001692-3245)(A;;CC;;;S-1-5-21-3048853270-2157241324-869001692-1007)"/>
    <protectedRange sqref="M162:M165" name="maria_22_3" securityDescriptor="O:WDG:WDD:(A;;CC;;;S-1-5-21-3048853270-2157241324-869001692-3245)(A;;CC;;;S-1-5-21-3048853270-2157241324-869001692-1007)"/>
    <protectedRange sqref="P162:Q162" name="maria_1_20_1" securityDescriptor="O:WDG:WDD:(A;;CC;;;S-1-5-21-3048853270-2157241324-869001692-3245)(A;;CC;;;S-1-5-21-3048853270-2157241324-869001692-1007)"/>
    <protectedRange sqref="S162:T165" name="maria_45" securityDescriptor="O:WDG:WDD:(A;;CC;;;S-1-5-21-3048853270-2157241324-869001692-3245)(A;;CC;;;S-1-5-21-3048853270-2157241324-869001692-1007)"/>
    <protectedRange sqref="V162:W165" name="maria_46" securityDescriptor="O:WDG:WDD:(A;;CC;;;S-1-5-21-3048853270-2157241324-869001692-3245)(A;;CC;;;S-1-5-21-3048853270-2157241324-869001692-1007)"/>
    <protectedRange sqref="Y162:Z165" name="maria_47" securityDescriptor="O:WDG:WDD:(A;;CC;;;S-1-5-21-3048853270-2157241324-869001692-3245)(A;;CC;;;S-1-5-21-3048853270-2157241324-869001692-1007)"/>
    <protectedRange sqref="AF162:AF165" name="maria_1_1_7_3" securityDescriptor="O:WDG:WDD:(A;;CC;;;S-1-5-21-3048853270-2157241324-869001692-3245)(A;;CC;;;S-1-5-21-3048853270-2157241324-869001692-1007)"/>
    <protectedRange sqref="V467:W467 AE467 AB467:AC467 N483:O509 S467:T467 Y467:Z467 E467:K467 N471:O471 M467:O470 Q467:Q470 Q472:Q475 M77:O77 N510 N52:O54 N189:O191 M472:O481 N511:O572 N574:O588 C467" name="maria_48" securityDescriptor="O:WDG:WDD:(A;;CC;;;S-1-5-21-3048853270-2157241324-869001692-3245)(A;;CC;;;S-1-5-21-3048853270-2157241324-869001692-1007)"/>
    <protectedRange sqref="P77 P467:P481" name="maria_1_36" securityDescriptor="O:WDG:WDD:(A;;CC;;;S-1-5-21-3048853270-2157241324-869001692-3245)(A;;CC;;;S-1-5-21-3048853270-2157241324-869001692-1007)"/>
    <protectedRange sqref="AF467" name="maria_1_1_7_4" securityDescriptor="O:WDG:WDD:(A;;CC;;;S-1-5-21-3048853270-2157241324-869001692-3245)(A;;CC;;;S-1-5-21-3048853270-2157241324-869001692-1007)"/>
    <protectedRange sqref="X467 AA467 R467 U467" name="maria_33_3" securityDescriptor="O:WDG:WDD:(A;;CC;;;S-1-5-21-3048853270-2157241324-869001692-3245)(A;;CC;;;S-1-5-21-3048853270-2157241324-869001692-1007)"/>
    <protectedRange sqref="D467" name="maria_36_2" securityDescriptor="O:WDG:WDD:(A;;CC;;;S-1-5-21-3048853270-2157241324-869001692-3245)(A;;CC;;;S-1-5-21-3048853270-2157241324-869001692-1007)"/>
    <protectedRange sqref="E471" name="maria_49" securityDescriptor="O:WDG:WDD:(A;;CC;;;S-1-5-21-3048853270-2157241324-869001692-3245)(A;;CC;;;S-1-5-21-3048853270-2157241324-869001692-1007)"/>
    <protectedRange sqref="M471" name="maria_2_1" securityDescriptor="O:WDG:WDD:(A;;CC;;;S-1-5-21-3048853270-2157241324-869001692-3245)(A;;CC;;;S-1-5-21-3048853270-2157241324-869001692-1007)"/>
    <protectedRange sqref="Q471 Q77 Q476:Q481" name="maria_3_1" securityDescriptor="O:WDG:WDD:(A;;CC;;;S-1-5-21-3048853270-2157241324-869001692-3245)(A;;CC;;;S-1-5-21-3048853270-2157241324-869001692-1007)"/>
    <protectedRange sqref="AI354:AJ354" name="maria_34_2" securityDescriptor="O:WDG:WDD:(A;;CC;;;S-1-5-21-3048853270-2157241324-869001692-3245)(A;;CC;;;S-1-5-21-3048853270-2157241324-869001692-1007)"/>
    <protectedRange sqref="AI355:AJ355" name="maria_36_4" securityDescriptor="O:WDG:WDD:(A;;CC;;;S-1-5-21-3048853270-2157241324-869001692-3245)(A;;CC;;;S-1-5-21-3048853270-2157241324-869001692-1007)"/>
    <protectedRange sqref="AI356:AJ356" name="maria_36_6" securityDescriptor="O:WDG:WDD:(A;;CC;;;S-1-5-21-3048853270-2157241324-869001692-3245)(A;;CC;;;S-1-5-21-3048853270-2157241324-869001692-1007)"/>
    <protectedRange sqref="AI357:AJ357" name="maria_36_7" securityDescriptor="O:WDG:WDD:(A;;CC;;;S-1-5-21-3048853270-2157241324-869001692-3245)(A;;CC;;;S-1-5-21-3048853270-2157241324-869001692-1007)"/>
    <protectedRange sqref="AI358:AJ358" name="maria_36_8" securityDescriptor="O:WDG:WDD:(A;;CC;;;S-1-5-21-3048853270-2157241324-869001692-3245)(A;;CC;;;S-1-5-21-3048853270-2157241324-869001692-1007)"/>
    <protectedRange sqref="AI359:AJ359" name="maria_36_9" securityDescriptor="O:WDG:WDD:(A;;CC;;;S-1-5-21-3048853270-2157241324-869001692-3245)(A;;CC;;;S-1-5-21-3048853270-2157241324-869001692-1007)"/>
    <protectedRange sqref="AI360:AJ360" name="maria_36_10" securityDescriptor="O:WDG:WDD:(A;;CC;;;S-1-5-21-3048853270-2157241324-869001692-3245)(A;;CC;;;S-1-5-21-3048853270-2157241324-869001692-1007)"/>
    <protectedRange sqref="AI361:AJ361" name="maria_36_12" securityDescriptor="O:WDG:WDD:(A;;CC;;;S-1-5-21-3048853270-2157241324-869001692-3245)(A;;CC;;;S-1-5-21-3048853270-2157241324-869001692-1007)"/>
    <protectedRange sqref="AI362:AJ362" name="maria_36_14" securityDescriptor="O:WDG:WDD:(A;;CC;;;S-1-5-21-3048853270-2157241324-869001692-3245)(A;;CC;;;S-1-5-21-3048853270-2157241324-869001692-1007)"/>
    <protectedRange sqref="AI364:AJ364" name="maria_37_1" securityDescriptor="O:WDG:WDD:(A;;CC;;;S-1-5-21-3048853270-2157241324-869001692-3245)(A;;CC;;;S-1-5-21-3048853270-2157241324-869001692-1007)"/>
    <protectedRange sqref="AI365:AJ365" name="maria_38_1" securityDescriptor="O:WDG:WDD:(A;;CC;;;S-1-5-21-3048853270-2157241324-869001692-3245)(A;;CC;;;S-1-5-21-3048853270-2157241324-869001692-1007)"/>
    <protectedRange sqref="AI366:AJ366" name="maria_38_3" securityDescriptor="O:WDG:WDD:(A;;CC;;;S-1-5-21-3048853270-2157241324-869001692-3245)(A;;CC;;;S-1-5-21-3048853270-2157241324-869001692-1007)"/>
    <protectedRange sqref="AI367:AJ367" name="maria_39_2" securityDescriptor="O:WDG:WDD:(A;;CC;;;S-1-5-21-3048853270-2157241324-869001692-3245)(A;;CC;;;S-1-5-21-3048853270-2157241324-869001692-1007)"/>
    <protectedRange sqref="AI368:AJ368" name="maria_39_3" securityDescriptor="O:WDG:WDD:(A;;CC;;;S-1-5-21-3048853270-2157241324-869001692-3245)(A;;CC;;;S-1-5-21-3048853270-2157241324-869001692-1007)"/>
    <protectedRange sqref="AI371:AJ371" name="maria_40_1" securityDescriptor="O:WDG:WDD:(A;;CC;;;S-1-5-21-3048853270-2157241324-869001692-3245)(A;;CC;;;S-1-5-21-3048853270-2157241324-869001692-1007)"/>
    <protectedRange sqref="AI373:AJ373" name="maria_40_2" securityDescriptor="O:WDG:WDD:(A;;CC;;;S-1-5-21-3048853270-2157241324-869001692-3245)(A;;CC;;;S-1-5-21-3048853270-2157241324-869001692-1007)"/>
    <protectedRange sqref="AI377:AJ377" name="maria_40_4" securityDescriptor="O:WDG:WDD:(A;;CC;;;S-1-5-21-3048853270-2157241324-869001692-3245)(A;;CC;;;S-1-5-21-3048853270-2157241324-869001692-1007)"/>
    <protectedRange sqref="AI378:AJ378" name="maria_50" securityDescriptor="O:WDG:WDD:(A;;CC;;;S-1-5-21-3048853270-2157241324-869001692-3245)(A;;CC;;;S-1-5-21-3048853270-2157241324-869001692-1007)"/>
    <protectedRange sqref="AI380:AJ380" name="maria_51" securityDescriptor="O:WDG:WDD:(A;;CC;;;S-1-5-21-3048853270-2157241324-869001692-3245)(A;;CC;;;S-1-5-21-3048853270-2157241324-869001692-1007)"/>
    <protectedRange sqref="AI382:AJ382" name="maria_52" securityDescriptor="O:WDG:WDD:(A;;CC;;;S-1-5-21-3048853270-2157241324-869001692-3245)(A;;CC;;;S-1-5-21-3048853270-2157241324-869001692-1007)"/>
    <protectedRange sqref="AI383:AJ383" name="maria_53" securityDescriptor="O:WDG:WDD:(A;;CC;;;S-1-5-21-3048853270-2157241324-869001692-3245)(A;;CC;;;S-1-5-21-3048853270-2157241324-869001692-1007)"/>
    <protectedRange sqref="AI384:AJ384" name="maria_54" securityDescriptor="O:WDG:WDD:(A;;CC;;;S-1-5-21-3048853270-2157241324-869001692-3245)(A;;CC;;;S-1-5-21-3048853270-2157241324-869001692-1007)"/>
    <protectedRange sqref="AI385:AJ385" name="maria_55" securityDescriptor="O:WDG:WDD:(A;;CC;;;S-1-5-21-3048853270-2157241324-869001692-3245)(A;;CC;;;S-1-5-21-3048853270-2157241324-869001692-1007)"/>
    <protectedRange sqref="AI386:AJ386" name="maria_57" securityDescriptor="O:WDG:WDD:(A;;CC;;;S-1-5-21-3048853270-2157241324-869001692-3245)(A;;CC;;;S-1-5-21-3048853270-2157241324-869001692-1007)"/>
    <protectedRange sqref="AI389:AJ389" name="maria_58" securityDescriptor="O:WDG:WDD:(A;;CC;;;S-1-5-21-3048853270-2157241324-869001692-3245)(A;;CC;;;S-1-5-21-3048853270-2157241324-869001692-1007)"/>
    <protectedRange sqref="AI390:AJ390" name="maria_60" securityDescriptor="O:WDG:WDD:(A;;CC;;;S-1-5-21-3048853270-2157241324-869001692-3245)(A;;CC;;;S-1-5-21-3048853270-2157241324-869001692-1007)"/>
    <protectedRange sqref="AI393:AJ393" name="maria_62" securityDescriptor="O:WDG:WDD:(A;;CC;;;S-1-5-21-3048853270-2157241324-869001692-3245)(A;;CC;;;S-1-5-21-3048853270-2157241324-869001692-1007)"/>
    <protectedRange sqref="AI394:AJ394" name="maria_64" securityDescriptor="O:WDG:WDD:(A;;CC;;;S-1-5-21-3048853270-2157241324-869001692-3245)(A;;CC;;;S-1-5-21-3048853270-2157241324-869001692-1007)"/>
    <protectedRange sqref="AI395:AJ395" name="maria_65" securityDescriptor="O:WDG:WDD:(A;;CC;;;S-1-5-21-3048853270-2157241324-869001692-3245)(A;;CC;;;S-1-5-21-3048853270-2157241324-869001692-1007)"/>
    <protectedRange sqref="AI397:AJ397" name="maria_66" securityDescriptor="O:WDG:WDD:(A;;CC;;;S-1-5-21-3048853270-2157241324-869001692-3245)(A;;CC;;;S-1-5-21-3048853270-2157241324-869001692-1007)"/>
    <protectedRange sqref="AI398:AJ398" name="maria_68" securityDescriptor="O:WDG:WDD:(A;;CC;;;S-1-5-21-3048853270-2157241324-869001692-3245)(A;;CC;;;S-1-5-21-3048853270-2157241324-869001692-1007)"/>
    <protectedRange sqref="AI399:AJ399" name="maria_69" securityDescriptor="O:WDG:WDD:(A;;CC;;;S-1-5-21-3048853270-2157241324-869001692-3245)(A;;CC;;;S-1-5-21-3048853270-2157241324-869001692-1007)"/>
    <protectedRange sqref="AI401:AJ401" name="maria_70" securityDescriptor="O:WDG:WDD:(A;;CC;;;S-1-5-21-3048853270-2157241324-869001692-3245)(A;;CC;;;S-1-5-21-3048853270-2157241324-869001692-1007)"/>
    <protectedRange sqref="AI402:AJ402" name="maria_71" securityDescriptor="O:WDG:WDD:(A;;CC;;;S-1-5-21-3048853270-2157241324-869001692-3245)(A;;CC;;;S-1-5-21-3048853270-2157241324-869001692-1007)"/>
    <protectedRange sqref="AI404:AJ404" name="maria_72" securityDescriptor="O:WDG:WDD:(A;;CC;;;S-1-5-21-3048853270-2157241324-869001692-3245)(A;;CC;;;S-1-5-21-3048853270-2157241324-869001692-1007)"/>
    <protectedRange sqref="AI406:AJ406" name="maria_74" securityDescriptor="O:WDG:WDD:(A;;CC;;;S-1-5-21-3048853270-2157241324-869001692-3245)(A;;CC;;;S-1-5-21-3048853270-2157241324-869001692-1007)"/>
    <protectedRange sqref="AI409:AJ409" name="maria_76" securityDescriptor="O:WDG:WDD:(A;;CC;;;S-1-5-21-3048853270-2157241324-869001692-3245)(A;;CC;;;S-1-5-21-3048853270-2157241324-869001692-1007)"/>
    <protectedRange sqref="AI410:AJ410" name="maria_77" securityDescriptor="O:WDG:WDD:(A;;CC;;;S-1-5-21-3048853270-2157241324-869001692-3245)(A;;CC;;;S-1-5-21-3048853270-2157241324-869001692-1007)"/>
    <protectedRange sqref="AI411:AJ411" name="maria_78" securityDescriptor="O:WDG:WDD:(A;;CC;;;S-1-5-21-3048853270-2157241324-869001692-3245)(A;;CC;;;S-1-5-21-3048853270-2157241324-869001692-1007)"/>
    <protectedRange sqref="AI412:AJ412" name="maria_79" securityDescriptor="O:WDG:WDD:(A;;CC;;;S-1-5-21-3048853270-2157241324-869001692-3245)(A;;CC;;;S-1-5-21-3048853270-2157241324-869001692-1007)"/>
    <protectedRange sqref="AI413:AJ413" name="maria_80" securityDescriptor="O:WDG:WDD:(A;;CC;;;S-1-5-21-3048853270-2157241324-869001692-3245)(A;;CC;;;S-1-5-21-3048853270-2157241324-869001692-1007)"/>
    <protectedRange sqref="AI414:AJ414" name="maria_81" securityDescriptor="O:WDG:WDD:(A;;CC;;;S-1-5-21-3048853270-2157241324-869001692-3245)(A;;CC;;;S-1-5-21-3048853270-2157241324-869001692-1007)"/>
    <protectedRange sqref="AI416:AJ416" name="maria_82" securityDescriptor="O:WDG:WDD:(A;;CC;;;S-1-5-21-3048853270-2157241324-869001692-3245)(A;;CC;;;S-1-5-21-3048853270-2157241324-869001692-1007)"/>
    <protectedRange sqref="AI417:AJ417" name="maria_83" securityDescriptor="O:WDG:WDD:(A;;CC;;;S-1-5-21-3048853270-2157241324-869001692-3245)(A;;CC;;;S-1-5-21-3048853270-2157241324-869001692-1007)"/>
    <protectedRange sqref="AI418:AJ418" name="maria_84" securityDescriptor="O:WDG:WDD:(A;;CC;;;S-1-5-21-3048853270-2157241324-869001692-3245)(A;;CC;;;S-1-5-21-3048853270-2157241324-869001692-1007)"/>
    <protectedRange sqref="AI419:AJ419" name="maria_85" securityDescriptor="O:WDG:WDD:(A;;CC;;;S-1-5-21-3048853270-2157241324-869001692-3245)(A;;CC;;;S-1-5-21-3048853270-2157241324-869001692-1007)"/>
    <protectedRange sqref="AI420:AJ420" name="maria_87" securityDescriptor="O:WDG:WDD:(A;;CC;;;S-1-5-21-3048853270-2157241324-869001692-3245)(A;;CC;;;S-1-5-21-3048853270-2157241324-869001692-1007)"/>
    <protectedRange sqref="AI421:AJ421" name="maria_88" securityDescriptor="O:WDG:WDD:(A;;CC;;;S-1-5-21-3048853270-2157241324-869001692-3245)(A;;CC;;;S-1-5-21-3048853270-2157241324-869001692-1007)"/>
    <protectedRange sqref="AI422:AJ422" name="maria_89" securityDescriptor="O:WDG:WDD:(A;;CC;;;S-1-5-21-3048853270-2157241324-869001692-3245)(A;;CC;;;S-1-5-21-3048853270-2157241324-869001692-1007)"/>
    <protectedRange sqref="AI424:AJ424" name="maria_91" securityDescriptor="O:WDG:WDD:(A;;CC;;;S-1-5-21-3048853270-2157241324-869001692-3245)(A;;CC;;;S-1-5-21-3048853270-2157241324-869001692-1007)"/>
    <protectedRange sqref="AI425:AJ425" name="maria_92" securityDescriptor="O:WDG:WDD:(A;;CC;;;S-1-5-21-3048853270-2157241324-869001692-3245)(A;;CC;;;S-1-5-21-3048853270-2157241324-869001692-1007)"/>
    <protectedRange sqref="AI426:AJ426" name="maria_93" securityDescriptor="O:WDG:WDD:(A;;CC;;;S-1-5-21-3048853270-2157241324-869001692-3245)(A;;CC;;;S-1-5-21-3048853270-2157241324-869001692-1007)"/>
    <protectedRange sqref="AI427:AJ427" name="maria_95" securityDescriptor="O:WDG:WDD:(A;;CC;;;S-1-5-21-3048853270-2157241324-869001692-3245)(A;;CC;;;S-1-5-21-3048853270-2157241324-869001692-1007)"/>
    <protectedRange sqref="AI428:AJ428" name="maria_96" securityDescriptor="O:WDG:WDD:(A;;CC;;;S-1-5-21-3048853270-2157241324-869001692-3245)(A;;CC;;;S-1-5-21-3048853270-2157241324-869001692-1007)"/>
    <protectedRange sqref="AI432:AJ432" name="maria_98" securityDescriptor="O:WDG:WDD:(A;;CC;;;S-1-5-21-3048853270-2157241324-869001692-3245)(A;;CC;;;S-1-5-21-3048853270-2157241324-869001692-1007)"/>
    <protectedRange sqref="AI433:AJ433 G553" name="maria_99" securityDescriptor="O:WDG:WDD:(A;;CC;;;S-1-5-21-3048853270-2157241324-869001692-3245)(A;;CC;;;S-1-5-21-3048853270-2157241324-869001692-1007)"/>
    <protectedRange sqref="AI446:AJ446" name="maria_7_1" securityDescriptor="O:WDG:WDD:(A;;CC;;;S-1-5-21-3048853270-2157241324-869001692-3245)(A;;CC;;;S-1-5-21-3048853270-2157241324-869001692-1007)"/>
    <protectedRange sqref="AI259:AJ259" name="maria_30_1" securityDescriptor="O:WDG:WDD:(A;;CC;;;S-1-5-21-3048853270-2157241324-869001692-3245)(A;;CC;;;S-1-5-21-3048853270-2157241324-869001692-1007)"/>
    <protectedRange sqref="AI280:AJ280" name="maria_28_1" securityDescriptor="O:WDG:WDD:(A;;CC;;;S-1-5-21-3048853270-2157241324-869001692-3245)(A;;CC;;;S-1-5-21-3048853270-2157241324-869001692-1007)"/>
    <protectedRange sqref="AI281:AJ281" name="maria_29_1" securityDescriptor="O:WDG:WDD:(A;;CC;;;S-1-5-21-3048853270-2157241324-869001692-3245)(A;;CC;;;S-1-5-21-3048853270-2157241324-869001692-1007)"/>
    <protectedRange sqref="AI282:AJ282" name="maria_29_2" securityDescriptor="O:WDG:WDD:(A;;CC;;;S-1-5-21-3048853270-2157241324-869001692-3245)(A;;CC;;;S-1-5-21-3048853270-2157241324-869001692-1007)"/>
    <protectedRange sqref="AI236:AJ236" name="maria_35_3" securityDescriptor="O:WDG:WDD:(A;;CC;;;S-1-5-21-3048853270-2157241324-869001692-3245)(A;;CC;;;S-1-5-21-3048853270-2157241324-869001692-1007)"/>
    <protectedRange sqref="AI237:AJ239" name="maria_35_4" securityDescriptor="O:WDG:WDD:(A;;CC;;;S-1-5-21-3048853270-2157241324-869001692-3245)(A;;CC;;;S-1-5-21-3048853270-2157241324-869001692-1007)"/>
    <protectedRange sqref="AI304:AJ304" name="maria_33_4" securityDescriptor="O:WDG:WDD:(A;;CC;;;S-1-5-21-3048853270-2157241324-869001692-3245)(A;;CC;;;S-1-5-21-3048853270-2157241324-869001692-1007)"/>
    <protectedRange sqref="AK296:XFD297 E296:E299 P296:Q299" name="maria_56" securityDescriptor="O:WDG:WDD:(A;;CC;;;S-1-5-21-3048853270-2157241324-869001692-3245)(A;;CC;;;S-1-5-21-3048853270-2157241324-869001692-1007)"/>
    <protectedRange sqref="D296 D298:D299" name="maria_5_1" securityDescriptor="O:WDG:WDD:(A;;CC;;;S-1-5-21-3048853270-2157241324-869001692-3245)(A;;CC;;;S-1-5-21-3048853270-2157241324-869001692-1007)"/>
    <protectedRange sqref="AF296:AF297" name="maria_1_1_7_5" securityDescriptor="O:WDG:WDD:(A;;CC;;;S-1-5-21-3048853270-2157241324-869001692-3245)(A;;CC;;;S-1-5-21-3048853270-2157241324-869001692-1007)"/>
    <protectedRange sqref="R296:AC297" name="maria_33_5" securityDescriptor="O:WDG:WDD:(A;;CC;;;S-1-5-21-3048853270-2157241324-869001692-3245)(A;;CC;;;S-1-5-21-3048853270-2157241324-869001692-1007)"/>
    <protectedRange sqref="M297:O297 M296 O296" name="maria_48_1" securityDescriptor="O:WDG:WDD:(A;;CC;;;S-1-5-21-3048853270-2157241324-869001692-3245)(A;;CC;;;S-1-5-21-3048853270-2157241324-869001692-1007)"/>
    <protectedRange sqref="F300:G302 R300:T302 V300:Z302 AB300:AC302 I300:K302 M301:O302 AE300:AE302 M300 B300:C302 AH300:XFD302" name="maria_59" securityDescriptor="O:WDG:WDD:(A;;CC;;;S-1-5-21-3048853270-2157241324-869001692-3245)(A;;CC;;;S-1-5-21-3048853270-2157241324-869001692-1007)"/>
    <protectedRange sqref="AF300:AF302" name="maria_1_1_7_6" securityDescriptor="O:WDG:WDD:(A;;CC;;;S-1-5-21-3048853270-2157241324-869001692-3245)(A;;CC;;;S-1-5-21-3048853270-2157241324-869001692-1007)"/>
    <protectedRange sqref="AA300:AA302" name="maria_26_2" securityDescriptor="O:WDG:WDD:(A;;CC;;;S-1-5-21-3048853270-2157241324-869001692-3245)(A;;CC;;;S-1-5-21-3048853270-2157241324-869001692-1007)"/>
    <protectedRange sqref="U300:U302" name="maria_1_1_22_1" securityDescriptor="O:WDG:WDD:(A;;CC;;;S-1-5-21-3048853270-2157241324-869001692-3245)(A;;CC;;;S-1-5-21-3048853270-2157241324-869001692-1007)"/>
    <protectedRange sqref="P300:Q302 E300:E302" name="maria_56_1" securityDescriptor="O:WDG:WDD:(A;;CC;;;S-1-5-21-3048853270-2157241324-869001692-3245)(A;;CC;;;S-1-5-21-3048853270-2157241324-869001692-1007)"/>
    <protectedRange sqref="D300" name="maria_5_1_1" securityDescriptor="O:WDG:WDD:(A;;CC;;;S-1-5-21-3048853270-2157241324-869001692-3245)(A;;CC;;;S-1-5-21-3048853270-2157241324-869001692-1007)"/>
    <protectedRange sqref="V139" name="maria_61" securityDescriptor="O:WDG:WDD:(A;;CC;;;S-1-5-21-3048853270-2157241324-869001692-3245)(A;;CC;;;S-1-5-21-3048853270-2157241324-869001692-1007)"/>
    <protectedRange algorithmName="SHA-512" hashValue="lGxgJO7OrK4RnR9Q5GyLdphtXSoKHWuU/DeqTwJZs4H1lZxtBvfwyidbkva9W10WZdVConxSMgW/uAS6mxdKPg==" saltValue="rUT2GzIQhp6pti72S74yRQ==" spinCount="100000" sqref="C76" name="Aurelian" securityDescriptor="O:WDG:WDD:(A;;CC;;;S-1-5-21-3048853270-2157241324-869001692-3245)"/>
    <protectedRange algorithmName="SHA-512" hashValue="lGxgJO7OrK4RnR9Q5GyLdphtXSoKHWuU/DeqTwJZs4H1lZxtBvfwyidbkva9W10WZdVConxSMgW/uAS6mxdKPg==" saltValue="rUT2GzIQhp6pti72S74yRQ==" spinCount="100000" sqref="C305 C78" name="Aurelian_1" securityDescriptor="O:WDG:WDD:(A;;CC;;;S-1-5-21-3048853270-2157241324-869001692-3245)"/>
    <protectedRange algorithmName="SHA-512" hashValue="lGxgJO7OrK4RnR9Q5GyLdphtXSoKHWuU/DeqTwJZs4H1lZxtBvfwyidbkva9W10WZdVConxSMgW/uAS6mxdKPg==" saltValue="rUT2GzIQhp6pti72S74yRQ==" spinCount="100000" sqref="C79:C82" name="Aurelian_2" securityDescriptor="O:WDG:WDD:(A;;CC;;;S-1-5-21-3048853270-2157241324-869001692-3245)"/>
    <protectedRange algorithmName="SHA-512" hashValue="lGxgJO7OrK4RnR9Q5GyLdphtXSoKHWuU/DeqTwJZs4H1lZxtBvfwyidbkva9W10WZdVConxSMgW/uAS6mxdKPg==" saltValue="rUT2GzIQhp6pti72S74yRQ==" spinCount="100000" sqref="F76" name="Aurelian_3" securityDescriptor="O:WDG:WDD:(A;;CC;;;S-1-5-21-3048853270-2157241324-869001692-3245)"/>
    <protectedRange algorithmName="SHA-512" hashValue="lGxgJO7OrK4RnR9Q5GyLdphtXSoKHWuU/DeqTwJZs4H1lZxtBvfwyidbkva9W10WZdVConxSMgW/uAS6mxdKPg==" saltValue="rUT2GzIQhp6pti72S74yRQ==" spinCount="100000" sqref="F305 F78" name="Aurelian_4" securityDescriptor="O:WDG:WDD:(A;;CC;;;S-1-5-21-3048853270-2157241324-869001692-3245)"/>
    <protectedRange algorithmName="SHA-512" hashValue="lGxgJO7OrK4RnR9Q5GyLdphtXSoKHWuU/DeqTwJZs4H1lZxtBvfwyidbkva9W10WZdVConxSMgW/uAS6mxdKPg==" saltValue="rUT2GzIQhp6pti72S74yRQ==" spinCount="100000" sqref="F79:F82" name="Aurelian_5" securityDescriptor="O:WDG:WDD:(A;;CC;;;S-1-5-21-3048853270-2157241324-869001692-3245)"/>
    <protectedRange sqref="AK175:XFD178 V174:W178 AH174:AH178 M174:O178 R174:T178 Y174:AC178 E174:E175 G174:J178 B174:C178 AE174:AF178" name="maria_67" securityDescriptor="O:WDG:WDD:(A;;CC;;;S-1-5-21-3048853270-2157241324-869001692-3245)(A;;CC;;;S-1-5-21-3048853270-2157241324-869001692-1007)"/>
    <protectedRange sqref="Q165 P174:Q178" name="maria_1_2_2" securityDescriptor="O:WDG:WDD:(A;;CC;;;S-1-5-21-3048853270-2157241324-869001692-3245)(A;;CC;;;S-1-5-21-3048853270-2157241324-869001692-1007)"/>
    <protectedRange sqref="G242:G244 M242:O242 I242:K244 E242 O244 R242:AC244 B242:C244 AH242:XFD244 AE242:AF244" name="maria_1" securityDescriptor="O:WDG:WDD:(A;;CC;;;S-1-5-21-3048853270-2157241324-869001692-3245)(A;;CC;;;S-1-5-21-3048853270-2157241324-869001692-1007)"/>
    <protectedRange sqref="P242:Q242" name="maria_1_2_1" securityDescriptor="O:WDG:WDD:(A;;CC;;;S-1-5-21-3048853270-2157241324-869001692-3245)(A;;CC;;;S-1-5-21-3048853270-2157241324-869001692-1007)"/>
    <protectedRange sqref="R510:AC510 O510:P510 AK510:XFD510 AH510 B510:K510 AE510:AF510" name="maria_73" securityDescriptor="O:WDG:WDD:(A;;CC;;;S-1-5-21-3048853270-2157241324-869001692-3245)(A;;CC;;;S-1-5-21-3048853270-2157241324-869001692-1007)"/>
    <protectedRange sqref="Q510" name="maria_1_2_4" securityDescriptor="O:WDG:WDD:(A;;CC;;;S-1-5-21-3048853270-2157241324-869001692-3245)(A;;CC;;;S-1-5-21-3048853270-2157241324-869001692-1007)"/>
    <protectedRange sqref="J197:K198" name="maria_1_38" securityDescriptor="O:WDG:WDD:(A;;CC;;;S-1-5-21-3048853270-2157241324-869001692-3245)(A;;CC;;;S-1-5-21-3048853270-2157241324-869001692-1007)"/>
    <protectedRange sqref="M197:O198" name="maria_3_2" securityDescriptor="O:WDG:WDD:(A;;CC;;;S-1-5-21-3048853270-2157241324-869001692-3245)(A;;CC;;;S-1-5-21-3048853270-2157241324-869001692-1007)"/>
    <protectedRange sqref="P197:P198" name="maria_1_3_1" securityDescriptor="O:WDG:WDD:(A;;CC;;;S-1-5-21-3048853270-2157241324-869001692-3245)(A;;CC;;;S-1-5-21-3048853270-2157241324-869001692-1007)"/>
    <protectedRange sqref="Q197:Q198" name="maria_1_4_2" securityDescriptor="O:WDG:WDD:(A;;CC;;;S-1-5-21-3048853270-2157241324-869001692-3245)(A;;CC;;;S-1-5-21-3048853270-2157241324-869001692-1007)"/>
    <protectedRange sqref="S197:T198" name="maria_1_39" securityDescriptor="O:WDG:WDD:(A;;CC;;;S-1-5-21-3048853270-2157241324-869001692-3245)(A;;CC;;;S-1-5-21-3048853270-2157241324-869001692-1007)"/>
    <protectedRange sqref="V197:W198" name="maria_1_40" securityDescriptor="O:WDG:WDD:(A;;CC;;;S-1-5-21-3048853270-2157241324-869001692-3245)(A;;CC;;;S-1-5-21-3048853270-2157241324-869001692-1007)"/>
    <protectedRange sqref="Y197:Z198" name="maria_1_41" securityDescriptor="O:WDG:WDD:(A;;CC;;;S-1-5-21-3048853270-2157241324-869001692-3245)(A;;CC;;;S-1-5-21-3048853270-2157241324-869001692-1007)"/>
    <protectedRange sqref="E523:E524" name="maria_2" securityDescriptor="O:WDG:WDD:(A;;CC;;;S-1-5-21-3048853270-2157241324-869001692-3245)(A;;CC;;;S-1-5-21-3048853270-2157241324-869001692-1007)"/>
    <protectedRange sqref="D523:D524" name="maria_36_1_1" securityDescriptor="O:WDG:WDD:(A;;CC;;;S-1-5-21-3048853270-2157241324-869001692-3245)(A;;CC;;;S-1-5-21-3048853270-2157241324-869001692-1007)"/>
    <protectedRange sqref="G523" name="maria_1_42" securityDescriptor="O:WDG:WDD:(A;;CC;;;S-1-5-21-3048853270-2157241324-869001692-3245)(A;;CC;;;S-1-5-21-3048853270-2157241324-869001692-1007)"/>
    <protectedRange sqref="J535:K535" name="maria_1_44" securityDescriptor="O:WDG:WDD:(A;;CC;;;S-1-5-21-3048853270-2157241324-869001692-3245)(A;;CC;;;S-1-5-21-3048853270-2157241324-869001692-1007)"/>
    <protectedRange sqref="I535" name="maria_1_48" securityDescriptor="O:WDG:WDD:(A;;CC;;;S-1-5-21-3048853270-2157241324-869001692-3245)(A;;CC;;;S-1-5-21-3048853270-2157241324-869001692-1007)"/>
    <protectedRange sqref="J537:K552" name="maria_1_2" securityDescriptor="O:WDG:WDD:(A;;CC;;;S-1-5-21-3048853270-2157241324-869001692-3245)(A;;CC;;;S-1-5-21-3048853270-2157241324-869001692-1007)"/>
    <protectedRange sqref="S537:T546" name="maria_1_43" securityDescriptor="O:WDG:WDD:(A;;CC;;;S-1-5-21-3048853270-2157241324-869001692-3245)(A;;CC;;;S-1-5-21-3048853270-2157241324-869001692-1007)"/>
    <protectedRange sqref="Y537:Z552 Y554:Z588" name="maria_1_45" securityDescriptor="O:WDG:WDD:(A;;CC;;;S-1-5-21-3048853270-2157241324-869001692-3245)(A;;CC;;;S-1-5-21-3048853270-2157241324-869001692-1007)"/>
    <protectedRange sqref="B554:C588 B541:C552" name="maria_1_46" securityDescriptor="O:WDG:WDD:(A;;CC;;;S-1-5-21-3048853270-2157241324-869001692-3245)(A;;CC;;;S-1-5-21-3048853270-2157241324-869001692-1007)"/>
    <protectedRange sqref="H545:H552 G331 G556:G559 F544 H544:I544 G561:G563 G548 F541:I543 G530 G524 G506 G499 G375 G350 G337 G322:G323 G320 G566 H554:H588" name="maria_1_47" securityDescriptor="O:WDG:WDD:(A;;CC;;;S-1-5-21-3048853270-2157241324-869001692-3245)(A;;CC;;;S-1-5-21-3048853270-2157241324-869001692-1007)"/>
    <protectedRange sqref="F545:G547 F554:G555 F556:F566 F550:G552 F548:F549" name="maria_1_49" securityDescriptor="O:WDG:WDD:(A;;CC;;;S-1-5-21-3048853270-2157241324-869001692-3245)(A;;CC;;;S-1-5-21-3048853270-2157241324-869001692-1007)"/>
    <protectedRange sqref="I545:I552 I554:I566" name="maria_1_50" securityDescriptor="O:WDG:WDD:(A;;CC;;;S-1-5-21-3048853270-2157241324-869001692-3245)(A;;CC;;;S-1-5-21-3048853270-2157241324-869001692-1007)"/>
    <protectedRange sqref="S547:T552 S554:T588" name="maria_1_51" securityDescriptor="O:WDG:WDD:(A;;CC;;;S-1-5-21-3048853270-2157241324-869001692-3245)(A;;CC;;;S-1-5-21-3048853270-2157241324-869001692-1007)"/>
    <protectedRange sqref="G15:G18" name="maria_63" securityDescriptor="O:WDG:WDD:(A;;CC;;;S-1-5-21-3048853270-2157241324-869001692-3245)(A;;CC;;;S-1-5-21-3048853270-2157241324-869001692-1007)"/>
    <protectedRange sqref="M15:O18 E151:F151 H151:K151 M151:M152 E15:F18 H15:K18 B15:C18" name="maria_5_2" securityDescriptor="O:WDG:WDD:(A;;CC;;;S-1-5-21-3048853270-2157241324-869001692-3245)(A;;CC;;;S-1-5-21-3048853270-2157241324-869001692-1007)"/>
    <protectedRange sqref="P151:Q151 P152 Q202:Q203 P15:Q18 P277:Q279" name="maria_1_5_1" securityDescriptor="O:WDG:WDD:(A;;CC;;;S-1-5-21-3048853270-2157241324-869001692-3245)(A;;CC;;;S-1-5-21-3048853270-2157241324-869001692-1007)"/>
    <protectedRange sqref="X15:X18 U15:U18" name="maria_1_1_2_1" securityDescriptor="O:WDG:WDD:(A;;CC;;;S-1-5-21-3048853270-2157241324-869001692-3245)(A;;CC;;;S-1-5-21-3048853270-2157241324-869001692-1007)"/>
    <protectedRange sqref="AE15:AE18 S15:T18 V15:W18 Y15:Z18 AB15:AC18" name="maria_5_3" securityDescriptor="O:WDG:WDD:(A;;CC;;;S-1-5-21-3048853270-2157241324-869001692-3245)(A;;CC;;;S-1-5-21-3048853270-2157241324-869001692-1007)"/>
    <protectedRange sqref="AA15:AA18 R15:R18 AF15:AF18" name="maria_1_1_4_1" securityDescriptor="O:WDG:WDD:(A;;CC;;;S-1-5-21-3048853270-2157241324-869001692-3245)(A;;CC;;;S-1-5-21-3048853270-2157241324-869001692-1007)"/>
    <protectedRange sqref="G91:G92" name="maria_75" securityDescriptor="O:WDG:WDD:(A;;CC;;;S-1-5-21-3048853270-2157241324-869001692-3245)(A;;CC;;;S-1-5-21-3048853270-2157241324-869001692-1007)"/>
    <protectedRange sqref="X90:X92 U90:U92" name="maria_1_1_2_2" securityDescriptor="O:WDG:WDD:(A;;CC;;;S-1-5-21-3048853270-2157241324-869001692-3245)(A;;CC;;;S-1-5-21-3048853270-2157241324-869001692-1007)"/>
    <protectedRange sqref="AE90:AE92 S90:T92 V90:W92 Y90:Z92 AB90:AC92 M92:N92 H90:K92 E53:E54 E90:F92 M90:O91 B90:C92" name="maria_5_4" securityDescriptor="O:WDG:WDD:(A;;CC;;;S-1-5-21-3048853270-2157241324-869001692-3245)(A;;CC;;;S-1-5-21-3048853270-2157241324-869001692-1007)"/>
    <protectedRange sqref="P90:Q92" name="maria_1_5_3" securityDescriptor="O:WDG:WDD:(A;;CC;;;S-1-5-21-3048853270-2157241324-869001692-3245)(A;;CC;;;S-1-5-21-3048853270-2157241324-869001692-1007)"/>
    <protectedRange sqref="AA90:AA92 R90:R92 AF90:AF92" name="maria_1_1_4_2" securityDescriptor="O:WDG:WDD:(A;;CC;;;S-1-5-21-3048853270-2157241324-869001692-3245)(A;;CC;;;S-1-5-21-3048853270-2157241324-869001692-1007)"/>
    <protectedRange sqref="X185:X188 U185:U188" name="maria_1_1_2_3" securityDescriptor="O:WDG:WDD:(A;;CC;;;S-1-5-21-3048853270-2157241324-869001692-3245)(A;;CC;;;S-1-5-21-3048853270-2157241324-869001692-1007)"/>
    <protectedRange sqref="AE185:AE188 S185:T188 V185:W188 Y185:Z188 AB185:AC188 M185:O188 E185:F188 H185:K188 B185:C188" name="maria_5_5" securityDescriptor="O:WDG:WDD:(A;;CC;;;S-1-5-21-3048853270-2157241324-869001692-3245)(A;;CC;;;S-1-5-21-3048853270-2157241324-869001692-1007)"/>
    <protectedRange sqref="P185:Q188" name="maria_1_5_4" securityDescriptor="O:WDG:WDD:(A;;CC;;;S-1-5-21-3048853270-2157241324-869001692-3245)(A;;CC;;;S-1-5-21-3048853270-2157241324-869001692-1007)"/>
    <protectedRange sqref="AA185:AA188 R185:R188 AF185:AF188" name="maria_1_1_4_3" securityDescriptor="O:WDG:WDD:(A;;CC;;;S-1-5-21-3048853270-2157241324-869001692-3245)(A;;CC;;;S-1-5-21-3048853270-2157241324-869001692-1007)"/>
    <protectedRange sqref="E250:E252" name="maria_5_6" securityDescriptor="O:WDG:WDD:(A;;CC;;;S-1-5-21-3048853270-2157241324-869001692-3245)(A;;CC;;;S-1-5-21-3048853270-2157241324-869001692-1007)"/>
    <protectedRange sqref="E165 E176:E178" name="maria_5_7" securityDescriptor="O:WDG:WDD:(A;;CC;;;S-1-5-21-3048853270-2157241324-869001692-3245)(A;;CC;;;S-1-5-21-3048853270-2157241324-869001692-1007)"/>
    <protectedRange sqref="E268 E160 E202:E203 E198 E217:E218 E36:E38 E210:E213 E238:E239 E277:E279" name="maria_5_8" securityDescriptor="O:WDG:WDD:(A;;CC;;;S-1-5-21-3048853270-2157241324-869001692-3245)(A;;CC;;;S-1-5-21-3048853270-2157241324-869001692-1007)"/>
    <protectedRange sqref="E292:E293" name="maria_5_9" securityDescriptor="O:WDG:WDD:(A;;CC;;;S-1-5-21-3048853270-2157241324-869001692-3245)(A;;CC;;;S-1-5-21-3048853270-2157241324-869001692-1007)"/>
    <protectedRange sqref="H99:K99 M99:O99 E99:F99 B99:C99" name="maria_5_10" securityDescriptor="O:WDG:WDD:(A;;CC;;;S-1-5-21-3048853270-2157241324-869001692-3245)(A;;CC;;;S-1-5-21-3048853270-2157241324-869001692-1007)"/>
    <protectedRange sqref="P99:Q99" name="maria_1_5_5" securityDescriptor="O:WDG:WDD:(A;;CC;;;S-1-5-21-3048853270-2157241324-869001692-3245)(A;;CC;;;S-1-5-21-3048853270-2157241324-869001692-1007)"/>
    <protectedRange sqref="S99:T99" name="maria_5_11" securityDescriptor="O:WDG:WDD:(A;;CC;;;S-1-5-21-3048853270-2157241324-869001692-3245)(A;;CC;;;S-1-5-21-3048853270-2157241324-869001692-1007)"/>
    <protectedRange sqref="V99:W99" name="maria_5_12" securityDescriptor="O:WDG:WDD:(A;;CC;;;S-1-5-21-3048853270-2157241324-869001692-3245)(A;;CC;;;S-1-5-21-3048853270-2157241324-869001692-1007)"/>
    <protectedRange sqref="Y99:Z99" name="maria_5_13" securityDescriptor="O:WDG:WDD:(A;;CC;;;S-1-5-21-3048853270-2157241324-869001692-3245)(A;;CC;;;S-1-5-21-3048853270-2157241324-869001692-1007)"/>
    <protectedRange sqref="AB99:AC99" name="maria_5_14" securityDescriptor="O:WDG:WDD:(A;;CC;;;S-1-5-21-3048853270-2157241324-869001692-3245)(A;;CC;;;S-1-5-21-3048853270-2157241324-869001692-1007)"/>
    <protectedRange sqref="G152" name="maria_86" securityDescriptor="O:WDG:WDD:(A;;CC;;;S-1-5-21-3048853270-2157241324-869001692-3245)(A;;CC;;;S-1-5-21-3048853270-2157241324-869001692-1007)"/>
    <protectedRange sqref="H152:K152 E152:F152 B152:C152" name="maria_5_15" securityDescriptor="O:WDG:WDD:(A;;CC;;;S-1-5-21-3048853270-2157241324-869001692-3245)(A;;CC;;;S-1-5-21-3048853270-2157241324-869001692-1007)"/>
    <protectedRange sqref="Q152" name="maria_1_5_6" securityDescriptor="O:WDG:WDD:(A;;CC;;;S-1-5-21-3048853270-2157241324-869001692-3245)(A;;CC;;;S-1-5-21-3048853270-2157241324-869001692-1007)"/>
    <protectedRange sqref="S152:T152" name="maria_5_16" securityDescriptor="O:WDG:WDD:(A;;CC;;;S-1-5-21-3048853270-2157241324-869001692-3245)(A;;CC;;;S-1-5-21-3048853270-2157241324-869001692-1007)"/>
    <protectedRange sqref="V152:W152" name="maria_5_17" securityDescriptor="O:WDG:WDD:(A;;CC;;;S-1-5-21-3048853270-2157241324-869001692-3245)(A;;CC;;;S-1-5-21-3048853270-2157241324-869001692-1007)"/>
    <protectedRange sqref="Y152:Z152" name="maria_5_18" securityDescriptor="O:WDG:WDD:(A;;CC;;;S-1-5-21-3048853270-2157241324-869001692-3245)(A;;CC;;;S-1-5-21-3048853270-2157241324-869001692-1007)"/>
    <protectedRange sqref="E103:F105 H103:I103 I104:I105 B103:C105" name="maria_5_19" securityDescriptor="O:WDG:WDD:(A;;CC;;;S-1-5-21-3048853270-2157241324-869001692-3245)(A;;CC;;;S-1-5-21-3048853270-2157241324-869001692-1007)"/>
    <protectedRange sqref="J103:K105" name="maria_5_20" securityDescriptor="O:WDG:WDD:(A;;CC;;;S-1-5-21-3048853270-2157241324-869001692-3245)(A;;CC;;;S-1-5-21-3048853270-2157241324-869001692-1007)"/>
    <protectedRange sqref="O103 M103:M105" name="maria_5_21" securityDescriptor="O:WDG:WDD:(A;;CC;;;S-1-5-21-3048853270-2157241324-869001692-3245)(A;;CC;;;S-1-5-21-3048853270-2157241324-869001692-1007)"/>
    <protectedRange sqref="P103:Q105" name="maria_1_5_7" securityDescriptor="O:WDG:WDD:(A;;CC;;;S-1-5-21-3048853270-2157241324-869001692-3245)(A;;CC;;;S-1-5-21-3048853270-2157241324-869001692-1007)"/>
    <protectedRange sqref="N103:N105" name="maria_11_1" securityDescriptor="O:WDG:WDD:(A;;CC;;;S-1-5-21-3048853270-2157241324-869001692-3245)(A;;CC;;;S-1-5-21-3048853270-2157241324-869001692-1007)"/>
    <protectedRange sqref="S103:T105" name="maria_5_22" securityDescriptor="O:WDG:WDD:(A;;CC;;;S-1-5-21-3048853270-2157241324-869001692-3245)(A;;CC;;;S-1-5-21-3048853270-2157241324-869001692-1007)"/>
    <protectedRange sqref="V103:W105" name="maria_5_23" securityDescriptor="O:WDG:WDD:(A;;CC;;;S-1-5-21-3048853270-2157241324-869001692-3245)(A;;CC;;;S-1-5-21-3048853270-2157241324-869001692-1007)"/>
    <protectedRange sqref="E231" name="maria_5_24" securityDescriptor="O:WDG:WDD:(A;;CC;;;S-1-5-21-3048853270-2157241324-869001692-3245)(A;;CC;;;S-1-5-21-3048853270-2157241324-869001692-1007)"/>
    <protectedRange sqref="Q231" name="maria_1_5_8" securityDescriptor="O:WDG:WDD:(A;;CC;;;S-1-5-21-3048853270-2157241324-869001692-3245)(A;;CC;;;S-1-5-21-3048853270-2157241324-869001692-1007)"/>
    <protectedRange sqref="E288:E289" name="maria_5_25" securityDescriptor="O:WDG:WDD:(A;;CC;;;S-1-5-21-3048853270-2157241324-869001692-3245)(A;;CC;;;S-1-5-21-3048853270-2157241324-869001692-1007)"/>
    <protectedRange sqref="Q288:Q289" name="maria_1_5_9" securityDescriptor="O:WDG:WDD:(A;;CC;;;S-1-5-21-3048853270-2157241324-869001692-3245)(A;;CC;;;S-1-5-21-3048853270-2157241324-869001692-1007)"/>
    <protectedRange sqref="E130 E123:E125" name="maria_5_26" securityDescriptor="O:WDG:WDD:(A;;CC;;;S-1-5-21-3048853270-2157241324-869001692-3245)(A;;CC;;;S-1-5-21-3048853270-2157241324-869001692-1007)"/>
    <protectedRange sqref="Q130" name="maria_1_5_10" securityDescriptor="O:WDG:WDD:(A;;CC;;;S-1-5-21-3048853270-2157241324-869001692-3245)(A;;CC;;;S-1-5-21-3048853270-2157241324-869001692-1007)"/>
    <protectedRange sqref="E113:E116" name="maria_5_27" securityDescriptor="O:WDG:WDD:(A;;CC;;;S-1-5-21-3048853270-2157241324-869001692-3245)(A;;CC;;;S-1-5-21-3048853270-2157241324-869001692-1007)"/>
    <protectedRange sqref="P113:Q116" name="maria_1_5_11" securityDescriptor="O:WDG:WDD:(A;;CC;;;S-1-5-21-3048853270-2157241324-869001692-3245)(A;;CC;;;S-1-5-21-3048853270-2157241324-869001692-1007)"/>
    <protectedRange sqref="E29" name="maria_5_28" securityDescriptor="O:WDG:WDD:(A;;CC;;;S-1-5-21-3048853270-2157241324-869001692-3245)(A;;CC;;;S-1-5-21-3048853270-2157241324-869001692-1007)"/>
    <protectedRange sqref="H48:K48 E48:F48 B48:C48" name="maria_5_29" securityDescriptor="O:WDG:WDD:(A;;CC;;;S-1-5-21-3048853270-2157241324-869001692-3245)(A;;CC;;;S-1-5-21-3048853270-2157241324-869001692-1007)"/>
    <protectedRange sqref="M48:O48" name="maria_5_30" securityDescriptor="O:WDG:WDD:(A;;CC;;;S-1-5-21-3048853270-2157241324-869001692-3245)(A;;CC;;;S-1-5-21-3048853270-2157241324-869001692-1007)"/>
    <protectedRange sqref="P48:Q48" name="maria_1_5_12" securityDescriptor="O:WDG:WDD:(A;;CC;;;S-1-5-21-3048853270-2157241324-869001692-3245)(A;;CC;;;S-1-5-21-3048853270-2157241324-869001692-1007)"/>
    <protectedRange sqref="S48:T48" name="maria_5_31" securityDescriptor="O:WDG:WDD:(A;;CC;;;S-1-5-21-3048853270-2157241324-869001692-3245)(A;;CC;;;S-1-5-21-3048853270-2157241324-869001692-1007)"/>
    <protectedRange sqref="V48:W48" name="maria_5_32" securityDescriptor="O:WDG:WDD:(A;;CC;;;S-1-5-21-3048853270-2157241324-869001692-3245)(A;;CC;;;S-1-5-21-3048853270-2157241324-869001692-1007)"/>
    <protectedRange sqref="Y48:Z48" name="maria_5_33" securityDescriptor="O:WDG:WDD:(A;;CC;;;S-1-5-21-3048853270-2157241324-869001692-3245)(A;;CC;;;S-1-5-21-3048853270-2157241324-869001692-1007)"/>
    <protectedRange sqref="E243:E244" name="maria_5_34" securityDescriptor="O:WDG:WDD:(A;;CC;;;S-1-5-21-3048853270-2157241324-869001692-3245)(A;;CC;;;S-1-5-21-3048853270-2157241324-869001692-1007)"/>
    <protectedRange sqref="Q243:Q244" name="maria_1_5_13" securityDescriptor="O:WDG:WDD:(A;;CC;;;S-1-5-21-3048853270-2157241324-869001692-3245)(A;;CC;;;S-1-5-21-3048853270-2157241324-869001692-1007)"/>
    <protectedRange sqref="E68:E69 E59" name="maria_5_35" securityDescriptor="O:WDG:WDD:(A;;CC;;;S-1-5-21-3048853270-2157241324-869001692-3245)(A;;CC;;;S-1-5-21-3048853270-2157241324-869001692-1007)"/>
    <protectedRange sqref="Q68:Q69" name="maria_1_5_14" securityDescriptor="O:WDG:WDD:(A;;CC;;;S-1-5-21-3048853270-2157241324-869001692-3245)(A;;CC;;;S-1-5-21-3048853270-2157241324-869001692-1007)"/>
    <protectedRange sqref="E255:E258 E263" name="maria_5_36" securityDescriptor="O:WDG:WDD:(A;;CC;;;S-1-5-21-3048853270-2157241324-869001692-3245)(A;;CC;;;S-1-5-21-3048853270-2157241324-869001692-1007)"/>
    <protectedRange sqref="P255:Q258" name="maria_1_5_15" securityDescriptor="O:WDG:WDD:(A;;CC;;;S-1-5-21-3048853270-2157241324-869001692-3245)(A;;CC;;;S-1-5-21-3048853270-2157241324-869001692-1007)"/>
    <protectedRange sqref="E190:E191" name="maria_5_38" securityDescriptor="O:WDG:WDD:(A;;CC;;;S-1-5-21-3048853270-2157241324-869001692-3245)(A;;CC;;;S-1-5-21-3048853270-2157241324-869001692-1007)"/>
    <protectedRange sqref="P190:Q191" name="maria_1_5_16" securityDescriptor="O:WDG:WDD:(A;;CC;;;S-1-5-21-3048853270-2157241324-869001692-3245)(A;;CC;;;S-1-5-21-3048853270-2157241324-869001692-1007)"/>
    <protectedRange sqref="E269" name="maria_5_37" securityDescriptor="O:WDG:WDD:(A;;CC;;;S-1-5-21-3048853270-2157241324-869001692-3245)(A;;CC;;;S-1-5-21-3048853270-2157241324-869001692-1007)"/>
    <protectedRange sqref="Q269" name="maria_1_5_17" securityDescriptor="O:WDG:WDD:(A;;CC;;;S-1-5-21-3048853270-2157241324-869001692-3245)(A;;CC;;;S-1-5-21-3048853270-2157241324-869001692-1007)"/>
    <protectedRange sqref="G140" name="maria_3" securityDescriptor="O:WDG:WDD:(A;;CC;;;S-1-5-21-3048853270-2157241324-869001692-3245)(A;;CC;;;S-1-5-21-3048853270-2157241324-869001692-1007)"/>
    <protectedRange sqref="E140:F140 H140:I140" name="maria_5_39" securityDescriptor="O:WDG:WDD:(A;;CC;;;S-1-5-21-3048853270-2157241324-869001692-3245)(A;;CC;;;S-1-5-21-3048853270-2157241324-869001692-1007)"/>
    <protectedRange sqref="J140:K140" name="maria_5_40" securityDescriptor="O:WDG:WDD:(A;;CC;;;S-1-5-21-3048853270-2157241324-869001692-3245)(A;;CC;;;S-1-5-21-3048853270-2157241324-869001692-1007)"/>
    <protectedRange sqref="Q140" name="maria_1_5_18" securityDescriptor="O:WDG:WDD:(A;;CC;;;S-1-5-21-3048853270-2157241324-869001692-3245)(A;;CC;;;S-1-5-21-3048853270-2157241324-869001692-1007)"/>
    <protectedRange sqref="S140:T140" name="maria_5_41" securityDescriptor="O:WDG:WDD:(A;;CC;;;S-1-5-21-3048853270-2157241324-869001692-3245)(A;;CC;;;S-1-5-21-3048853270-2157241324-869001692-1007)"/>
    <protectedRange sqref="V140:W140" name="maria_5_42" securityDescriptor="O:WDG:WDD:(A;;CC;;;S-1-5-21-3048853270-2157241324-869001692-3245)(A;;CC;;;S-1-5-21-3048853270-2157241324-869001692-1007)"/>
    <protectedRange sqref="Y140:Z140" name="maria_5_43" securityDescriptor="O:WDG:WDD:(A;;CC;;;S-1-5-21-3048853270-2157241324-869001692-3245)(A;;CC;;;S-1-5-21-3048853270-2157241324-869001692-1007)"/>
    <protectedRange sqref="H117:I117 F117 B117:C117" name="maria_5_44" securityDescriptor="O:WDG:WDD:(A;;CC;;;S-1-5-21-3048853270-2157241324-869001692-3245)(A;;CC;;;S-1-5-21-3048853270-2157241324-869001692-1007)"/>
    <protectedRange sqref="E117" name="maria_5_2_1" securityDescriptor="O:WDG:WDD:(A;;CC;;;S-1-5-21-3048853270-2157241324-869001692-3245)(A;;CC;;;S-1-5-21-3048853270-2157241324-869001692-1007)"/>
    <protectedRange sqref="J117:K117" name="maria_5_45" securityDescriptor="O:WDG:WDD:(A;;CC;;;S-1-5-21-3048853270-2157241324-869001692-3245)(A;;CC;;;S-1-5-21-3048853270-2157241324-869001692-1007)"/>
    <protectedRange sqref="P117:Q117" name="maria_1_5_19" securityDescriptor="O:WDG:WDD:(A;;CC;;;S-1-5-21-3048853270-2157241324-869001692-3245)(A;;CC;;;S-1-5-21-3048853270-2157241324-869001692-1007)"/>
    <protectedRange sqref="H553:I553 F553 B553:C553" name="maria_5_47" securityDescriptor="O:WDG:WDD:(A;;CC;;;S-1-5-21-3048853270-2157241324-869001692-3245)(A;;CC;;;S-1-5-21-3048853270-2157241324-869001692-1007)"/>
    <protectedRange sqref="J553:K588" name="maria_5_48" securityDescriptor="O:WDG:WDD:(A;;CC;;;S-1-5-21-3048853270-2157241324-869001692-3245)(A;;CC;;;S-1-5-21-3048853270-2157241324-869001692-1007)"/>
    <protectedRange sqref="Q553:Q588" name="maria_1_5_20" securityDescriptor="O:WDG:WDD:(A;;CC;;;S-1-5-21-3048853270-2157241324-869001692-3245)(A;;CC;;;S-1-5-21-3048853270-2157241324-869001692-1007)"/>
    <protectedRange sqref="S553:T553" name="maria_5_49" securityDescriptor="O:WDG:WDD:(A;;CC;;;S-1-5-21-3048853270-2157241324-869001692-3245)(A;;CC;;;S-1-5-21-3048853270-2157241324-869001692-1007)"/>
    <protectedRange sqref="Y553:Z553" name="maria_5_50" securityDescriptor="O:WDG:WDD:(A;;CC;;;S-1-5-21-3048853270-2157241324-869001692-3245)(A;;CC;;;S-1-5-21-3048853270-2157241324-869001692-1007)"/>
    <protectedRange sqref="G567:G568 G570:G583 G429 G484 G464 G341 G305 G585:G588" name="maria_90" securityDescriptor="O:WDG:WDD:(A;;CC;;;S-1-5-21-3048853270-2157241324-869001692-3245)(A;;CC;;;S-1-5-21-3048853270-2157241324-869001692-1007)"/>
    <protectedRange sqref="F567:F588 I567:I588" name="maria_5_51" securityDescriptor="O:WDG:WDD:(A;;CC;;;S-1-5-21-3048853270-2157241324-869001692-3245)(A;;CC;;;S-1-5-21-3048853270-2157241324-869001692-1007)"/>
  </protectedRanges>
  <autoFilter ref="A1:XFC588" xr:uid="{D91F366E-CCBF-4326-82CB-8923B06BC965}">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34" showButton="0"/>
  </autoFilter>
  <sortState xmlns:xlrd2="http://schemas.microsoft.com/office/spreadsheetml/2017/richdata2" ref="A4:AJ121">
    <sortCondition descending="1" ref="D4:D49"/>
    <sortCondition ref="C4:C49"/>
  </sortState>
  <customSheetViews>
    <customSheetView guid="{5AAA4DFE-88B1-4674-95ED-5FCD7A50BC22}" scale="70" showPageBreaks="1" fitToPage="1" printArea="1" filter="1" showAutoFilter="1" topLeftCell="C348">
      <selection activeCell="I699" sqref="I699"/>
      <pageMargins left="0.70866141732283472" right="0.70866141732283472" top="0.74803149606299213" bottom="0.74803149606299213" header="0.31496062992125984" footer="0.31496062992125984"/>
      <pageSetup paperSize="8" scale="21" fitToHeight="0" orientation="landscape" horizontalDpi="4294967294" verticalDpi="4294967294" r:id="rId1"/>
      <headerFooter>
        <oddHeader>&amp;CLISTA PROIECTELOR CONTRACTATE - PROGRAMUL OPERATIONAl CAPACITATE ADMINISTRATIVĂ</oddHeader>
        <oddFooter>Page &amp;P of &amp;N</oddFooter>
      </headerFooter>
      <autoFilter ref="A4:DG679" xr:uid="{19B23E9F-5CC0-4E29-A3E0-DC42A3FB5604}">
        <filterColumn colId="2">
          <filters>
            <filter val="498"/>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1CC91F84-AEF4-4042-AB5F-6C7D03A1F066}" scale="70" showPageBreaks="1" fitToPage="1" printArea="1" showAutoFilter="1" topLeftCell="V437">
      <selection activeCell="AG438" sqref="AG438"/>
      <pageMargins left="0.70866141732283472" right="0.70866141732283472" top="0.74803149606299213" bottom="0.74803149606299213" header="0.31496062992125984" footer="0.31496062992125984"/>
      <pageSetup paperSize="8" scale="13" fitToHeight="0" orientation="landscape" r:id="rId2"/>
      <headerFooter>
        <oddHeader>&amp;CLISTA PROIECTELOR CONTRACTATE - PROGRAMUL OPERATIONAl CAPACITATE ADMINISTRATIVĂ</oddHeader>
        <oddFooter>Page &amp;P of &amp;N</oddFooter>
      </headerFooter>
      <autoFilter ref="A6:XFD679" xr:uid="{6F18ECCF-8B43-4F6A-A68B-A62AB577DC22}"/>
    </customSheetView>
    <customSheetView guid="{FE50EAC0-52A5-4C33-B973-65E93D03D3EA}" scale="73" showPageBreaks="1" fitToPage="1" printArea="1" filter="1" showAutoFilter="1" topLeftCell="J1">
      <selection activeCell="K155" sqref="K155"/>
      <pageMargins left="0.70866141732283472" right="0.70866141732283472" top="0.74803149606299213" bottom="0.74803149606299213" header="0.31496062992125984" footer="0.31496062992125984"/>
      <pageSetup paperSize="8" scale="21" fitToHeight="0" orientation="landscape" horizontalDpi="4294967294" verticalDpi="4294967294" r:id="rId3"/>
      <headerFooter>
        <oddHeader>&amp;CLISTA PROIECTELOR CONTRACTATE - PROGRAMUL OPERATIONAl CAPACITATE ADMINISTRATIVĂ</oddHeader>
        <oddFooter>Page &amp;P of &amp;N</oddFooter>
      </headerFooter>
      <autoFilter ref="A1:AL658" xr:uid="{E18AA3F8-7170-4BC6-89E5-BC844EAC7709}">
        <filterColumn colId="2">
          <filters>
            <filter val="576"/>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408A2F1-296F-4EAD-B15B-336D73846FDD}" scale="85" showPageBreaks="1" fitToPage="1" printArea="1" showAutoFilter="1">
      <selection activeCell="A4" sqref="A4:A5"/>
      <pageMargins left="0.70866141732283472" right="0.70866141732283472" top="0.74803149606299213" bottom="0.74803149606299213" header="0.31496062992125984" footer="0.31496062992125984"/>
      <pageSetup paperSize="8" scale="20" fitToHeight="0" orientation="landscape" horizontalDpi="4294967294" verticalDpi="4294967294" r:id="rId4"/>
      <headerFooter>
        <oddHeader>&amp;CLISTA PROIECTELOR CONTRACTATE - PROGRAMUL OPERATIONAl CAPACITATE ADMINISTRATIVĂ</oddHeader>
        <oddFooter>Page &amp;P of &amp;N</oddFooter>
      </headerFooter>
      <autoFilter ref="A1:AL658" xr:uid="{B0EEDC32-E726-4325-8F81-5220AF73D545}">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617B00B-5C1E-453A-BF77-BE61E91ACD97}" scale="47" showPageBreaks="1" fitToPage="1" printArea="1" showAutoFilter="1" topLeftCell="A578">
      <selection activeCell="G589" sqref="G589"/>
      <pageMargins left="0.26" right="0.17" top="0.74803149606299213" bottom="0.74803149606299213" header="0.31496062992125984" footer="0.31496062992125984"/>
      <pageSetup paperSize="9" scale="10" orientation="landscape" horizontalDpi="4294967294" verticalDpi="4294967294" r:id="rId5"/>
      <headerFooter>
        <oddHeader>&amp;CLISTA PROIECTELOR CONTRACTATE - PROGRAMUL OPERATIONAl CAPACITATE ADMINISTRATIVĂ</oddHeader>
        <oddFooter>Page &amp;P of &amp;N</oddFooter>
      </headerFooter>
      <autoFilter ref="A1:DG715" xr:uid="{8A89676A-B4C8-4234-8C81-2784D8E08A81}">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F10298D-3F59-43F1-9A86-8C1CCA3B5D93}" scale="60" showPageBreaks="1" fitToPage="1" printArea="1" showAutoFilter="1" topLeftCell="P4">
      <pane ySplit="3" topLeftCell="A489" activePane="bottomLeft" state="frozen"/>
      <selection pane="bottomLeft" activeCell="Y491" sqref="Y491"/>
      <pageMargins left="0.70866141732283472" right="0.70866141732283472" top="0.74803149606299213" bottom="0.74803149606299213" header="0.31496062992125984" footer="0.31496062992125984"/>
      <pageSetup paperSize="8" scale="13" fitToHeight="0" orientation="landscape" r:id="rId6"/>
      <headerFooter>
        <oddHeader>&amp;CLISTA PROIECTELOR CONTRACTATE - PROGRAMUL OPERATIONAl CAPACITATE ADMINISTRATIVĂ</oddHeader>
        <oddFooter>Page &amp;P of &amp;N</oddFooter>
      </headerFooter>
      <autoFilter ref="A6:AL600" xr:uid="{48F000C0-5C17-4753-A39D-E804E29287E0}"/>
    </customSheetView>
    <customSheetView guid="{EB0F2E6A-FA33-479E-9A47-8E3494FBB4DE}" scale="80" showPageBreaks="1" fitToPage="1" printArea="1" showAutoFilter="1">
      <selection activeCell="C7" sqref="C7"/>
      <pageMargins left="0.70866141732283472" right="0.70866141732283472" top="0.74803149606299213" bottom="0.74803149606299213" header="0.31496062992125984" footer="0.31496062992125984"/>
      <pageSetup paperSize="8" scale="21" fitToHeight="0" orientation="landscape" horizontalDpi="4294967294" verticalDpi="4294967294" r:id="rId7"/>
      <headerFooter>
        <oddHeader>&amp;CLISTA PROIECTELOR CONTRACTATE - PROGRAMUL OPERATIONAl CAPACITATE ADMINISTRATIVĂ</oddHeader>
        <oddFooter>Page &amp;P of &amp;N</oddFooter>
      </headerFooter>
      <autoFilter ref="A6:AL600" xr:uid="{98EAA1AF-3099-4072-B62F-DD9F4F962CEB}"/>
    </customSheetView>
    <customSheetView guid="{7C1B4D6D-D666-48DD-AB17-E00791B6F0B6}" scale="55" showPageBreaks="1" fitToPage="1" printArea="1" showAutoFilter="1">
      <pane xSplit="4" ySplit="74" topLeftCell="X289" activePane="bottomRight" state="frozen"/>
      <selection pane="bottomRight" activeCell="AI4" sqref="AI4:AI5"/>
      <pageMargins left="0.70866141732283472" right="0.70866141732283472" top="0.74803149606299213" bottom="0.74803149606299213" header="0.31496062992125984" footer="0.31496062992125984"/>
      <pageSetup paperSize="8" scale="21" fitToHeight="0" orientation="landscape" r:id="rId8"/>
      <headerFooter>
        <oddHeader>&amp;CLISTA PROIECTELOR CONTRACTATE - PROGRAMUL OPERATIONAl CAPACITATE ADMINISTRATIVĂ</oddHeader>
        <oddFooter>Page &amp;P of &amp;N</oddFooter>
      </headerFooter>
      <autoFilter ref="A6:XFD525" xr:uid="{10E85A92-DAEB-4011-BD55-C20E8747CE6E}"/>
    </customSheetView>
    <customSheetView guid="{901F9774-8BE7-424D-87C2-1026F3FA2E93}" scale="70" showPageBreaks="1" fitToPage="1" printArea="1" filter="1" showAutoFilter="1">
      <selection activeCell="F121" sqref="F121"/>
      <pageMargins left="0.70866141732283472" right="0.70866141732283472" top="0.74803149606299213" bottom="0.74803149606299213" header="0.31496062992125984" footer="0.31496062992125984"/>
      <pageSetup paperSize="8" scale="20" fitToHeight="0" orientation="landscape" horizontalDpi="4294967294" verticalDpi="4294967294" r:id="rId9"/>
      <headerFooter>
        <oddHeader>&amp;CLISTA PROIECTELOR CONTRACTATE - PROGRAMUL OPERATIONAl CAPACITATE ADMINISTRATIVĂ</oddHeader>
        <oddFooter>Page &amp;P of &amp;N</oddFooter>
      </headerFooter>
      <autoFilter ref="A1:XFD620" xr:uid="{9619C8DA-0CC0-4DFC-99E8-0E0C37B34E45}">
        <filterColumn colId="2">
          <filters>
            <filter val="619"/>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3">
          <filters>
            <filter val="în implementare"/>
          </filters>
        </filterColumn>
        <filterColumn colId="35" showButton="0"/>
      </autoFilter>
    </customSheetView>
    <customSheetView guid="{EEA37434-2D22-478B-B49F-C3E8CD4AC2E1}" scale="60" showPageBreaks="1" fitToPage="1" printArea="1" filter="1" showAutoFilter="1">
      <pane xSplit="9" ySplit="7" topLeftCell="J9" activePane="bottomRight" state="frozen"/>
      <selection pane="bottomRight" activeCell="L14" sqref="L14"/>
      <pageMargins left="0.70866141732283472" right="0.70866141732283472" top="0.74803149606299213" bottom="0.74803149606299213" header="0.31496062992125984" footer="0.31496062992125984"/>
      <pageSetup paperSize="8" scale="21" fitToHeight="0" orientation="landscape" r:id="rId10"/>
      <headerFooter>
        <oddHeader>&amp;CLISTA PROIECTELOR CONTRACTATE - PROGRAMUL OPERATIONAl CAPACITATE ADMINISTRATIVĂ</oddHeader>
        <oddFooter>Page &amp;P of &amp;N</oddFooter>
      </headerFooter>
      <autoFilter ref="A6:DG511" xr:uid="{F2AD1057-DEBC-4BE7-AD75-87E2F857068B}">
        <filterColumn colId="2">
          <filters>
            <filter val="550"/>
          </filters>
        </filterColumn>
      </autoFilter>
    </customSheetView>
    <customSheetView guid="{53ED3D47-B2C0-43A1-9A1E-F030D529F74C}" scale="70" showPageBreaks="1" fitToPage="1" printArea="1" filter="1" showAutoFilter="1" topLeftCell="A4">
      <selection activeCell="G529" sqref="G529"/>
      <pageMargins left="0.70866141732283472" right="0.70866141732283472" top="0.74803149606299213" bottom="0.74803149606299213" header="0.31496062992125984" footer="0.31496062992125984"/>
      <pageSetup paperSize="8" scale="20" fitToHeight="0" orientation="landscape" horizontalDpi="4294967294" verticalDpi="4294967294" r:id="rId11"/>
      <headerFooter>
        <oddHeader>&amp;CLISTA PROIECTELOR CONTRACTATE - PROGRAMUL OPERATIONAl CAPACITATE ADMINISTRATIVĂ</oddHeader>
        <oddFooter>Page &amp;P of &amp;N</oddFooter>
      </headerFooter>
      <autoFilter ref="A6:AL523" xr:uid="{857BDBBA-9A8E-4CAC-93D5-042633859D36}">
        <filterColumn colId="2">
          <filters>
            <filter val="711"/>
            <filter val="714"/>
          </filters>
        </filterColumn>
      </autoFilter>
    </customSheetView>
    <customSheetView guid="{0781B6C2-B440-4971-9809-BD16245A70FD}" scale="90" showPageBreaks="1" fitToPage="1" printArea="1" showAutoFilter="1" topLeftCell="T1">
      <pane ySplit="6" topLeftCell="A344" activePane="bottomLeft"/>
      <selection pane="bottomLeft" activeCell="AE344" sqref="AE344"/>
      <pageMargins left="0.70866141732283472" right="0.70866141732283472" top="0.74803149606299213" bottom="0.74803149606299213" header="0.31496062992125984" footer="0.31496062992125984"/>
      <pageSetup paperSize="8" scale="20" fitToHeight="0" orientation="landscape" horizontalDpi="4294967294" verticalDpi="4294967294" r:id="rId12"/>
      <headerFooter>
        <oddHeader>&amp;CLISTA PROIECTELOR CONTRACTATE - PROGRAMUL OPERATIONAl CAPACITATE ADMINISTRATIVĂ</oddHeader>
        <oddFooter>Page &amp;P of &amp;N</oddFooter>
      </headerFooter>
      <autoFilter ref="A1:AL256" xr:uid="{37AA3403-E6CF-4AE2-BC1C-9B7DF647BA45}">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13"/>
      <headerFooter>
        <oddHeader>&amp;CLISTA PROIECTELOR CONTRACTATE - PROGRAMUL OPERATIONAl CAPACITATE ADMINISTRATIVĂ</oddHeader>
        <oddFooter>Page &amp;P of &amp;N</oddFooter>
      </headerFooter>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4"/>
      <headerFooter>
        <oddHeader>&amp;CLISTA PROIECTELOR CONTRACTATE - PROGRAMUL OPERATIONAl CAPACITATE ADMINISTRATIVĂ</oddHeader>
        <oddFooter>Page &amp;P of &amp;N</oddFooter>
      </headerFooter>
      <autoFilter ref="A6:DF305" xr:uid="{B4DAF0D7-449F-479B-AD4F-46401A5348AA}"/>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5"/>
      <headerFooter>
        <oddHeader>&amp;CLISTA PROIECTELOR CONTRACTATE - PROGRAMUL OPERATIONAl CAPACITATE ADMINISTRATIVĂ</oddHeader>
        <oddFooter>Page &amp;P of &amp;N</oddFooter>
      </headerFooter>
      <autoFilter ref="A4:AH68" xr:uid="{D105614E-E918-41A6-984E-EC7592877264}"/>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6"/>
      <headerFooter>
        <oddHeader>&amp;CLISTA PROIECTELOR CONTRACTATE - PROGRAMUL OPERATIONAl CAPACITATE ADMINISTRATIVĂ</oddHeader>
        <oddFooter>Page &amp;P of &amp;N</oddFooter>
      </headerFooter>
      <autoFilter ref="A6:AL349" xr:uid="{8AB8A68E-7542-49C1-9EEA-6B1904352462}"/>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7"/>
      <headerFooter>
        <oddHeader>&amp;CLISTA PROIECTELOR CONTRACTATE - PROGRAMUL OPERATIONAl CAPACITATE ADMINISTRATIVĂ</oddHeader>
        <oddFooter>Page &amp;P of &amp;N</oddFooter>
      </headerFooter>
      <autoFilter ref="A1:AK404" xr:uid="{189F0899-7202-4AF4-9247-AD9AD49CB74E}">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18"/>
      <headerFooter>
        <oddHeader>&amp;CLISTA PROIECTELOR CONTRACTATE - PROGRAMUL OPERATIONAl CAPACITATE ADMINISTRATIVĂ</oddHeader>
        <oddFooter>Page &amp;P of &amp;N</oddFooter>
      </headerFooter>
      <autoFilter ref="A1:DG422" xr:uid="{14D1C731-C388-4DEB-BA98-3D4E12CE7F59}">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19"/>
      <headerFooter>
        <oddHeader>&amp;CLISTA PROIECTELOR CONTRACTATE - PROGRAMUL OPERATIONAl CAPACITATE ADMINISTRATIVĂ</oddHeader>
        <oddFooter>Page &amp;P of &amp;N</oddFooter>
      </headerFooter>
      <autoFilter ref="A1:DG494" xr:uid="{52E4DD19-958D-4E73-951A-D7F15499C0F4}">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980B309-0131-4577-BF29-212714399FDF}" scale="70" showPageBreaks="1" fitToPage="1" printArea="1" showAutoFilter="1" topLeftCell="C1">
      <pane ySplit="3" topLeftCell="A486" activePane="bottomLeft"/>
      <selection pane="bottomLeft" activeCell="F486" sqref="F486"/>
      <pageMargins left="0.70866141732283472" right="0.70866141732283472" top="0.74803149606299213" bottom="0.74803149606299213" header="0.31496062992125984" footer="0.31496062992125984"/>
      <pageSetup paperSize="8" scale="20" fitToHeight="0" orientation="landscape" horizontalDpi="4294967294" verticalDpi="4294967294" r:id="rId20"/>
      <headerFooter>
        <oddHeader>&amp;CLISTA PROIECTELOR CONTRACTATE - PROGRAMUL OPERATIONAl CAPACITATE ADMINISTRATIVĂ</oddHeader>
        <oddFooter>Page &amp;P of &amp;N</oddFooter>
      </headerFooter>
      <autoFilter ref="A1:AL488" xr:uid="{C9BC555E-14A6-470A-BC85-04A444B9EBD4}">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84FB199A-D56E-4FDD-AC4A-70CE86CD87BC}" scale="80" showPageBreaks="1" fitToPage="1" printArea="1" filter="1" showAutoFilter="1">
      <pane xSplit="3" ySplit="4" topLeftCell="G39" activePane="bottomRight" state="frozen"/>
      <selection pane="bottomRight" activeCell="B514" sqref="B514"/>
      <pageMargins left="0.70866141732283472" right="0.70866141732283472" top="0.74803149606299213" bottom="0.74803149606299213" header="0.31496062992125984" footer="0.31496062992125984"/>
      <pageSetup paperSize="8" scale="21" fitToHeight="0" orientation="landscape" r:id="rId21"/>
      <headerFooter>
        <oddHeader>&amp;CLISTA PROIECTELOR CONTRACTATE - PROGRAMUL OPERATIONAl CAPACITATE ADMINISTRATIVĂ</oddHeader>
        <oddFooter>Page &amp;P of &amp;N</oddFooter>
      </headerFooter>
      <autoFilter ref="A1:AM513" xr:uid="{8E51F3EC-0DDD-4DC8-9F9E-36ECCCF0E43B}">
        <filterColumn colId="2">
          <filters>
            <filter val="531"/>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6D5D71F0-C25E-4A20-AAD9-13707D9E0AED}" scale="70" fitToPage="1" showAutoFilter="1">
      <selection activeCell="AI61" sqref="AI61"/>
      <pageMargins left="0.70866141732283472" right="0.70866141732283472" top="0.74803149606299213" bottom="0.74803149606299213" header="0.31496062992125984" footer="0.31496062992125984"/>
      <pageSetup paperSize="8" scale="20" fitToHeight="0" orientation="landscape" horizontalDpi="4294967294" verticalDpi="4294967294" r:id="rId22"/>
      <headerFooter>
        <oddHeader>&amp;CLISTA PROIECTELOR CONTRACTATE - PROGRAMUL OPERATIONAl CAPACITATE ADMINISTRATIVĂ</oddHeader>
        <oddFooter>Page &amp;P of &amp;N</oddFooter>
      </headerFooter>
      <autoFilter ref="A4:DG525" xr:uid="{790B6991-FC38-445E-A069-F6510D588E2C}">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905D93EA-5662-45AB-8995-A9908B3E5D52}" scale="70" showPageBreaks="1" fitToPage="1" printArea="1" showAutoFilter="1">
      <selection activeCell="D226" sqref="D226"/>
      <pageMargins left="0.70866141732283472" right="0.70866141732283472" top="0.74803149606299213" bottom="0.74803149606299213" header="0.31496062992125984" footer="0.31496062992125984"/>
      <pageSetup paperSize="9" scale="14" fitToHeight="0" orientation="landscape" r:id="rId23"/>
      <headerFooter>
        <oddHeader>&amp;CLISTA PROIECTELOR CONTRACTATE - PROGRAMUL OPERATIONAl CAPACITATE ADMINISTRATIVĂ</oddHeader>
        <oddFooter>Page &amp;P of &amp;N</oddFooter>
      </headerFooter>
      <autoFilter ref="B1:B623" xr:uid="{2329944A-30FD-4930-9FD2-9381047EC44F}"/>
    </customSheetView>
    <customSheetView guid="{1D1B5983-ECDA-4FB5-B5BD-5FCDD6AA2303}" scale="70" showPageBreaks="1" fitToPage="1" printArea="1" showAutoFilter="1" hiddenColumns="1">
      <selection activeCell="D666" sqref="D666"/>
      <pageMargins left="0.26" right="0.17" top="0.74803149606299213" bottom="0.74803149606299213" header="0.31496062992125984" footer="0.31496062992125984"/>
      <pageSetup paperSize="9" scale="10" orientation="landscape" horizontalDpi="4294967294" verticalDpi="4294967294" r:id="rId24"/>
      <headerFooter>
        <oddHeader>&amp;CLISTA PROIECTELOR CONTRACTATE - PROGRAMUL OPERATIONAl CAPACITATE ADMINISTRATIVĂ</oddHeader>
        <oddFooter>Page &amp;P of &amp;N</oddFooter>
      </headerFooter>
      <autoFilter ref="A1:DG663" xr:uid="{DDF0E00E-1124-4BD3-B043-2DD8979B5F9A}">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5B1481C-EF26-486A-984F-85CDDC2FD94F}" scale="70" showPageBreaks="1" fitToPage="1" printArea="1" filter="1" showAutoFilter="1" topLeftCell="V1">
      <pane ySplit="5" topLeftCell="A6" activePane="bottomLeft" state="frozen"/>
      <selection pane="bottomLeft" activeCell="AM338" sqref="AM338"/>
      <pageMargins left="0.70866141732283472" right="0.70866141732283472" top="0.74803149606299213" bottom="0.74803149606299213" header="0.31496062992125984" footer="0.31496062992125984"/>
      <pageSetup paperSize="8" scale="21" fitToHeight="0" orientation="landscape" horizontalDpi="4294967294" verticalDpi="4294967294" r:id="rId25"/>
      <headerFooter>
        <oddHeader>&amp;CLISTA PROIECTELOR CONTRACTATE - PROGRAMUL OPERATIONAl CAPACITATE ADMINISTRATIVĂ</oddHeader>
        <oddFooter>Page &amp;P of &amp;N</oddFooter>
      </headerFooter>
      <autoFilter ref="A6:DG597" xr:uid="{503C4CDE-AF6A-43F0-B863-7471B0510227}">
        <filterColumn colId="2">
          <filters>
            <filter val="20"/>
          </filters>
        </filterColumn>
      </autoFilter>
    </customSheetView>
    <customSheetView guid="{65C35D6D-934F-4431-BA92-90255FC17BA4}" scale="70" showPageBreaks="1" fitToPage="1" printArea="1" showAutoFilter="1">
      <selection activeCell="J183" sqref="J183"/>
      <pageMargins left="0.70866141732283472" right="0.70866141732283472" top="0.74803149606299213" bottom="0.74803149606299213" header="0.31496062992125984" footer="0.31496062992125984"/>
      <pageSetup paperSize="8" scale="21" fitToHeight="0" orientation="landscape" horizontalDpi="4294967294" verticalDpi="4294967294" r:id="rId26"/>
      <headerFooter>
        <oddHeader>&amp;CLISTA PROIECTELOR CONTRACTATE - PROGRAMUL OPERATIONAl CAPACITATE ADMINISTRATIVĂ</oddHeader>
        <oddFooter>Page &amp;P of &amp;N</oddFooter>
      </headerFooter>
      <autoFilter ref="A1:AL658" xr:uid="{5E00DD70-CD63-48BE-9573-91B14092D7B4}">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A64E7D7-BA48-4965-B650-778AE412FE0C}" scale="70" showPageBreaks="1" fitToPage="1" printArea="1" showAutoFilter="1">
      <pane ySplit="676" topLeftCell="A687" activePane="bottomLeft" state="frozen"/>
      <selection pane="bottomLeft" activeCell="AI487" sqref="AI487"/>
      <pageMargins left="0.70866141732283472" right="0.70866141732283472" top="0.74803149606299213" bottom="0.74803149606299213" header="0.31496062992125984" footer="0.31496062992125984"/>
      <pageSetup paperSize="8" scale="21" fitToHeight="0" orientation="landscape" horizontalDpi="4294967294" verticalDpi="4294967294" r:id="rId27"/>
      <headerFooter>
        <oddHeader>&amp;CLISTA PROIECTELOR CONTRACTATE - PROGRAMUL OPERATIONAl CAPACITATE ADMINISTRATIVĂ</oddHeader>
        <oddFooter>Page &amp;P of &amp;N</oddFooter>
      </headerFooter>
      <autoFilter ref="A1:DG677" xr:uid="{32099F0C-DDBB-4043-895E-D00F8938D3D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87F3E0E-3A8E-4B82-8170-33752259B7DB}" scale="80" showPageBreaks="1" fitToPage="1" printArea="1" showAutoFilter="1" topLeftCell="A6">
      <pane xSplit="3" topLeftCell="AA1" activePane="topRight" state="frozen"/>
      <selection pane="topRight" activeCell="AJ675" sqref="AJ675:AJ676"/>
      <pageMargins left="0.70866141732283472" right="0.70866141732283472" top="0.74803149606299213" bottom="0.74803149606299213" header="0.31496062992125984" footer="0.31496062992125984"/>
      <pageSetup paperSize="8" fitToHeight="0" orientation="portrait" horizontalDpi="4294967294" verticalDpi="4294967294" r:id="rId28"/>
      <headerFooter>
        <oddHeader>&amp;CLISTA PROIECTELOR CONTRACTATE - PROGRAMUL OPERATIONAl CAPACITATE ADMINISTRATIVĂ</oddHeader>
        <oddFooter>Page &amp;P of &amp;N</oddFooter>
      </headerFooter>
      <autoFilter ref="A6:AL674" xr:uid="{9E64DF04-9A1B-4BD2-8670-FA21B87AA1F6}"/>
    </customSheetView>
    <customSheetView guid="{36624B2D-80F9-4F79-AC4A-B3547C36F23F}" scale="70" showPageBreaks="1" fitToPage="1" printArea="1" showAutoFilter="1">
      <selection activeCell="G7" sqref="G7"/>
      <pageMargins left="0.70866141732283472" right="0.70866141732283472" top="0.74803149606299213" bottom="0.74803149606299213" header="0.31496062992125984" footer="0.31496062992125984"/>
      <pageSetup paperSize="8" scale="21" fitToHeight="0" orientation="landscape" horizontalDpi="4294967294" verticalDpi="4294967294" r:id="rId29"/>
      <headerFooter>
        <oddHeader>&amp;CLISTA PROIECTELOR CONTRACTATE - PROGRAMUL OPERATIONAl CAPACITATE ADMINISTRATIVĂ</oddHeader>
        <oddFooter>Page &amp;P of &amp;N</oddFooter>
      </headerFooter>
      <autoFilter ref="A4:DG679" xr:uid="{082FE7E2-6DD7-4D16-BB8F-195DBF85E6C1}">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s>
  <mergeCells count="29">
    <mergeCell ref="AI1:AJ1"/>
    <mergeCell ref="AI2:AI3"/>
    <mergeCell ref="AJ2:AJ3"/>
    <mergeCell ref="AA2:AA3"/>
    <mergeCell ref="AF1:AF3"/>
    <mergeCell ref="AG1:AG3"/>
    <mergeCell ref="AH1:AH3"/>
    <mergeCell ref="AE2:AE3"/>
    <mergeCell ref="AD1:AD3"/>
    <mergeCell ref="L1:L3"/>
    <mergeCell ref="H1:H3"/>
    <mergeCell ref="B1:B3"/>
    <mergeCell ref="X2:X3"/>
    <mergeCell ref="O1:O3"/>
    <mergeCell ref="P1:P3"/>
    <mergeCell ref="Q1:Q3"/>
    <mergeCell ref="R1:AA1"/>
    <mergeCell ref="R2:W2"/>
    <mergeCell ref="A1:A3"/>
    <mergeCell ref="F1:F3"/>
    <mergeCell ref="G1:G3"/>
    <mergeCell ref="M1:M3"/>
    <mergeCell ref="N1:N3"/>
    <mergeCell ref="C1:C3"/>
    <mergeCell ref="E1:E3"/>
    <mergeCell ref="D1:D3"/>
    <mergeCell ref="I1:I3"/>
    <mergeCell ref="J1:J3"/>
    <mergeCell ref="K1:K3"/>
  </mergeCells>
  <phoneticPr fontId="16" type="noConversion"/>
  <pageMargins left="0.70866141732283472" right="0.70866141732283472" top="0.74803149606299213" bottom="0.74803149606299213" header="0.31496062992125984" footer="0.31496062992125984"/>
  <pageSetup paperSize="8" scale="21" fitToHeight="0" orientation="landscape" horizontalDpi="4294967294" verticalDpi="4294967294" r:id="rId30"/>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Sheet1!_Hlk1048507</vt:lpstr>
      <vt:lpstr>Sheet1!_Hlk516490095</vt:lpstr>
      <vt:lpstr>Sheet1!_Hlk526934001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elisabeta.trifan</dc:creator>
  <cp:lastModifiedBy>Anca Chibzuloiu</cp:lastModifiedBy>
  <cp:lastPrinted>2019-12-23T12:53:58Z</cp:lastPrinted>
  <dcterms:created xsi:type="dcterms:W3CDTF">2019-05-03T10:06:35Z</dcterms:created>
  <dcterms:modified xsi:type="dcterms:W3CDTF">2021-07-02T09:36:28Z</dcterms:modified>
</cp:coreProperties>
</file>