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75C28E4B-EB5E-42CB-B652-0F71DCC0F2E9}" xr6:coauthVersionLast="47" xr6:coauthVersionMax="47" xr10:uidLastSave="{00000000-0000-0000-0000-000000000000}"/>
  <workbookProtection workbookPassword="CA39" lockStructure="1"/>
  <bookViews>
    <workbookView xWindow="-120" yWindow="-120" windowWidth="29040" windowHeight="15840" tabRatio="155" xr2:uid="{00000000-000D-0000-FFFF-FFFF00000000}"/>
  </bookViews>
  <sheets>
    <sheet name="Sheet1" sheetId="1" r:id="rId1"/>
  </sheets>
  <definedNames>
    <definedName name="_xlnm._FilterDatabase" localSheetId="0" hidden="1">Sheet1!$1:$588</definedName>
    <definedName name="_Hlk1048507" localSheetId="0">Sheet1!$H$487</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Sheet1!$A$1:$AJ$588</definedName>
    <definedName name="Z_0585DD1B_89D4_4278_953B_FA6D57DCCE82_.wvu.FilterData" localSheetId="0" hidden="1">Sheet1!$A$4:$AJ$588</definedName>
    <definedName name="Z_0663978D_0EB1_40D5_9B2D_AA0E4175AE10_.wvu.FilterData" localSheetId="0" hidden="1">Sheet1!$C$1:$C$588</definedName>
    <definedName name="Z_0781B6C2_B440_4971_9809_BD16245A70FD_.wvu.FilterData" localSheetId="0" hidden="1">Sheet1!$A$1:$AJ$287</definedName>
    <definedName name="Z_0781B6C2_B440_4971_9809_BD16245A70FD_.wvu.PrintArea" localSheetId="0" hidden="1">Sheet1!$A$1:$AJ$588</definedName>
    <definedName name="Z_0948D5BA_8172_4FA8_BECB_CED738B20AF4_.wvu.FilterData" localSheetId="0" hidden="1">Sheet1!$A$4:$DE$588</definedName>
    <definedName name="Z_0A043D96_6DF8_4E40_9D1E_818A39BAFD81_.wvu.FilterData" localSheetId="0" hidden="1">Sheet1!$A$4:$AJ$588</definedName>
    <definedName name="Z_0BFEEF2C_C946_41CF_AC23_6881BEA2051C_.wvu.FilterData" localSheetId="0" hidden="1">Sheet1!$A$4:$AJ$588</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Sheet1!$A$4:$DE$588</definedName>
    <definedName name="Z_13FEC0EB_A6AC_4EB9_BE0B_BA91B5951E65_.wvu.FilterData" localSheetId="0" hidden="1">Sheet1!$A$4:$DE$588</definedName>
    <definedName name="Z_15F03B40_FCDD_463A_AE42_63F6121ACBED_.wvu.FilterData" localSheetId="0" hidden="1">Sheet1!$C$1:$C$588</definedName>
    <definedName name="Z_16C0F8F6_73C2_446B_943F_E6331B612307_.wvu.FilterData" localSheetId="0" hidden="1">Sheet1!$A$1:$DE$516</definedName>
    <definedName name="Z_17F4A6A1_469E_46FB_A3A0_041FC3712E3B_.wvu.FilterData" localSheetId="0" hidden="1">Sheet1!$A$4:$AJ$588</definedName>
    <definedName name="Z_19FC3531_0DA5_4817_A3AD_017115B33D3C_.wvu.FilterData" localSheetId="0" hidden="1">Sheet1!#REF!</definedName>
    <definedName name="Z_1AA32817_7AF7_4644_968C_56F1D5DDD6B5_.wvu.FilterData" localSheetId="0" hidden="1">Sheet1!$A$1:$DE$588</definedName>
    <definedName name="Z_1CC91F84_AEF4_4042_AB5F_6C7D03A1F066_.wvu.FilterData" localSheetId="0" hidden="1">Sheet1!$4:$588</definedName>
    <definedName name="Z_1CC91F84_AEF4_4042_AB5F_6C7D03A1F066_.wvu.PrintArea" localSheetId="0" hidden="1">Sheet1!$A$1:$AJ$588</definedName>
    <definedName name="Z_1D1B5983_ECDA_4FB5_B5BD_5FCDD6AA2303_.wvu.Cols" localSheetId="0" hidden="1">Sheet1!$D:$I</definedName>
    <definedName name="Z_1D1B5983_ECDA_4FB5_B5BD_5FCDD6AA2303_.wvu.FilterData" localSheetId="0" hidden="1">Sheet1!$A$1:$DE$605</definedName>
    <definedName name="Z_1D1B5983_ECDA_4FB5_B5BD_5FCDD6AA2303_.wvu.PrintArea" localSheetId="0" hidden="1">Sheet1!$A$1:$AJ$588</definedName>
    <definedName name="Z_22D79F88_81A2_49FE_923A_13405540BBB2_.wvu.FilterData" localSheetId="0" hidden="1">Sheet1!$A$4:$DE$468</definedName>
    <definedName name="Z_2355B1FA_E7E3_44CD_A529_24812589AA28_.wvu.FilterData" localSheetId="0" hidden="1">Sheet1!$A$4:$AJ$588</definedName>
    <definedName name="Z_2416AE9F_2D01_4174_B7DC_0545588F9C27_.wvu.FilterData" localSheetId="0" hidden="1">Sheet1!$A$1:$AJ$588</definedName>
    <definedName name="Z_250231BB_5F02_4B46_B1CA_B904A9B40BA2_.wvu.FilterData" localSheetId="0" hidden="1">Sheet1!$A$3:$AJ$588</definedName>
    <definedName name="Z_25084D9D_9C92_4823_A653_D1AEC60737AD_.wvu.FilterData" localSheetId="0" hidden="1">Sheet1!$A$4:$DE$468</definedName>
    <definedName name="Z_2547C3D7_22F7_4CAF_8E48_C8F3425DB942_.wvu.FilterData" localSheetId="0" hidden="1">Sheet1!$A$4:$AJ$588</definedName>
    <definedName name="Z_280C391A_EEDA_43A4_BCD2_EE017A1C1AE2_.wvu.FilterData" localSheetId="0" hidden="1">Sheet1!$A$4:$DE$588</definedName>
    <definedName name="Z_29604E0D_C6E2_434A_B2B5_DCD40EFF623F_.wvu.FilterData" localSheetId="0" hidden="1">Sheet1!$A$4:$DE$588</definedName>
    <definedName name="Z_297CB86E_F816_4839_BE0B_A075145D0E50_.wvu.FilterData" localSheetId="0" hidden="1">Sheet1!$A$1:$DE$468</definedName>
    <definedName name="Z_2A26C971_CCE6_49C7_89EC_0B2699E5DD98_.wvu.FilterData" localSheetId="0" hidden="1">Sheet1!$A$4:$AJ$588</definedName>
    <definedName name="Z_2A657C48_B241_4C19_9A74_98ECFC665F2A_.wvu.FilterData" localSheetId="0" hidden="1">Sheet1!$A$4:$DE$588</definedName>
    <definedName name="Z_2C296388_EDB5_4F1F_B0F4_90EC07CCD947_.wvu.FilterData" localSheetId="0" hidden="1">Sheet1!$A$1:$DE$588</definedName>
    <definedName name="Z_2C296388_EDB5_4F1F_B0F4_90EC07CCD947_.wvu.PrintArea" localSheetId="0" hidden="1">Sheet1!$A$1:$AJ$588</definedName>
    <definedName name="Z_2E491347_3C24_4F24_80DE_5DC574AA2438_.wvu.FilterData" localSheetId="0" hidden="1">Sheet1!$A$4:$AJ$588</definedName>
    <definedName name="Z_3051DDA2_2F87_4403_87CC_F6C9C4F5B52F_.wvu.FilterData" localSheetId="0" hidden="1">Sheet1!$A$4:$DE$588</definedName>
    <definedName name="Z_305BEEB9_C99E_4E52_A4AB_56EA1595A366_.wvu.FilterData" localSheetId="0" hidden="1">Sheet1!$A$4:$AJ$588</definedName>
    <definedName name="Z_31567BC0_5366_4F93_AE32_123F006BC234_.wvu.FilterData" localSheetId="0" hidden="1">Sheet1!$A$4:$DE$588</definedName>
    <definedName name="Z_324E461A_DC75_4814_87BA_41F170D0ED0B_.wvu.FilterData" localSheetId="0" hidden="1">Sheet1!$A$4:$AJ$588</definedName>
    <definedName name="Z_33E976A7_3353_44E9_8131_0E68AAF18A21_.wvu.FilterData" localSheetId="0" hidden="1">Sheet1!$A$1:$AJ$588</definedName>
    <definedName name="Z_340EDCDE_FAE5_4319_AEAD_F8264DCA5D27_.wvu.FilterData" localSheetId="0" hidden="1">Sheet1!$A$4:$DE$588</definedName>
    <definedName name="Z_34BB42D3_88F0_437E_91ED_3E3C369B9525_.wvu.FilterData" localSheetId="0" hidden="1">Sheet1!$A$4:$AJ$588</definedName>
    <definedName name="Z_3656F679_79F6_439C_98F9_E05AFC52CE40_.wvu.FilterData" localSheetId="0" hidden="1">Sheet1!$A$4:$DE$588</definedName>
    <definedName name="Z_36624B2D_80F9_4F79_AC4A_B3547C36F23F_.wvu.FilterData" localSheetId="0" hidden="1">Sheet1!$A$4:$DE$588</definedName>
    <definedName name="Z_36624B2D_80F9_4F79_AC4A_B3547C36F23F_.wvu.PrintArea" localSheetId="0" hidden="1">Sheet1!$A$1:$AJ$588</definedName>
    <definedName name="Z_377DA8E3_6D61_4CAB_8EDD_2C41FF81A19E_.wvu.FilterData" localSheetId="0" hidden="1">Sheet1!$A$4:$AJ$588</definedName>
    <definedName name="Z_38C68E87_361F_434A_8BE4_BA2AF4CB3868_.wvu.FilterData" localSheetId="0" hidden="1">Sheet1!$A$4:$AJ$588</definedName>
    <definedName name="Z_3A00607E_664E_4ED3_AB65_1F25AC8DBC86_.wvu.FilterData" localSheetId="0" hidden="1">Sheet1!$C$1:$C$588</definedName>
    <definedName name="Z_3A3E83F9_303A_4CDE_BDDB_A2D752554829_.wvu.FilterData" localSheetId="0" hidden="1">Sheet1!$A$4:$AJ$588</definedName>
    <definedName name="Z_3A5F5F2B_AEA1_437C_9251_4F0D15756423_.wvu.FilterData" localSheetId="0" hidden="1">Sheet1!$A$1:$AJ$588</definedName>
    <definedName name="Z_3AFE79CE_CE75_447D_8C73_1AE63A224CBA_.wvu.FilterData" localSheetId="0" hidden="1">Sheet1!$A$4:$AJ$588</definedName>
    <definedName name="Z_3AFE79CE_CE75_447D_8C73_1AE63A224CBA_.wvu.PrintArea" localSheetId="0" hidden="1">Sheet1!$A$1:$AJ$588</definedName>
    <definedName name="Z_3E15816F_2EBF_42BD_89BB_84C7827E4C28_.wvu.FilterData" localSheetId="0" hidden="1">Sheet1!$A$4:$AJ$588</definedName>
    <definedName name="Z_3E7AD119_0031_4735_857B_FBC0C47AB231_.wvu.FilterData" localSheetId="0" hidden="1">Sheet1!$A$4:$AJ$588</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Sheet1!$A$4:$AJ$588</definedName>
    <definedName name="Z_41AA4E5D_9625_4478_B720_2BD6AE34E699_.wvu.FilterData" localSheetId="0" hidden="1">Sheet1!$A$4:$AJ$588</definedName>
    <definedName name="Z_471339A8_E0FA_4CA1_8194_04936068CF02_.wvu.FilterData" localSheetId="0" hidden="1">Sheet1!$A$1:$AJ$588</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Sheet1!$A$4:$AJ$588</definedName>
    <definedName name="Z_4B676F92_6D7B_43D7_8EB6_33FF3E7F6B6A_.wvu.FilterData" localSheetId="0" hidden="1">Sheet1!$A$4:$AJ$588</definedName>
    <definedName name="Z_4B7976D2_7781_4E51_BDF6_6AB2114A11DF_.wvu.FilterData" localSheetId="0" hidden="1">Sheet1!$A$4:$DE$588</definedName>
    <definedName name="Z_4BA8C48D_4728_4875_A249_068862BEA31A_.wvu.FilterData" localSheetId="0" hidden="1">Sheet1!$A$1:$DE$588</definedName>
    <definedName name="Z_4C2A0B30_0070_415E_A110_A9BCC2779710_.wvu.FilterData" localSheetId="0" hidden="1">Sheet1!$C$1:$C$588</definedName>
    <definedName name="Z_4FDB167B_D56E_45D4_B120_847D0871AA6B_.wvu.FilterData" localSheetId="0" hidden="1">Sheet1!$A$4:$AJ$588</definedName>
    <definedName name="Z_50FD82E6_2F75_4C53_A6D0_12482428C160_.wvu.FilterData" localSheetId="0" hidden="1">Sheet1!$A$1:$AJ$588</definedName>
    <definedName name="Z_529F67B3_DE0D_4FDC_BFEA_8F16107265EB_.wvu.FilterData" localSheetId="0" hidden="1">Sheet1!$A$4:$AJ$588</definedName>
    <definedName name="Z_53ED3D47_B2C0_43A1_9A1E_F030D529F74C_.wvu.FilterData" localSheetId="0" hidden="1">Sheet1!$A$4:$AJ$588</definedName>
    <definedName name="Z_53ED3D47_B2C0_43A1_9A1E_F030D529F74C_.wvu.PrintArea" localSheetId="0" hidden="1">Sheet1!$A$1:$AJ$588</definedName>
    <definedName name="Z_5789AB6A_B04B_4240_920E_89274E9F5C82_.wvu.FilterData" localSheetId="0" hidden="1">Sheet1!$A$4:$DE$384</definedName>
    <definedName name="Z_59EBF1CB_AF85_469A_B1D0_E57CB0203158_.wvu.FilterData" localSheetId="0" hidden="1">Sheet1!$C$1:$C$588</definedName>
    <definedName name="Z_5A66C3D0_FC57_4AA7_B0C6_C5E9A7DE2A79_.wvu.FilterData" localSheetId="0" hidden="1">Sheet1!$A$4:$AJ$588</definedName>
    <definedName name="Z_5AAA4DFE_88B1_4674_95ED_5FCD7A50BC22_.wvu.FilterData" localSheetId="0" hidden="1">Sheet1!$A$4:$DE$588</definedName>
    <definedName name="Z_5AAA4DFE_88B1_4674_95ED_5FCD7A50BC22_.wvu.PrintArea" localSheetId="0" hidden="1">Sheet1!$A$1:$AJ$588</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Sheet1!$A$4:$DE$588</definedName>
    <definedName name="Z_65B035E3_87FA_46C5_996E_864F2C8D0EBC_.wvu.PrintArea" localSheetId="0" hidden="1">Sheet1!$A$1:$AJ$588</definedName>
    <definedName name="Z_65C35D6D_934F_4431_BA92_90255FC17BA4_.wvu.FilterData" localSheetId="0" hidden="1">Sheet1!$A$1:$AJ$588</definedName>
    <definedName name="Z_65C35D6D_934F_4431_BA92_90255FC17BA4_.wvu.PrintArea" localSheetId="0" hidden="1">Sheet1!$A$1:$AJ$588</definedName>
    <definedName name="Z_68CBE436_F3A0_4F45_B6A3_D7A57411F3B9_.wvu.FilterData" localSheetId="0" hidden="1">Sheet1!$A$4:$AJ$588</definedName>
    <definedName name="Z_6A81BAE2_3ABE_4D5F_A832_52D0E2F517F4_.wvu.FilterData" localSheetId="0" hidden="1">Sheet1!$A$1:$AJ$588</definedName>
    <definedName name="Z_6ABCD3C6_C29E_4027_B252_6CC3A2739142_.wvu.FilterData" localSheetId="0" hidden="1">Sheet1!$A$4:$AJ$588</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Sheet1!$A$4:$AJ$588</definedName>
    <definedName name="Z_6D5D71F0_C25E_4A20_AAD9_13707D9E0AED_.wvu.FilterData" localSheetId="0" hidden="1">Sheet1!$A$4:$DE$588</definedName>
    <definedName name="Z_6D5D71F0_C25E_4A20_AAD9_13707D9E0AED_.wvu.PrintArea" localSheetId="0" hidden="1">Sheet1!$A$1:$AJ$588</definedName>
    <definedName name="Z_7110BCB5_C242_4006_B056_E3ADAD3578E7_.wvu.FilterData" localSheetId="0" hidden="1">Sheet1!$A$4:$DE$588</definedName>
    <definedName name="Z_747340EB_2B31_46D2_ACDE_4FA91E2B50F6_.wvu.FilterData" localSheetId="0" hidden="1">Sheet1!$A$1:$DE$588</definedName>
    <definedName name="Z_747340EB_2B31_46D2_ACDE_4FA91E2B50F6_.wvu.PrintArea" localSheetId="0" hidden="1">Sheet1!$A$1:$AJ$588</definedName>
    <definedName name="Z_75FC0278_6C09_4E89_A68B_B06C003CBF69_.wvu.FilterData" localSheetId="0" hidden="1">Sheet1!$A$1:$AJ$588</definedName>
    <definedName name="Z_799A65B0_D762_4257_9EEB_02578FD2A697_.wvu.FilterData" localSheetId="0" hidden="1">Sheet1!$C$1:$C$588</definedName>
    <definedName name="Z_7A12EF56_0E17_493A_8E1E_6DFC6553C116_.wvu.FilterData" localSheetId="0" hidden="1">Sheet1!$A$4:$DE$468</definedName>
    <definedName name="Z_7A17A8CA_AF99_4D96_BCEC_898141635826_.wvu.FilterData" localSheetId="0" hidden="1">Sheet1!$A$4:$AJ$588</definedName>
    <definedName name="Z_7C1B4D6D_D666_48DD_AB17_E00791B6F0B6_.wvu.FilterData" localSheetId="0" hidden="1">Sheet1!$4:$588</definedName>
    <definedName name="Z_7C1B4D6D_D666_48DD_AB17_E00791B6F0B6_.wvu.PrintArea" localSheetId="0" hidden="1">Sheet1!$A$1:$AJ$588</definedName>
    <definedName name="Z_7C389A6C_C379_45EF_8779_FEC15F27C7E7_.wvu.FilterData" localSheetId="0" hidden="1">Sheet1!$C$1:$C$588</definedName>
    <definedName name="Z_7C3B80B0_9566_4DDC_9DF7_3BBB2DE77950_.wvu.FilterData" localSheetId="0" hidden="1">Sheet1!$A$1:$AJ$588</definedName>
    <definedName name="Z_7D2F4374_D571_49E4_B659_129D2AFDC43C_.wvu.FilterData" localSheetId="0" hidden="1">Sheet1!$A$4:$AJ$588</definedName>
    <definedName name="Z_7DFDB102_AB8E_41EB_81A4_CD36F3B45121_.wvu.FilterData" localSheetId="0" hidden="1">Sheet1!$A$4:$DE$588</definedName>
    <definedName name="Z_83085181_C77C_4D05_8C8A_9B8FFC5A1DD7_.wvu.FilterData" localSheetId="0" hidden="1">Sheet1!$A$4:$AJ$588</definedName>
    <definedName name="Z_831F7439_6937_483F_B601_184FEF5CECFD_.wvu.FilterData" localSheetId="0" hidden="1">Sheet1!$A$4:$AJ$588</definedName>
    <definedName name="Z_84FB199A_D56E_4FDD_AC4A_70CE86CD87BC_.wvu.FilterData" localSheetId="0" hidden="1">Sheet1!$A$1:$AK$588</definedName>
    <definedName name="Z_84FB199A_D56E_4FDD_AC4A_70CE86CD87BC_.wvu.PrintArea" localSheetId="0" hidden="1">Sheet1!$A$1:$AJ$588</definedName>
    <definedName name="Z_85F3C892_C52D_490E_9A31_2EBB79CFE6B3_.wvu.FilterData" localSheetId="0" hidden="1">Sheet1!$A$4:$DE$588</definedName>
    <definedName name="Z_87F9ACD0_3200_450C_B310_DAAD5FC85307_.wvu.FilterData" localSheetId="0" hidden="1">Sheet1!$A$4:$AJ$588</definedName>
    <definedName name="Z_89EE8E7D_C811_4C16_975A_830983580DAD_.wvu.FilterData" localSheetId="0" hidden="1">Sheet1!$A$4:$DE$588</definedName>
    <definedName name="Z_89F20599_320E_4C2A_9159_8E9F2F24F61C_.wvu.FilterData" localSheetId="0" hidden="1">Sheet1!$A$4:$AJ$588</definedName>
    <definedName name="Z_8A10B14C_0158_4D10_BD20_3EA3BE79AE5C_.wvu.FilterData" localSheetId="0" hidden="1">Sheet1!$A$1:$AJ$588</definedName>
    <definedName name="Z_8AA945B4_D724_4D85_9940_66A1F18CFF54_.wvu.FilterData" localSheetId="0" hidden="1">Sheet1!$A$1:$AJ$588</definedName>
    <definedName name="Z_8EDB8BF9_8BBB_4EEE_B4F0_C5928D0746DD_.wvu.FilterData" localSheetId="0" hidden="1">Sheet1!$A$1:$DE$588</definedName>
    <definedName name="Z_901F9774_8BE7_424D_87C2_1026F3FA2E93_.wvu.FilterData" localSheetId="0" hidden="1">Sheet1!$1:$605</definedName>
    <definedName name="Z_901F9774_8BE7_424D_87C2_1026F3FA2E93_.wvu.PrintArea" localSheetId="0" hidden="1">Sheet1!$A$1:$AJ$588</definedName>
    <definedName name="Z_902D3CAF_0577_4A3F_A86A_C01FD8CA4695_.wvu.FilterData" localSheetId="0" hidden="1">Sheet1!$A$4:$AJ$588</definedName>
    <definedName name="Z_9048650B_365B_48D5_8FC2_A911C6E66865_.wvu.FilterData" localSheetId="0" hidden="1">Sheet1!$A$1:$AJ$588</definedName>
    <definedName name="Z_905D93EA_5662_45AB_8995_A9908B3E5D52_.wvu.FilterData" localSheetId="0" hidden="1">Sheet1!$B$1:$B$605</definedName>
    <definedName name="Z_905D93EA_5662_45AB_8995_A9908B3E5D52_.wvu.PrintArea" localSheetId="0" hidden="1">Sheet1!$A$1:$AJ$588</definedName>
    <definedName name="Z_90D527B8_FE15_48EB_8A8E_6DB0EBF25D81_.wvu.FilterData" localSheetId="0" hidden="1">Sheet1!$A$1:$AJ$588</definedName>
    <definedName name="Z_91199DA1_59E7_4345_8CB7_A1085C901326_.wvu.FilterData" localSheetId="0" hidden="1">Sheet1!$A$4:$AJ$588</definedName>
    <definedName name="Z_91251A9B_6CF6_49E6_857D_BA6C728D7C53_.wvu.FilterData" localSheetId="0" hidden="1">Sheet1!$A$1:$DE$468</definedName>
    <definedName name="Z_9220B091_2E17_41A5_97CA_6AF44BB60369_.wvu.FilterData" localSheetId="0" hidden="1">Sheet1!$A$4:$DE$588</definedName>
    <definedName name="Z_923E7374_9C36_4380_9E0A_313EA2F408F0_.wvu.FilterData" localSheetId="0" hidden="1">Sheet1!$A$4:$AJ$588</definedName>
    <definedName name="Z_9552AAE6_9279_4387_9199_64D0E8A50A87_.wvu.FilterData" localSheetId="0" hidden="1">Sheet1!$A$4:$DE$588</definedName>
    <definedName name="Z_97F6C5A1_2596_4037_A854_1D6AE8A1071E_.wvu.FilterData" localSheetId="0" hidden="1">Sheet1!$A$4:$AJ$588</definedName>
    <definedName name="Z_98856761_4C70_4981_B8AD_C4287D704600_.wvu.FilterData" localSheetId="0" hidden="1">Sheet1!$A$1:$DE$588</definedName>
    <definedName name="Z_9980B309_0131_4577_BF29_212714399FDF_.wvu.FilterData" localSheetId="0" hidden="1">Sheet1!$A$1:$AJ$588</definedName>
    <definedName name="Z_9980B309_0131_4577_BF29_212714399FDF_.wvu.PrintArea" localSheetId="0" hidden="1">Sheet1!$A$1:$AJ$588</definedName>
    <definedName name="Z_99B0F6B4_A00E_4E43_9763_E6AAA385A3A3_.wvu.FilterData" localSheetId="0" hidden="1">Sheet1!$A$4:$AJ$588</definedName>
    <definedName name="Z_9A73B541_5E5D_49AE_9E83_D476C83586E3_.wvu.FilterData" localSheetId="0" hidden="1">Sheet1!$A$4:$AJ$588</definedName>
    <definedName name="Z_9DBBEDFC_B195_46CE_A9AF_AB019B7FD545_.wvu.FilterData" localSheetId="0" hidden="1">Sheet1!$A$4:$DE$588</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Sheet1!$A$1:$AJ$588</definedName>
    <definedName name="Z_9F268523_731B_48FE_86AA_1A6382332A83_.wvu.FilterData" localSheetId="0" hidden="1">Sheet1!$A$4:$AJ$588</definedName>
    <definedName name="Z_A093D1FA_1747_4946_A02E_7D721604BB07_.wvu.FilterData" localSheetId="0" hidden="1">Sheet1!$B$1:$B$588</definedName>
    <definedName name="Z_A3134A53_5204_4FFF_BA84_3528D3179C0C_.wvu.FilterData" localSheetId="0" hidden="1">Sheet1!$A$3:$AJ$380</definedName>
    <definedName name="Z_A5B1481C_EF26_486A_984F_85CDDC2FD94F_.wvu.FilterData" localSheetId="0" hidden="1">Sheet1!$A$4:$DE$588</definedName>
    <definedName name="Z_A5B1481C_EF26_486A_984F_85CDDC2FD94F_.wvu.PrintArea" localSheetId="0" hidden="1">Sheet1!$A$1:$AJ$588</definedName>
    <definedName name="Z_A5EFE636_E984_4BB3_BEFD_877FE7A4960F_.wvu.FilterData" localSheetId="0" hidden="1">Sheet1!$A$4:$AJ$588</definedName>
    <definedName name="Z_A87F3E0E_3A8E_4B82_8170_33752259B7DB_.wvu.FilterData" localSheetId="0" hidden="1">Sheet1!$A$4:$AJ$588</definedName>
    <definedName name="Z_A87F3E0E_3A8E_4B82_8170_33752259B7DB_.wvu.PrintArea" localSheetId="0" hidden="1">Sheet1!$A$1:$AJ$588</definedName>
    <definedName name="Z_A9B3B58E_F12B_4916_890B_7D88AA745B81_.wvu.FilterData" localSheetId="0" hidden="1">Sheet1!$A$1:$DE$588</definedName>
    <definedName name="Z_A9C8B68B_7CCD_4DC7_92B4_0CF91200625C_.wvu.FilterData" localSheetId="0" hidden="1">Sheet1!$A$1:$AK$44</definedName>
    <definedName name="Z_AD1D8E66_18A9_4CB7_BBE4_02F7E757257F_.wvu.FilterData" localSheetId="0" hidden="1">Sheet1!$A$1:$DE$588</definedName>
    <definedName name="Z_ADCF07FA_E31E_45AC_A5B3_F3B126787A65_.wvu.FilterData" localSheetId="0" hidden="1">Sheet1!$A$1:$AK$515</definedName>
    <definedName name="Z_AE58BCBC_9F06_4E6C_A28B_2F5626DD7C1B_.wvu.FilterData" localSheetId="0" hidden="1">Sheet1!$A$4:$AJ$588</definedName>
    <definedName name="Z_AE8F3F1B_FDCB_45A5_9CC8_53B4E3A0445E_.wvu.FilterData" localSheetId="0" hidden="1">Sheet1!$A$1:$DE$468</definedName>
    <definedName name="Z_AECBC9F6_D9DE_4043_9C2F_160F7ECDAD3D_.wvu.FilterData" localSheetId="0" hidden="1">Sheet1!$A$4:$AJ$588</definedName>
    <definedName name="Z_B31B819C_CFEB_4B80_9AED_AC603C39BE78_.wvu.FilterData" localSheetId="0" hidden="1">Sheet1!$A$4:$DE$588</definedName>
    <definedName name="Z_B407928D_3938_4D05_B2B2_40B4F21D0436_.wvu.FilterData" localSheetId="0" hidden="1">Sheet1!#REF!</definedName>
    <definedName name="Z_B4445EFA_1A45_4C3B_9EA1_0E0790FECD3E_.wvu.FilterData" localSheetId="0" hidden="1">Sheet1!$A$4:$AJ$588</definedName>
    <definedName name="Z_B5BED753_4D8C_498E_8AE1_A08F7C0956F7_.wvu.FilterData" localSheetId="0" hidden="1">Sheet1!$A$4:$DE$588</definedName>
    <definedName name="Z_B5E00E2B_FB21_48A9_A2B7_06EAAF1DCD1F_.wvu.FilterData" localSheetId="0" hidden="1">Sheet1!$A$1:$AJ$588</definedName>
    <definedName name="Z_B86F2F61_43FD_4B29_80BE_D157A760919E_.wvu.FilterData" localSheetId="0" hidden="1">Sheet1!$A$4:$AJ$588</definedName>
    <definedName name="Z_BB5C630D_1317_4843_984F_E431986514A4_.wvu.FilterData" localSheetId="0" hidden="1">Sheet1!$A$4:$AJ$588</definedName>
    <definedName name="Z_BBF2EF6C_D4AD_46E1_803F_582F4D45F852_.wvu.FilterData" localSheetId="0" hidden="1">Sheet1!$A$1:$DE$588</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Sheet1!$A$1:$AJ$588</definedName>
    <definedName name="Z_C3502361_AD2C_4705_878B_D12169ED60B1_.wvu.FilterData" localSheetId="0" hidden="1">Sheet1!$A$4:$AJ$588</definedName>
    <definedName name="Z_C3502361_AD2C_4705_878B_D12169ED60B1_.wvu.PrintArea" localSheetId="0" hidden="1">Sheet1!$A$1:$AJ$588</definedName>
    <definedName name="Z_C408A2F1_296F_4EAD_B15B_336D73846FDD_.wvu.FilterData" localSheetId="0" hidden="1">Sheet1!$A$1:$AJ$588</definedName>
    <definedName name="Z_C408A2F1_296F_4EAD_B15B_336D73846FDD_.wvu.PrintArea" localSheetId="0" hidden="1">Sheet1!$A$1:$AJ$588</definedName>
    <definedName name="Z_C4E44235_F714_4BCE_B2B0_F4813D3BDF91_.wvu.FilterData" localSheetId="0" hidden="1">Sheet1!$A$4:$AJ$588</definedName>
    <definedName name="Z_C617B00B_5C1E_453A_BF77_BE61E91ACD97_.wvu.FilterData" localSheetId="0" hidden="1">Sheet1!$A$1:$DE$605</definedName>
    <definedName name="Z_C617B00B_5C1E_453A_BF77_BE61E91ACD97_.wvu.PrintArea" localSheetId="0" hidden="1">Sheet1!$A$1:$AJ$588</definedName>
    <definedName name="Z_C71F80D5_B6C1_4ED9_B18D_D719D69F5A47_.wvu.FilterData" localSheetId="0" hidden="1">Sheet1!$A$4:$AJ$588</definedName>
    <definedName name="Z_C90ECED7_D145_417E_BB55_4FC7FD4BF46C_.wvu.FilterData" localSheetId="0" hidden="1">Sheet1!$A$1:$DE$468</definedName>
    <definedName name="Z_CAB79FAE_AA32_4D62_A794_A6DB6513D801_.wvu.FilterData" localSheetId="0" hidden="1">Sheet1!$A$4:$AJ$588</definedName>
    <definedName name="Z_CC4BDE8D_BA98_4771_AE81_02F3DF26285D_.wvu.FilterData" localSheetId="0" hidden="1">Sheet1!$A$1:$AJ$588</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Sheet1!$A$4:$DE$588</definedName>
    <definedName name="Z_D365E121_F95E_415A_8CA0_9EA7ECCC60F5_.wvu.FilterData" localSheetId="0" hidden="1">Sheet1!$A$4:$AJ$588</definedName>
    <definedName name="Z_D3AEB135_5C7C_42C0_A07A_78B57DEB3E5D_.wvu.FilterData" localSheetId="0" hidden="1">Sheet1!$A$1:$AJ$588</definedName>
    <definedName name="Z_D56F5ED6_74F2_4AA3_9A98_EE5750FE63AF_.wvu.FilterData" localSheetId="0" hidden="1">Sheet1!$A$4:$DE$588</definedName>
    <definedName name="Z_D6684B8B_988F_4178_873C_47E3AB7327D0_.wvu.FilterData" localSheetId="0" hidden="1">Sheet1!$A$1:$AJ$588</definedName>
    <definedName name="Z_D802EE0F_98B9_4410_B31B_4ACC0EC9C9BC_.wvu.FilterData" localSheetId="0" hidden="1">Sheet1!$A$4:$AJ$588</definedName>
    <definedName name="Z_D9F6F366_DF3A_42DA_BFCE_91EC88AF7059_.wvu.FilterData" localSheetId="0" hidden="1">Sheet1!$A$4:$DE$588</definedName>
    <definedName name="Z_DA7616F9_5A5C_4D2A_B33C_B1EF83B6751E_.wvu.FilterData" localSheetId="0" hidden="1">Sheet1!$4:$588</definedName>
    <definedName name="Z_DAD27C7B_8B8A_46CB_98B5_59B1D1EFC319_.wvu.FilterData" localSheetId="0" hidden="1">Sheet1!$A$4:$DE$588</definedName>
    <definedName name="Z_DB41C7D7_14F0_4834_A7BD_0F1115A89C8E_.wvu.FilterData" localSheetId="0" hidden="1">Sheet1!$A$4:$DE$588</definedName>
    <definedName name="Z_DB43929D_F4B7_43FF_975F_960476D189E8_.wvu.FilterData" localSheetId="0" hidden="1">Sheet1!$A$4:$AJ$588</definedName>
    <definedName name="Z_DB51BB9F_5710_40B0_80E7_39B059BFD11D_.wvu.FilterData" localSheetId="0" hidden="1">Sheet1!$A$1:$DE$588</definedName>
    <definedName name="Z_DB51BB9F_5710_40B0_80E7_39B059BFD11D_.wvu.PrintArea" localSheetId="0" hidden="1">Sheet1!$A$1:$AJ$588</definedName>
    <definedName name="Z_DD7033C6_3EA7_4E73_ABEA_4285CD1957EA_.wvu.FilterData" localSheetId="0" hidden="1">Sheet1!$A$4:$AJ$588</definedName>
    <definedName name="Z_DD93CA86_AFD6_4C47_828D_70472BFCD288_.wvu.FilterData" localSheetId="0" hidden="1">Sheet1!$A$4:$AJ$588</definedName>
    <definedName name="Z_DE09B69C_7EEF_4060_8E06_F7DEC4B96D7E_.wvu.FilterData" localSheetId="0" hidden="1">Sheet1!$A$4:$AJ$588</definedName>
    <definedName name="Z_E388D237_97F4_4077_98EE_554EA7E7BDFD_.wvu.FilterData" localSheetId="0" hidden="1">Sheet1!$4:$588</definedName>
    <definedName name="Z_E53ADB69_E454_408C_8AAF_7FDA9FEDF6D0_.wvu.FilterData" localSheetId="0" hidden="1">Sheet1!$A$4:$DE$588</definedName>
    <definedName name="Z_E6455570_34BA_413B_82F6_378FA4CCBDF2_.wvu.FilterData" localSheetId="0" hidden="1">Sheet1!$A$4:$AJ$588</definedName>
    <definedName name="Z_E64C6006_DE37_44CA_8083_01C511E323D9_.wvu.FilterData" localSheetId="0" hidden="1">Sheet1!$A$3:$AJ$380</definedName>
    <definedName name="Z_E875C76B_3648_4C9A_A6B2_C3654837AAAC_.wvu.FilterData" localSheetId="0" hidden="1">Sheet1!$A$4:$DE$588</definedName>
    <definedName name="Z_EA64E7D7_BA48_4965_B650_778AE412FE0C_.wvu.FilterData" localSheetId="0" hidden="1">Sheet1!$A$1:$DE$588</definedName>
    <definedName name="Z_EA64E7D7_BA48_4965_B650_778AE412FE0C_.wvu.PrintArea" localSheetId="0" hidden="1">Sheet1!$A$1:$AJ$588</definedName>
    <definedName name="Z_EB0F2E6A_FA33_479E_9A47_8E3494FBB4DE_.wvu.FilterData" localSheetId="0" hidden="1">Sheet1!$A$4:$AJ$588</definedName>
    <definedName name="Z_EB0F2E6A_FA33_479E_9A47_8E3494FBB4DE_.wvu.PrintArea" localSheetId="0" hidden="1">Sheet1!$A$1:$AJ$588</definedName>
    <definedName name="Z_EB688584_325A_400C_AEB8_9170040049B0_.wvu.FilterData" localSheetId="0" hidden="1">Sheet1!$A$1:$AJ$588</definedName>
    <definedName name="Z_EBECCF5E_4B46_43F8_B11C_A2E3D2F626C0_.wvu.FilterData" localSheetId="0" hidden="1">Sheet1!$A$1:$AJ$588</definedName>
    <definedName name="Z_EC924560_B745_4DE3_A0D5_56BE5BB85747_.wvu.FilterData" localSheetId="0" hidden="1">Sheet1!$A$4:$AJ$588</definedName>
    <definedName name="Z_EEA37434_2D22_478B_B49F_C3E8CD4AC2E1_.wvu.FilterData" localSheetId="0" hidden="1">Sheet1!$A$4:$DE$588</definedName>
    <definedName name="Z_EEA37434_2D22_478B_B49F_C3E8CD4AC2E1_.wvu.PrintArea" localSheetId="0" hidden="1">Sheet1!$A$1:$AJ$588</definedName>
    <definedName name="Z_EF10298D_3F59_43F1_9A86_8C1CCA3B5D93_.wvu.FilterData" localSheetId="0" hidden="1">Sheet1!$A$4:$AJ$588</definedName>
    <definedName name="Z_EF10298D_3F59_43F1_9A86_8C1CCA3B5D93_.wvu.PrintArea" localSheetId="0" hidden="1">Sheet1!$A$1:$AJ$588</definedName>
    <definedName name="Z_EFE45138_A2B3_46EB_8A69_D9745D73FBF5_.wvu.FilterData" localSheetId="0" hidden="1">Sheet1!$A$4:$AJ$588</definedName>
    <definedName name="Z_F1FF8598_176D_475F_BFF2_4F9BDA2E6952_.wvu.FilterData" localSheetId="0" hidden="1">Sheet1!$A$1:$AJ$588</definedName>
    <definedName name="Z_F3A1A24F_74AB_497F_AC98_51305A547AD9_.wvu.FilterData" localSheetId="0" hidden="1">Sheet1!$A$4:$AJ$588</definedName>
    <definedName name="Z_F52D90D4_508D_43B6_8295_6D179E5F0FEB_.wvu.FilterData" localSheetId="0" hidden="1">Sheet1!$A$4:$AJ$588</definedName>
    <definedName name="Z_F87A8A59_D53A_435C_8A87_4EC432C7A064_.wvu.FilterData" localSheetId="0" hidden="1">Sheet1!$A$1:$DE$605</definedName>
    <definedName name="Z_F952A18B_3430_4F65_89F2_B7C17998F981_.wvu.FilterData" localSheetId="0" hidden="1">Sheet1!$A$4:$AJ$588</definedName>
    <definedName name="Z_FC0B350C_CDF7_408B_82D9_51AB34E1E398_.wvu.FilterData" localSheetId="0" hidden="1">Sheet1!$A$1:$AJ$588</definedName>
    <definedName name="Z_FCA57096_6DC5_4D66_B221_076BCE14BFDB_.wvu.FilterData" localSheetId="0" hidden="1">Sheet1!$A$4:$AJ$588</definedName>
    <definedName name="Z_FE50EAC0_52A5_4C33_B973_65E93D03D3EA_.wvu.FilterData" localSheetId="0" hidden="1">Sheet1!$A$1:$AJ$588</definedName>
    <definedName name="Z_FE50EAC0_52A5_4C33_B973_65E93D03D3EA_.wvu.PrintArea" localSheetId="0" hidden="1">Sheet1!$A$1:$AJ$588</definedName>
    <definedName name="Z_FFC44E67_8559_4D31_893D_BF5BA4229E04_.wvu.FilterData" localSheetId="0" hidden="1">Sheet1!$A$1:$AJ$468</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1" i="1" l="1"/>
  <c r="S589" i="1" l="1"/>
  <c r="T589" i="1"/>
  <c r="U589" i="1"/>
  <c r="V589" i="1"/>
  <c r="W589" i="1"/>
  <c r="X589" i="1"/>
  <c r="Y589" i="1"/>
  <c r="Z589" i="1"/>
  <c r="AA589" i="1"/>
  <c r="AB589" i="1"/>
  <c r="AC589" i="1"/>
  <c r="AD589" i="1"/>
  <c r="AE589" i="1"/>
  <c r="AF589" i="1"/>
  <c r="AI589" i="1"/>
  <c r="AJ589" i="1"/>
  <c r="R589"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6" i="1"/>
  <c r="A7"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 i="1"/>
  <c r="A4" i="1"/>
  <c r="AJ124" i="1"/>
  <c r="AJ175" i="1"/>
  <c r="AI175" i="1"/>
  <c r="AI27" i="1"/>
  <c r="AJ158" i="1"/>
  <c r="AJ496" i="1"/>
  <c r="AI553" i="1"/>
  <c r="AI555" i="1"/>
  <c r="AJ572" i="1"/>
  <c r="AI572" i="1"/>
  <c r="AI562" i="1"/>
  <c r="AI563" i="1"/>
  <c r="AJ566" i="1"/>
  <c r="AI566" i="1"/>
  <c r="AI559" i="1"/>
  <c r="AJ125" i="1"/>
  <c r="AI125" i="1"/>
  <c r="AI124" i="1"/>
  <c r="AJ69" i="1"/>
  <c r="AI69" i="1"/>
  <c r="AJ251" i="1"/>
  <c r="AI251" i="1"/>
  <c r="AJ140" i="1"/>
  <c r="AI140" i="1"/>
  <c r="AJ289" i="1"/>
  <c r="AI289" i="1"/>
  <c r="AJ239" i="1"/>
  <c r="AI239" i="1"/>
  <c r="AJ263" i="1"/>
  <c r="AI263" i="1"/>
  <c r="AI178" i="1"/>
  <c r="AJ38" i="1"/>
  <c r="AI38" i="1"/>
  <c r="AJ238" i="1"/>
  <c r="AI238" i="1"/>
  <c r="AJ29" i="1"/>
  <c r="AI29" i="1"/>
  <c r="AJ177" i="1"/>
  <c r="AI177" i="1"/>
  <c r="AJ243" i="1"/>
  <c r="AI243" i="1"/>
  <c r="AJ92" i="1"/>
  <c r="AI92" i="1"/>
  <c r="AJ82" i="1"/>
  <c r="AI82" i="1"/>
  <c r="AJ255" i="1"/>
  <c r="AI255" i="1"/>
  <c r="AJ115" i="1"/>
  <c r="AI115" i="1"/>
  <c r="AJ68" i="1"/>
  <c r="AI68" i="1"/>
  <c r="AJ210" i="1"/>
  <c r="AI210" i="1"/>
  <c r="AJ48" i="1"/>
  <c r="AI48" i="1"/>
  <c r="AJ581" i="1"/>
  <c r="AI581" i="1"/>
  <c r="AJ504" i="1"/>
  <c r="AI504" i="1"/>
  <c r="AI565" i="1"/>
  <c r="AI564" i="1"/>
  <c r="AI574" i="1"/>
  <c r="AI532" i="1"/>
  <c r="AI536" i="1"/>
  <c r="AI529" i="1"/>
  <c r="AI518" i="1"/>
  <c r="AI576" i="1"/>
  <c r="AI538" i="1"/>
  <c r="AJ223" i="1"/>
  <c r="AI223" i="1"/>
  <c r="AJ262" i="1"/>
  <c r="AI262" i="1"/>
  <c r="AJ174" i="1"/>
  <c r="AI174" i="1"/>
  <c r="AJ249" i="1"/>
  <c r="AI249" i="1"/>
  <c r="AJ98" i="1"/>
  <c r="AI98" i="1"/>
  <c r="AJ97" i="1"/>
  <c r="AI97" i="1"/>
  <c r="AJ172" i="1"/>
  <c r="AI172" i="1"/>
  <c r="AI495" i="1"/>
  <c r="AJ35" i="1"/>
  <c r="AI35" i="1"/>
  <c r="AJ14" i="1"/>
  <c r="AI14" i="1"/>
  <c r="AJ189" i="1"/>
  <c r="AI189" i="1"/>
  <c r="AJ78" i="1"/>
  <c r="AI78" i="1"/>
  <c r="AJ254" i="1"/>
  <c r="AI254" i="1"/>
  <c r="AI508" i="1"/>
  <c r="AI480" i="1"/>
  <c r="AI501" i="1"/>
  <c r="AI513" i="1"/>
  <c r="AI496" i="1"/>
  <c r="AJ543" i="1"/>
  <c r="AI543" i="1"/>
  <c r="AI487" i="1"/>
  <c r="AI509" i="1"/>
  <c r="AJ548" i="1"/>
  <c r="AI548" i="1"/>
  <c r="AI535" i="1"/>
  <c r="AJ542" i="1"/>
  <c r="AI542" i="1"/>
  <c r="AJ490" i="1"/>
  <c r="AI490" i="1"/>
  <c r="AJ503" i="1"/>
  <c r="AI503" i="1"/>
  <c r="AI514" i="1"/>
  <c r="AJ12" i="1"/>
  <c r="AI12" i="1"/>
  <c r="AI497" i="1"/>
  <c r="AJ32" i="1"/>
  <c r="AI32" i="1"/>
  <c r="AJ286" i="1"/>
  <c r="AI286" i="1"/>
  <c r="AJ64" i="1"/>
  <c r="AI64" i="1"/>
  <c r="AJ27" i="1"/>
  <c r="AJ66" i="1"/>
  <c r="AI66" i="1"/>
  <c r="AJ248" i="1"/>
  <c r="AI248" i="1"/>
  <c r="AJ196" i="1"/>
  <c r="AI196" i="1"/>
  <c r="AJ267" i="1"/>
  <c r="AI267" i="1"/>
  <c r="AJ51" i="1"/>
  <c r="AI51" i="1"/>
  <c r="AJ234" i="1"/>
  <c r="AI234" i="1"/>
  <c r="AJ86" i="1"/>
  <c r="AI86" i="1"/>
  <c r="AJ201" i="1"/>
  <c r="AI201" i="1"/>
  <c r="AJ145" i="1"/>
  <c r="AI145" i="1"/>
  <c r="AJ121" i="1"/>
  <c r="AI121" i="1"/>
  <c r="AI233" i="1"/>
  <c r="AJ233" i="1"/>
  <c r="AI158" i="1"/>
  <c r="AJ137" i="1"/>
  <c r="AI137" i="1"/>
  <c r="AJ461" i="1"/>
  <c r="AI461" i="1"/>
  <c r="AI297" i="1"/>
  <c r="AI391" i="1"/>
  <c r="AI379" i="1"/>
  <c r="AI350" i="1"/>
  <c r="AI344" i="1"/>
  <c r="AI429" i="1"/>
  <c r="AI298" i="1"/>
  <c r="AI13" i="1"/>
  <c r="AJ185" i="1" l="1"/>
  <c r="AI185" i="1"/>
  <c r="AI584" i="1"/>
  <c r="AI583" i="1"/>
  <c r="AI561" i="1"/>
  <c r="AJ81" i="1"/>
  <c r="AI81" i="1"/>
  <c r="AJ18" i="1" l="1"/>
  <c r="AI18" i="1"/>
  <c r="AJ130" i="1"/>
  <c r="AI130" i="1"/>
  <c r="AI53" i="1"/>
  <c r="AJ244" i="1"/>
  <c r="AI244" i="1"/>
  <c r="AJ252" i="1"/>
  <c r="AI252" i="1"/>
  <c r="AJ104" i="1"/>
  <c r="AI104" i="1"/>
  <c r="AJ37" i="1"/>
  <c r="AI37" i="1"/>
  <c r="AJ114" i="1"/>
  <c r="AI114" i="1"/>
  <c r="AJ99" i="1"/>
  <c r="AI99" i="1"/>
  <c r="AJ17" i="1"/>
  <c r="AI17" i="1"/>
  <c r="AJ178" i="1"/>
  <c r="AJ217" i="1"/>
  <c r="AI217" i="1"/>
  <c r="AJ15" i="1"/>
  <c r="AI15" i="1"/>
  <c r="AJ218" i="1"/>
  <c r="AI218" i="1"/>
  <c r="AJ91" i="1"/>
  <c r="AI91" i="1"/>
  <c r="AJ151" i="1"/>
  <c r="AI151" i="1"/>
  <c r="AJ203" i="1"/>
  <c r="AI203" i="1"/>
  <c r="AJ113" i="1"/>
  <c r="AI113" i="1"/>
  <c r="AI556" i="1"/>
  <c r="AI554" i="1"/>
  <c r="AI510" i="1"/>
  <c r="AJ539" i="1"/>
  <c r="AI539" i="1"/>
  <c r="AJ549" i="1"/>
  <c r="AI549" i="1"/>
  <c r="AI526" i="1"/>
  <c r="AI547" i="1"/>
  <c r="AJ544" i="1"/>
  <c r="AI544" i="1"/>
  <c r="AI519" i="1"/>
  <c r="AJ536" i="1"/>
  <c r="AI517" i="1"/>
  <c r="AI520" i="1"/>
  <c r="AJ550" i="1"/>
  <c r="AI550" i="1"/>
  <c r="AJ79" i="1"/>
  <c r="AI79" i="1"/>
  <c r="AJ229" i="1"/>
  <c r="AI229" i="1"/>
  <c r="AJ67" i="1"/>
  <c r="AI67" i="1"/>
  <c r="AJ129" i="1"/>
  <c r="AI129" i="1"/>
  <c r="AJ242" i="1"/>
  <c r="AI242" i="1"/>
  <c r="AJ47" i="1"/>
  <c r="AI47" i="1"/>
  <c r="AJ208" i="1"/>
  <c r="AI208" i="1"/>
  <c r="AI76" i="1"/>
  <c r="AJ173" i="1"/>
  <c r="AI173" i="1"/>
  <c r="AJ194" i="1"/>
  <c r="AI194" i="1"/>
  <c r="AJ183" i="1"/>
  <c r="AI183" i="1"/>
  <c r="AJ102" i="1"/>
  <c r="AI102" i="1"/>
  <c r="AJ513" i="1"/>
  <c r="AI511" i="1"/>
  <c r="AJ494" i="1"/>
  <c r="AI494" i="1"/>
  <c r="AJ487" i="1"/>
  <c r="AI484" i="1"/>
  <c r="AI516" i="1"/>
  <c r="AJ486" i="1"/>
  <c r="AI486" i="1"/>
  <c r="AI545" i="1"/>
  <c r="AI499" i="1"/>
  <c r="AI502" i="1"/>
  <c r="AI534" i="1"/>
  <c r="AJ96" i="1"/>
  <c r="AI96" i="1"/>
  <c r="AJ247" i="1"/>
  <c r="AI247" i="1"/>
  <c r="AJ241" i="1"/>
  <c r="AI241" i="1"/>
  <c r="AJ260" i="1"/>
  <c r="AI260" i="1"/>
  <c r="AJ13" i="1"/>
  <c r="AJ431" i="1"/>
  <c r="AI431" i="1"/>
  <c r="AJ297" i="1"/>
  <c r="AJ404" i="1"/>
  <c r="AI404" i="1"/>
  <c r="AI392" i="1"/>
  <c r="AI482" i="1"/>
  <c r="AI460" i="1"/>
  <c r="AI387" i="1"/>
  <c r="AI478" i="1"/>
  <c r="AI464" i="1"/>
  <c r="AI300" i="1"/>
  <c r="AI338" i="1"/>
  <c r="AI335" i="1"/>
  <c r="X162" i="1"/>
  <c r="U162" i="1"/>
  <c r="R162" i="1"/>
  <c r="AJ211" i="1"/>
  <c r="AJ53" i="1"/>
  <c r="AJ269" i="1"/>
  <c r="AI269" i="1"/>
  <c r="AI211" i="1"/>
  <c r="AJ279" i="1"/>
  <c r="AI279" i="1"/>
  <c r="AJ293" i="1"/>
  <c r="AI293" i="1"/>
  <c r="AJ288" i="1"/>
  <c r="AI288" i="1"/>
  <c r="AJ278" i="1"/>
  <c r="AI278" i="1"/>
  <c r="AJ187" i="1"/>
  <c r="AI187" i="1"/>
  <c r="AJ213" i="1"/>
  <c r="AI213" i="1"/>
  <c r="AJ256" i="1"/>
  <c r="AI256" i="1"/>
  <c r="AJ258" i="1"/>
  <c r="AI258" i="1"/>
  <c r="AJ16" i="1"/>
  <c r="AI16" i="1"/>
  <c r="AI551" i="1"/>
  <c r="AI531" i="1"/>
  <c r="AI522" i="1"/>
  <c r="AI505" i="1"/>
  <c r="AI512" i="1"/>
  <c r="AI558" i="1"/>
  <c r="AI557" i="1"/>
  <c r="AI582" i="1"/>
  <c r="AJ222" i="1"/>
  <c r="AI222" i="1"/>
  <c r="AJ46" i="1"/>
  <c r="AI46" i="1"/>
  <c r="AJ197" i="1"/>
  <c r="AI197" i="1"/>
  <c r="AJ209" i="1"/>
  <c r="AI209" i="1"/>
  <c r="AJ76" i="1"/>
  <c r="AJ28" i="1"/>
  <c r="AI28" i="1"/>
  <c r="AJ88" i="1"/>
  <c r="AI88" i="1"/>
  <c r="AJ184" i="1"/>
  <c r="AI184" i="1"/>
  <c r="AJ287" i="1"/>
  <c r="AI287" i="1"/>
  <c r="AI507" i="1"/>
  <c r="AI500" i="1"/>
  <c r="AJ501" i="1"/>
  <c r="AJ491" i="1"/>
  <c r="AI491" i="1"/>
  <c r="AI506" i="1"/>
  <c r="AI515" i="1"/>
  <c r="AJ493" i="1"/>
  <c r="AI493" i="1"/>
  <c r="AJ143" i="1"/>
  <c r="AI143" i="1"/>
  <c r="AJ120" i="1"/>
  <c r="AI120" i="1"/>
  <c r="AJ227" i="1"/>
  <c r="AI227" i="1"/>
  <c r="AJ170" i="1"/>
  <c r="AI170" i="1"/>
  <c r="AJ216" i="1"/>
  <c r="AI216" i="1"/>
  <c r="AJ75" i="1"/>
  <c r="AI75" i="1"/>
  <c r="AJ139" i="1"/>
  <c r="AI139" i="1"/>
  <c r="AJ435" i="1"/>
  <c r="AI435" i="1"/>
  <c r="AJ376" i="1"/>
  <c r="AI376" i="1"/>
  <c r="AI321" i="1"/>
  <c r="AI363" i="1"/>
  <c r="AI310" i="1"/>
  <c r="AI332" i="1"/>
  <c r="AI353" i="1"/>
  <c r="AI295" i="1"/>
  <c r="AI317" i="1"/>
  <c r="AI261" i="1"/>
  <c r="AI575" i="1"/>
  <c r="AJ198" i="1"/>
  <c r="AI198" i="1"/>
  <c r="AI103" i="1"/>
  <c r="AJ160" i="1"/>
  <c r="AI160" i="1"/>
  <c r="AI528" i="1"/>
  <c r="AI537" i="1"/>
  <c r="AJ261" i="1"/>
  <c r="AJ138" i="1"/>
  <c r="AI138" i="1"/>
  <c r="AI483" i="1"/>
  <c r="AJ11" i="1"/>
  <c r="AI11" i="1"/>
  <c r="AJ110" i="1"/>
  <c r="AI110" i="1"/>
  <c r="AJ405" i="1"/>
  <c r="AI405" i="1"/>
  <c r="AJ438" i="1"/>
  <c r="AI438" i="1"/>
  <c r="AJ479" i="1"/>
  <c r="AI479" i="1"/>
  <c r="AJ349" i="1"/>
  <c r="AI349" i="1"/>
  <c r="AI381" i="1"/>
  <c r="AI305" i="1"/>
  <c r="U257" i="1"/>
  <c r="X257" i="1"/>
  <c r="AA257" i="1"/>
  <c r="AJ443" i="1"/>
  <c r="AJ452" i="1"/>
  <c r="AJ103" i="1" l="1"/>
  <c r="AJ188" i="1"/>
  <c r="AI188" i="1"/>
  <c r="AJ505" i="1"/>
  <c r="AJ101" i="1"/>
  <c r="AI101" i="1"/>
  <c r="AJ228" i="1"/>
  <c r="AI228" i="1"/>
  <c r="AJ275" i="1" l="1"/>
  <c r="AI275" i="1"/>
  <c r="AJ65" i="1"/>
  <c r="AI65" i="1"/>
  <c r="AJ157" i="1"/>
  <c r="AI157" i="1"/>
  <c r="AJ74" i="1"/>
  <c r="AI74" i="1"/>
  <c r="AI443" i="1"/>
  <c r="AI342" i="1" l="1"/>
  <c r="AI316" i="1"/>
  <c r="R588" i="1"/>
  <c r="U588" i="1"/>
  <c r="X588" i="1"/>
  <c r="AA588" i="1"/>
  <c r="AA587" i="1" l="1"/>
  <c r="X587" i="1"/>
  <c r="U587" i="1"/>
  <c r="R587" i="1"/>
  <c r="AI146" i="1"/>
  <c r="AJ146" i="1"/>
  <c r="AF588" i="1" l="1"/>
  <c r="L588" i="1"/>
  <c r="AI498" i="1"/>
  <c r="AJ530" i="1"/>
  <c r="AI530" i="1"/>
  <c r="AJ42" i="1"/>
  <c r="AI42" i="1"/>
  <c r="AJ58" i="1"/>
  <c r="AI58" i="1"/>
  <c r="AJ112" i="1"/>
  <c r="AI112" i="1"/>
  <c r="AJ163" i="1"/>
  <c r="AI163" i="1"/>
  <c r="AJ524" i="1"/>
  <c r="AI524" i="1"/>
  <c r="AI523" i="1"/>
  <c r="AI476" i="1"/>
  <c r="AJ126" i="1"/>
  <c r="AI126" i="1"/>
  <c r="AJ284" i="1"/>
  <c r="AI284" i="1"/>
  <c r="AJ162" i="1"/>
  <c r="AI162" i="1"/>
  <c r="AJ169" i="1"/>
  <c r="AI169" i="1"/>
  <c r="AJ207" i="1"/>
  <c r="AI207" i="1"/>
  <c r="AI336" i="1"/>
  <c r="AI348" i="1"/>
  <c r="AI299" i="1"/>
  <c r="AI351" i="1"/>
  <c r="L587" i="1" l="1"/>
  <c r="AF587" i="1"/>
  <c r="U586" i="1"/>
  <c r="X586" i="1"/>
  <c r="AA586" i="1"/>
  <c r="R586" i="1"/>
  <c r="AF586" i="1" l="1"/>
  <c r="R585" i="1"/>
  <c r="U585" i="1"/>
  <c r="X585" i="1"/>
  <c r="AA585" i="1"/>
  <c r="AJ202" i="1"/>
  <c r="AI202" i="1"/>
  <c r="AJ231" i="1"/>
  <c r="AI231" i="1"/>
  <c r="AJ176" i="1"/>
  <c r="AI176" i="1"/>
  <c r="AJ36" i="1"/>
  <c r="AI36" i="1"/>
  <c r="AI492" i="1"/>
  <c r="AI527" i="1"/>
  <c r="AJ80" i="1"/>
  <c r="AI80" i="1"/>
  <c r="AJ272" i="1"/>
  <c r="AI272" i="1"/>
  <c r="AJ485" i="1"/>
  <c r="AI485" i="1"/>
  <c r="AJ489" i="1"/>
  <c r="AI489" i="1"/>
  <c r="AJ499" i="1"/>
  <c r="AJ150" i="1"/>
  <c r="AI150" i="1"/>
  <c r="L586" i="1" l="1"/>
  <c r="AF585" i="1"/>
  <c r="AJ159" i="1"/>
  <c r="AI159" i="1"/>
  <c r="AJ375" i="1"/>
  <c r="AI375" i="1"/>
  <c r="AI341" i="1"/>
  <c r="AJ475" i="1"/>
  <c r="AI475" i="1"/>
  <c r="AI337" i="1"/>
  <c r="AI296" i="1"/>
  <c r="AI352" i="1"/>
  <c r="L585" i="1" l="1"/>
  <c r="AI152" i="1"/>
  <c r="AJ22" i="1" l="1"/>
  <c r="AI22" i="1"/>
  <c r="AI276" i="1"/>
  <c r="AI546" i="1" l="1"/>
  <c r="AI533" i="1"/>
  <c r="AI474" i="1" l="1"/>
  <c r="AI343" i="1"/>
  <c r="AJ190" i="1"/>
  <c r="AI190" i="1"/>
  <c r="AJ250" i="1"/>
  <c r="AI250" i="1"/>
  <c r="AI540" i="1"/>
  <c r="AJ77" i="1"/>
  <c r="AI77" i="1"/>
  <c r="AI477" i="1" l="1"/>
  <c r="AJ516" i="1"/>
  <c r="AJ10" i="1"/>
  <c r="AI10" i="1"/>
  <c r="AJ276" i="1"/>
  <c r="AJ20" i="1"/>
  <c r="AI20" i="1"/>
  <c r="AJ350" i="1"/>
  <c r="AJ474" i="1"/>
  <c r="AI315" i="1"/>
  <c r="S440" i="1"/>
  <c r="T440" i="1"/>
  <c r="U582" i="1" l="1"/>
  <c r="U583" i="1"/>
  <c r="U584" i="1"/>
  <c r="X582" i="1"/>
  <c r="X583" i="1"/>
  <c r="X584" i="1"/>
  <c r="AA582" i="1"/>
  <c r="AA583" i="1"/>
  <c r="AA584" i="1"/>
  <c r="R582" i="1"/>
  <c r="R583" i="1"/>
  <c r="R584" i="1"/>
  <c r="L584" i="1" l="1"/>
  <c r="AF582" i="1"/>
  <c r="R580" i="1"/>
  <c r="R581" i="1"/>
  <c r="U580" i="1"/>
  <c r="U581" i="1"/>
  <c r="X580" i="1"/>
  <c r="X581" i="1"/>
  <c r="AA580" i="1"/>
  <c r="AA581" i="1"/>
  <c r="L582" i="1" l="1"/>
  <c r="AF584" i="1"/>
  <c r="L583" i="1"/>
  <c r="AF583" i="1"/>
  <c r="AF580" i="1"/>
  <c r="L581" i="1"/>
  <c r="AA576" i="1"/>
  <c r="AA577" i="1"/>
  <c r="AA578" i="1"/>
  <c r="AA579" i="1"/>
  <c r="X576" i="1"/>
  <c r="X577" i="1"/>
  <c r="X578" i="1"/>
  <c r="X579" i="1"/>
  <c r="U576" i="1"/>
  <c r="U577" i="1"/>
  <c r="U578" i="1"/>
  <c r="U579" i="1"/>
  <c r="R576" i="1"/>
  <c r="R577" i="1"/>
  <c r="R578" i="1"/>
  <c r="R579" i="1"/>
  <c r="AF577" i="1" l="1"/>
  <c r="AF579" i="1"/>
  <c r="L580" i="1"/>
  <c r="AF581" i="1"/>
  <c r="AF578" i="1"/>
  <c r="L576" i="1"/>
  <c r="R575" i="1"/>
  <c r="U575" i="1"/>
  <c r="X575" i="1"/>
  <c r="AA575" i="1"/>
  <c r="X573" i="1"/>
  <c r="X574" i="1"/>
  <c r="AA573" i="1"/>
  <c r="AA574" i="1"/>
  <c r="U573" i="1"/>
  <c r="U574" i="1"/>
  <c r="R573" i="1"/>
  <c r="R574" i="1"/>
  <c r="U572" i="1"/>
  <c r="X572" i="1"/>
  <c r="AA572" i="1"/>
  <c r="R572" i="1"/>
  <c r="L577" i="1" l="1"/>
  <c r="L579" i="1"/>
  <c r="L578" i="1"/>
  <c r="AF576" i="1"/>
  <c r="AF575" i="1"/>
  <c r="AF573" i="1"/>
  <c r="AF574" i="1"/>
  <c r="L572" i="1"/>
  <c r="AA571" i="1"/>
  <c r="X571" i="1"/>
  <c r="U571" i="1"/>
  <c r="R571" i="1"/>
  <c r="AA570" i="1"/>
  <c r="X570" i="1"/>
  <c r="U570" i="1"/>
  <c r="R570" i="1"/>
  <c r="AI54" i="1"/>
  <c r="AI257" i="1"/>
  <c r="AJ90" i="1"/>
  <c r="AI90" i="1"/>
  <c r="AJ230" i="1"/>
  <c r="AI230" i="1"/>
  <c r="AJ41" i="1"/>
  <c r="AI41" i="1"/>
  <c r="L575" i="1" l="1"/>
  <c r="L574" i="1"/>
  <c r="L573" i="1"/>
  <c r="AF572" i="1"/>
  <c r="L571" i="1"/>
  <c r="L570" i="1"/>
  <c r="AF571" i="1" l="1"/>
  <c r="AF570" i="1"/>
  <c r="AJ109" i="1"/>
  <c r="AI109" i="1"/>
  <c r="AJ57" i="1"/>
  <c r="AI57" i="1"/>
  <c r="AJ285" i="1"/>
  <c r="AI285" i="1"/>
  <c r="AI407" i="1"/>
  <c r="AI374" i="1"/>
  <c r="AI329" i="1"/>
  <c r="R569" i="1" l="1"/>
  <c r="U569" i="1"/>
  <c r="X569" i="1"/>
  <c r="AA569" i="1"/>
  <c r="AJ52" i="1" l="1"/>
  <c r="AI52" i="1"/>
  <c r="AJ245" i="1"/>
  <c r="AI245" i="1"/>
  <c r="AF569" i="1" l="1"/>
  <c r="L569" i="1"/>
  <c r="U74" i="1"/>
  <c r="X74" i="1"/>
  <c r="AA74" i="1"/>
  <c r="U568" i="1"/>
  <c r="X568" i="1"/>
  <c r="AA568" i="1"/>
  <c r="R568" i="1"/>
  <c r="L568" i="1" l="1"/>
  <c r="AF568" i="1" l="1"/>
  <c r="AA567" i="1"/>
  <c r="X567" i="1"/>
  <c r="U567" i="1"/>
  <c r="R567" i="1"/>
  <c r="AF567" i="1" l="1"/>
  <c r="L567" i="1" l="1"/>
  <c r="AJ111" i="1" l="1"/>
  <c r="AI111" i="1"/>
  <c r="AJ273" i="1"/>
  <c r="AI273" i="1"/>
  <c r="AJ246" i="1"/>
  <c r="AI246" i="1"/>
  <c r="AJ428" i="1"/>
  <c r="AI428" i="1"/>
  <c r="AJ466" i="1"/>
  <c r="AI466" i="1"/>
  <c r="AJ459" i="1"/>
  <c r="AI459" i="1"/>
  <c r="U566" i="1"/>
  <c r="X566" i="1"/>
  <c r="AA566" i="1"/>
  <c r="R566" i="1"/>
  <c r="X565" i="1" l="1"/>
  <c r="U564" i="1"/>
  <c r="U565" i="1"/>
  <c r="X564" i="1"/>
  <c r="AA564" i="1"/>
  <c r="AA565" i="1"/>
  <c r="R564" i="1"/>
  <c r="R565" i="1"/>
  <c r="U563" i="1"/>
  <c r="X563" i="1"/>
  <c r="AA563" i="1"/>
  <c r="R563" i="1"/>
  <c r="L566" i="1" l="1"/>
  <c r="AF566" i="1"/>
  <c r="AF564" i="1"/>
  <c r="L563" i="1"/>
  <c r="AC440" i="1"/>
  <c r="AB440" i="1"/>
  <c r="W440" i="1"/>
  <c r="V440" i="1"/>
  <c r="L564" i="1" l="1"/>
  <c r="AF565" i="1"/>
  <c r="L565" i="1"/>
  <c r="AF563" i="1"/>
  <c r="AJ436" i="1"/>
  <c r="AI436" i="1"/>
  <c r="AJ472" i="1"/>
  <c r="AI472" i="1"/>
  <c r="U562" i="1"/>
  <c r="X562" i="1"/>
  <c r="AA562" i="1"/>
  <c r="U561" i="1" l="1"/>
  <c r="U560" i="1"/>
  <c r="X560" i="1"/>
  <c r="X561" i="1"/>
  <c r="AA561" i="1"/>
  <c r="AA560" i="1"/>
  <c r="R560" i="1"/>
  <c r="R561" i="1"/>
  <c r="R562" i="1"/>
  <c r="U559" i="1"/>
  <c r="U558" i="1"/>
  <c r="U557" i="1"/>
  <c r="X557" i="1"/>
  <c r="X558" i="1"/>
  <c r="X559" i="1"/>
  <c r="AA559" i="1"/>
  <c r="AA558" i="1"/>
  <c r="AA557" i="1"/>
  <c r="R557" i="1"/>
  <c r="R558" i="1"/>
  <c r="R559" i="1"/>
  <c r="U125" i="1"/>
  <c r="X125" i="1"/>
  <c r="AA125" i="1"/>
  <c r="R125" i="1"/>
  <c r="U556" i="1"/>
  <c r="X556" i="1"/>
  <c r="AA556" i="1"/>
  <c r="R556" i="1"/>
  <c r="AF561" i="1" l="1"/>
  <c r="AF560" i="1"/>
  <c r="AF562" i="1"/>
  <c r="AF557" i="1"/>
  <c r="AF558" i="1"/>
  <c r="L559" i="1"/>
  <c r="R553" i="1"/>
  <c r="R554" i="1"/>
  <c r="R555" i="1"/>
  <c r="U555" i="1"/>
  <c r="U554" i="1"/>
  <c r="U553" i="1"/>
  <c r="X553" i="1"/>
  <c r="X554" i="1"/>
  <c r="X555" i="1"/>
  <c r="AA555" i="1"/>
  <c r="AA554" i="1"/>
  <c r="AA553" i="1"/>
  <c r="L562" i="1" l="1"/>
  <c r="L561" i="1"/>
  <c r="L560" i="1"/>
  <c r="L557" i="1"/>
  <c r="AF559" i="1"/>
  <c r="L558" i="1"/>
  <c r="L125" i="1"/>
  <c r="AF125" i="1"/>
  <c r="AF556" i="1"/>
  <c r="L556" i="1"/>
  <c r="AF553" i="1"/>
  <c r="AF554" i="1"/>
  <c r="L553" i="1" l="1"/>
  <c r="AF555" i="1"/>
  <c r="L555" i="1"/>
  <c r="L554" i="1"/>
  <c r="U117" i="1"/>
  <c r="X117" i="1"/>
  <c r="AA117" i="1"/>
  <c r="R117" i="1"/>
  <c r="AF117" i="1" l="1"/>
  <c r="AJ291" i="1"/>
  <c r="AI291" i="1"/>
  <c r="AJ303" i="1"/>
  <c r="AI303" i="1"/>
  <c r="AJ40" i="1"/>
  <c r="AI40" i="1"/>
  <c r="AI388" i="1"/>
  <c r="AI294" i="1"/>
  <c r="L117" i="1" l="1"/>
  <c r="U552" i="1"/>
  <c r="X552" i="1"/>
  <c r="AA552" i="1"/>
  <c r="R552" i="1"/>
  <c r="U279" i="1" l="1"/>
  <c r="X279" i="1"/>
  <c r="AA279" i="1"/>
  <c r="R279" i="1"/>
  <c r="AF552" i="1" l="1"/>
  <c r="L552" i="1"/>
  <c r="AF279" i="1"/>
  <c r="U105" i="1"/>
  <c r="X105" i="1"/>
  <c r="AA105" i="1"/>
  <c r="R105" i="1"/>
  <c r="L279" i="1" l="1"/>
  <c r="L105" i="1"/>
  <c r="R304" i="1"/>
  <c r="U304" i="1"/>
  <c r="X304" i="1"/>
  <c r="AA304" i="1"/>
  <c r="R305" i="1"/>
  <c r="U305" i="1"/>
  <c r="X305" i="1"/>
  <c r="AA305" i="1"/>
  <c r="R306" i="1"/>
  <c r="U306" i="1"/>
  <c r="X306" i="1"/>
  <c r="AA306" i="1"/>
  <c r="U124" i="1"/>
  <c r="X124" i="1"/>
  <c r="AA124" i="1"/>
  <c r="R124" i="1"/>
  <c r="AF105" i="1" l="1"/>
  <c r="L305" i="1"/>
  <c r="L306" i="1"/>
  <c r="AF124" i="1"/>
  <c r="M512" i="1"/>
  <c r="M511" i="1"/>
  <c r="AF304" i="1" l="1"/>
  <c r="AF305" i="1"/>
  <c r="L304" i="1"/>
  <c r="AF306" i="1"/>
  <c r="L124" i="1"/>
  <c r="U123" i="1"/>
  <c r="X123" i="1"/>
  <c r="AA123" i="1"/>
  <c r="R123" i="1"/>
  <c r="AF123" i="1" l="1"/>
  <c r="U551" i="1"/>
  <c r="X551" i="1"/>
  <c r="AA551" i="1"/>
  <c r="R551"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F18" i="1"/>
  <c r="AF239" i="1"/>
  <c r="AF263" i="1"/>
  <c r="AF188" i="1"/>
  <c r="AF251" i="1"/>
  <c r="AF278" i="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1" i="1" l="1"/>
  <c r="L551" i="1"/>
  <c r="L18" i="1"/>
  <c r="L252" i="1"/>
  <c r="AF252" i="1"/>
  <c r="L239" i="1"/>
  <c r="L263" i="1"/>
  <c r="L188" i="1"/>
  <c r="L251" i="1"/>
  <c r="L278" i="1"/>
  <c r="AF59" i="1"/>
  <c r="AF289" i="1"/>
  <c r="AF178" i="1"/>
  <c r="AF213" i="1"/>
  <c r="AF116" i="1"/>
  <c r="AF115" i="1"/>
  <c r="AA550" i="1"/>
  <c r="X550" i="1"/>
  <c r="U550" i="1"/>
  <c r="R550" i="1"/>
  <c r="L289" i="1" l="1"/>
  <c r="L59" i="1"/>
  <c r="L178" i="1"/>
  <c r="L213" i="1"/>
  <c r="L116" i="1"/>
  <c r="L115" i="1"/>
  <c r="AJ270" i="1"/>
  <c r="AI270" i="1"/>
  <c r="AJ265" i="1"/>
  <c r="AI265" i="1"/>
  <c r="AJ450" i="1"/>
  <c r="AI450" i="1"/>
  <c r="AI308" i="1"/>
  <c r="U38" i="1"/>
  <c r="X38" i="1"/>
  <c r="R38" i="1"/>
  <c r="X244" i="1"/>
  <c r="AA244" i="1"/>
  <c r="U244" i="1"/>
  <c r="R244" i="1"/>
  <c r="AF550" i="1" l="1"/>
  <c r="L550"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R257" i="1"/>
  <c r="U140" i="1"/>
  <c r="X140" i="1"/>
  <c r="AA140" i="1"/>
  <c r="R140" i="1"/>
  <c r="L38" i="1" l="1"/>
  <c r="L244" i="1"/>
  <c r="AF92" i="1"/>
  <c r="AF17" i="1"/>
  <c r="AF54" i="1"/>
  <c r="AF44" i="1"/>
  <c r="AF218" i="1"/>
  <c r="AF16" i="1"/>
  <c r="AF53" i="1"/>
  <c r="AF69" i="1"/>
  <c r="AF198" i="1"/>
  <c r="L114" i="1"/>
  <c r="L293" i="1"/>
  <c r="AF258" i="1"/>
  <c r="AF257" i="1"/>
  <c r="AF140" i="1"/>
  <c r="L92" i="1" l="1"/>
  <c r="L17" i="1"/>
  <c r="L54" i="1"/>
  <c r="L44" i="1"/>
  <c r="L218" i="1"/>
  <c r="L16" i="1"/>
  <c r="L53" i="1"/>
  <c r="L69" i="1"/>
  <c r="L198" i="1"/>
  <c r="AF114" i="1"/>
  <c r="AF293" i="1"/>
  <c r="L258" i="1"/>
  <c r="L140" i="1"/>
  <c r="L257" i="1"/>
  <c r="U165" i="1"/>
  <c r="X165" i="1"/>
  <c r="AA165" i="1"/>
  <c r="R165" i="1"/>
  <c r="AF165" i="1" l="1"/>
  <c r="R256" i="1"/>
  <c r="X256" i="1"/>
  <c r="AA256" i="1"/>
  <c r="L165" i="1" l="1"/>
  <c r="AF256" i="1"/>
  <c r="AJ444" i="1"/>
  <c r="AI444" i="1"/>
  <c r="L256" i="1" l="1"/>
  <c r="U269" i="1" l="1"/>
  <c r="X269" i="1"/>
  <c r="R269" i="1"/>
  <c r="U190" i="1"/>
  <c r="X190" i="1"/>
  <c r="AA190" i="1"/>
  <c r="R190" i="1"/>
  <c r="U255" i="1"/>
  <c r="X255" i="1"/>
  <c r="AA255" i="1"/>
  <c r="R255" i="1"/>
  <c r="AF255" i="1" l="1"/>
  <c r="AF269" i="1" l="1"/>
  <c r="L269" i="1"/>
  <c r="L255" i="1"/>
  <c r="U68" i="1"/>
  <c r="X68" i="1"/>
  <c r="AA68" i="1"/>
  <c r="R68" i="1"/>
  <c r="U243" i="1"/>
  <c r="X243" i="1"/>
  <c r="AA243" i="1"/>
  <c r="R243" i="1"/>
  <c r="X48" i="1"/>
  <c r="U48" i="1"/>
  <c r="R48" i="1"/>
  <c r="AF68" i="1" l="1"/>
  <c r="AF48" i="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F29" i="1" l="1"/>
  <c r="L177" i="1"/>
  <c r="AF113" i="1"/>
  <c r="AF130" i="1"/>
  <c r="L212" i="1"/>
  <c r="AF288" i="1"/>
  <c r="AF177" i="1" l="1"/>
  <c r="L113" i="1"/>
  <c r="L29" i="1"/>
  <c r="L130" i="1"/>
  <c r="AF212" i="1"/>
  <c r="L288" i="1"/>
  <c r="AA203" i="1" l="1"/>
  <c r="X203" i="1"/>
  <c r="U203" i="1"/>
  <c r="R203" i="1"/>
  <c r="U104" i="1"/>
  <c r="X104" i="1"/>
  <c r="AA104" i="1"/>
  <c r="R104" i="1"/>
  <c r="AA231" i="1"/>
  <c r="X231" i="1"/>
  <c r="U231" i="1"/>
  <c r="R231" i="1"/>
  <c r="AF104" i="1" l="1"/>
  <c r="AF231" i="1"/>
  <c r="L231" i="1" l="1"/>
  <c r="L203" i="1"/>
  <c r="AF203" i="1"/>
  <c r="L104" i="1"/>
  <c r="U187" i="1"/>
  <c r="X187" i="1"/>
  <c r="AA187" i="1"/>
  <c r="R187" i="1"/>
  <c r="U186" i="1"/>
  <c r="X186" i="1"/>
  <c r="AA186" i="1"/>
  <c r="R186" i="1"/>
  <c r="AF187" i="1" l="1"/>
  <c r="L186" i="1"/>
  <c r="AA91" i="1"/>
  <c r="X91" i="1"/>
  <c r="U91" i="1"/>
  <c r="R91" i="1"/>
  <c r="X43" i="1"/>
  <c r="U43" i="1"/>
  <c r="R43" i="1"/>
  <c r="AA103" i="1"/>
  <c r="X103" i="1"/>
  <c r="U103" i="1"/>
  <c r="R103" i="1"/>
  <c r="AA152" i="1"/>
  <c r="X152" i="1"/>
  <c r="U152" i="1"/>
  <c r="R152" i="1"/>
  <c r="AA99" i="1"/>
  <c r="U99" i="1"/>
  <c r="R99" i="1"/>
  <c r="L43" i="1" l="1"/>
  <c r="L187" i="1"/>
  <c r="AF186" i="1"/>
  <c r="L103" i="1"/>
  <c r="AF152" i="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L160" i="1"/>
  <c r="AF238" i="1"/>
  <c r="L211" i="1"/>
  <c r="AF268" i="1"/>
  <c r="L210" i="1"/>
  <c r="L202" i="1"/>
  <c r="AF277" i="1"/>
  <c r="L151" i="1"/>
  <c r="AF37" i="1"/>
  <c r="AF160" i="1" l="1"/>
  <c r="L238" i="1"/>
  <c r="AF211" i="1"/>
  <c r="L268" i="1"/>
  <c r="AF217" i="1"/>
  <c r="L217" i="1"/>
  <c r="AF210" i="1"/>
  <c r="AF202" i="1"/>
  <c r="L277" i="1"/>
  <c r="AF151" i="1"/>
  <c r="L37" i="1"/>
  <c r="AJ372" i="1" l="1"/>
  <c r="AI372" i="1"/>
  <c r="AJ456" i="1"/>
  <c r="AI456" i="1"/>
  <c r="AA292" i="1" l="1"/>
  <c r="X292" i="1"/>
  <c r="U292" i="1"/>
  <c r="R292" i="1"/>
  <c r="U36" i="1"/>
  <c r="X36" i="1"/>
  <c r="R36" i="1"/>
  <c r="AA176" i="1"/>
  <c r="X176" i="1"/>
  <c r="U176" i="1"/>
  <c r="R176" i="1"/>
  <c r="AA250" i="1"/>
  <c r="X250" i="1"/>
  <c r="U250" i="1"/>
  <c r="R250" i="1"/>
  <c r="L36" i="1" l="1"/>
  <c r="L176" i="1"/>
  <c r="AF250" i="1" l="1"/>
  <c r="L292" i="1"/>
  <c r="AF292" i="1"/>
  <c r="AF36" i="1"/>
  <c r="AF176" i="1"/>
  <c r="L250" i="1"/>
  <c r="AA185" i="1" l="1"/>
  <c r="X185" i="1"/>
  <c r="U185" i="1"/>
  <c r="R185" i="1"/>
  <c r="AA90" i="1"/>
  <c r="X90" i="1"/>
  <c r="U90" i="1"/>
  <c r="R90" i="1"/>
  <c r="AA15" i="1"/>
  <c r="X15" i="1"/>
  <c r="U15" i="1"/>
  <c r="R15" i="1"/>
  <c r="AF90" i="1" l="1"/>
  <c r="AF18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F479" i="1" l="1"/>
  <c r="AA82" i="1"/>
  <c r="X82" i="1"/>
  <c r="U82" i="1"/>
  <c r="R82" i="1"/>
  <c r="AF82" i="1" l="1"/>
  <c r="AA81" i="1"/>
  <c r="X81" i="1"/>
  <c r="U81" i="1"/>
  <c r="R81" i="1"/>
  <c r="L82" i="1" l="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49" i="1" l="1"/>
  <c r="X549" i="1"/>
  <c r="U549" i="1"/>
  <c r="R549" i="1"/>
  <c r="L549" i="1" l="1"/>
  <c r="U472" i="1"/>
  <c r="AF549" i="1" l="1"/>
  <c r="AA548" i="1"/>
  <c r="X548" i="1"/>
  <c r="U548" i="1"/>
  <c r="R548" i="1"/>
  <c r="AF548" i="1" l="1"/>
  <c r="AI406" i="1"/>
  <c r="AI442" i="1"/>
  <c r="AJ406" i="1"/>
  <c r="L548" i="1" l="1"/>
  <c r="AA547" i="1"/>
  <c r="X547" i="1"/>
  <c r="U547" i="1"/>
  <c r="R547" i="1"/>
  <c r="AF547" i="1" l="1"/>
  <c r="L547" i="1" l="1"/>
  <c r="L174" i="1" l="1"/>
  <c r="AA536" i="1" l="1"/>
  <c r="X536" i="1"/>
  <c r="U536" i="1"/>
  <c r="R536" i="1"/>
  <c r="AF536" i="1" l="1"/>
  <c r="L536" i="1"/>
  <c r="AA545" i="1" l="1"/>
  <c r="X545" i="1"/>
  <c r="U545" i="1"/>
  <c r="R545" i="1"/>
  <c r="AF545" i="1" l="1"/>
  <c r="U67" i="1"/>
  <c r="L545" i="1" l="1"/>
  <c r="AI434" i="1"/>
  <c r="AJ434" i="1"/>
  <c r="AI71" i="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4" i="1" l="1"/>
  <c r="X544" i="1"/>
  <c r="U544" i="1"/>
  <c r="R544" i="1"/>
  <c r="L544" i="1" l="1"/>
  <c r="AF544" i="1" l="1"/>
  <c r="AA543" i="1"/>
  <c r="X543" i="1"/>
  <c r="U543" i="1"/>
  <c r="R543" i="1"/>
  <c r="AA542" i="1"/>
  <c r="X542" i="1"/>
  <c r="U542" i="1"/>
  <c r="R542" i="1"/>
  <c r="X541" i="1"/>
  <c r="U541" i="1"/>
  <c r="R541" i="1"/>
  <c r="AF542" i="1" l="1"/>
  <c r="AF543" i="1"/>
  <c r="L541" i="1"/>
  <c r="X540" i="1"/>
  <c r="U540" i="1"/>
  <c r="R540" i="1"/>
  <c r="L543" i="1" l="1"/>
  <c r="L542" i="1"/>
  <c r="AF541" i="1"/>
  <c r="AF540" i="1"/>
  <c r="L540" i="1" l="1"/>
  <c r="X539" i="1" l="1"/>
  <c r="U539" i="1"/>
  <c r="R539" i="1"/>
  <c r="AF539" i="1" l="1"/>
  <c r="L539"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8" i="1" l="1"/>
  <c r="U538" i="1"/>
  <c r="R538" i="1"/>
  <c r="L538" i="1" l="1"/>
  <c r="AF538" i="1" l="1"/>
  <c r="X537" i="1"/>
  <c r="U537" i="1"/>
  <c r="R537" i="1"/>
  <c r="AF537" i="1" l="1"/>
  <c r="L537" i="1" l="1"/>
  <c r="X246" i="1" l="1"/>
  <c r="AA535" i="1" l="1"/>
  <c r="X535" i="1"/>
  <c r="U535" i="1"/>
  <c r="R535" i="1"/>
  <c r="L535" i="1" l="1"/>
  <c r="AF535" i="1" l="1"/>
  <c r="X546" i="1"/>
  <c r="U546" i="1"/>
  <c r="R546" i="1"/>
  <c r="L546" i="1" l="1"/>
  <c r="AF546"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3" i="1" l="1"/>
  <c r="X533" i="1"/>
  <c r="U533" i="1"/>
  <c r="R533" i="1"/>
  <c r="L533" i="1" l="1"/>
  <c r="AJ73" i="1"/>
  <c r="AI73" i="1"/>
  <c r="AF533" i="1" l="1"/>
  <c r="AA534" i="1"/>
  <c r="X534" i="1"/>
  <c r="U534" i="1"/>
  <c r="R534" i="1"/>
  <c r="L534" i="1" l="1"/>
  <c r="AA532" i="1"/>
  <c r="X532" i="1"/>
  <c r="U532" i="1"/>
  <c r="R532" i="1"/>
  <c r="AF534" i="1" l="1"/>
  <c r="AA223" i="1"/>
  <c r="X223" i="1"/>
  <c r="U223" i="1"/>
  <c r="R223" i="1"/>
  <c r="L532" i="1" l="1"/>
  <c r="AF532" i="1"/>
  <c r="AF223" i="1"/>
  <c r="L223" i="1" l="1"/>
  <c r="AA531" i="1"/>
  <c r="X531" i="1"/>
  <c r="U531" i="1"/>
  <c r="R531" i="1"/>
  <c r="AA529" i="1" l="1"/>
  <c r="X529" i="1"/>
  <c r="U529" i="1"/>
  <c r="R529" i="1"/>
  <c r="AF531" i="1" l="1"/>
  <c r="L531" i="1"/>
  <c r="AF529" i="1"/>
  <c r="AE270" i="1"/>
  <c r="L529" i="1" l="1"/>
  <c r="AA530" i="1"/>
  <c r="X530" i="1"/>
  <c r="U530" i="1"/>
  <c r="R530" i="1"/>
  <c r="M510" i="1"/>
  <c r="M509" i="1"/>
  <c r="AA527" i="1" l="1"/>
  <c r="X527" i="1"/>
  <c r="U527" i="1"/>
  <c r="R527" i="1"/>
  <c r="L530" i="1" l="1"/>
  <c r="AF530" i="1"/>
  <c r="AF527" i="1"/>
  <c r="AA528" i="1"/>
  <c r="X528" i="1"/>
  <c r="U528" i="1"/>
  <c r="R528" i="1"/>
  <c r="L527" i="1" l="1"/>
  <c r="AF528" i="1"/>
  <c r="AA526" i="1"/>
  <c r="X526" i="1"/>
  <c r="U526" i="1"/>
  <c r="R526" i="1"/>
  <c r="L528" i="1" l="1"/>
  <c r="L526" i="1"/>
  <c r="AA525" i="1"/>
  <c r="X525" i="1"/>
  <c r="U525" i="1"/>
  <c r="R525" i="1"/>
  <c r="AF526" i="1" l="1"/>
  <c r="L525" i="1"/>
  <c r="AA524" i="1"/>
  <c r="X524" i="1"/>
  <c r="U524" i="1"/>
  <c r="R524" i="1"/>
  <c r="AF525" i="1" l="1"/>
  <c r="AA457" i="1"/>
  <c r="L524" i="1" l="1"/>
  <c r="AF524" i="1"/>
  <c r="AA523" i="1"/>
  <c r="X523" i="1"/>
  <c r="U523" i="1"/>
  <c r="R523" i="1"/>
  <c r="AA197" i="1" l="1"/>
  <c r="X197" i="1"/>
  <c r="U197" i="1"/>
  <c r="R197" i="1"/>
  <c r="L523" i="1" l="1"/>
  <c r="AF523" i="1"/>
  <c r="L197" i="1"/>
  <c r="AF197" i="1" l="1"/>
  <c r="X46" i="1" l="1"/>
  <c r="U46" i="1"/>
  <c r="R46" i="1"/>
  <c r="AA522" i="1" l="1"/>
  <c r="X522" i="1"/>
  <c r="U522" i="1"/>
  <c r="R522" i="1"/>
  <c r="L46" i="1" l="1"/>
  <c r="AF46" i="1"/>
  <c r="AF522" i="1"/>
  <c r="L522" i="1" l="1"/>
  <c r="AA521" i="1"/>
  <c r="X521" i="1"/>
  <c r="U521" i="1"/>
  <c r="R521" i="1"/>
  <c r="AF521" i="1" l="1"/>
  <c r="AJ193" i="1"/>
  <c r="AA520" i="1"/>
  <c r="X520" i="1"/>
  <c r="U520" i="1"/>
  <c r="R520" i="1"/>
  <c r="AI72" i="1"/>
  <c r="L521" i="1" l="1"/>
  <c r="AF520" i="1"/>
  <c r="AA519" i="1"/>
  <c r="U519" i="1"/>
  <c r="X519" i="1"/>
  <c r="R519" i="1"/>
  <c r="L520" i="1" l="1"/>
  <c r="L519" i="1"/>
  <c r="AA517" i="1"/>
  <c r="AA518" i="1"/>
  <c r="X517" i="1"/>
  <c r="X518" i="1"/>
  <c r="U517" i="1"/>
  <c r="U518" i="1"/>
  <c r="R517" i="1"/>
  <c r="R518" i="1"/>
  <c r="AF519" i="1" l="1"/>
  <c r="AF517" i="1"/>
  <c r="AF518" i="1"/>
  <c r="R441" i="1"/>
  <c r="R386" i="1"/>
  <c r="L517" i="1" l="1"/>
  <c r="L518" i="1"/>
  <c r="R181" i="1"/>
  <c r="X181" i="1" l="1"/>
  <c r="AA516" i="1" l="1"/>
  <c r="X516" i="1"/>
  <c r="U516" i="1"/>
  <c r="R516" i="1"/>
  <c r="L516"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F516" i="1" l="1"/>
  <c r="AF230" i="1"/>
  <c r="AF99" i="1" l="1"/>
  <c r="L99" i="1"/>
  <c r="L230" i="1"/>
  <c r="R42" i="1"/>
  <c r="AF42" i="1" l="1"/>
  <c r="L42" i="1"/>
  <c r="AA515" i="1"/>
  <c r="X515" i="1"/>
  <c r="U515" i="1"/>
  <c r="R515" i="1"/>
  <c r="U514" i="1"/>
  <c r="AA514" i="1"/>
  <c r="X514" i="1"/>
  <c r="R514" i="1"/>
  <c r="L514" i="1" l="1"/>
  <c r="L515" i="1"/>
  <c r="AA513" i="1"/>
  <c r="X513" i="1"/>
  <c r="U513" i="1"/>
  <c r="R513" i="1"/>
  <c r="AF513" i="1" l="1"/>
  <c r="AF514" i="1"/>
  <c r="AF515" i="1"/>
  <c r="AA23" i="1"/>
  <c r="R23" i="1"/>
  <c r="L513" i="1" l="1"/>
  <c r="X512" i="1"/>
  <c r="AF23" i="1" l="1"/>
  <c r="L23" i="1"/>
  <c r="AA512" i="1"/>
  <c r="U512" i="1"/>
  <c r="R512" i="1"/>
  <c r="N512" i="1"/>
  <c r="O512" i="1"/>
  <c r="P512" i="1"/>
  <c r="AA67" i="1" l="1"/>
  <c r="R67" i="1"/>
  <c r="L512" i="1" l="1"/>
  <c r="AF512" i="1"/>
  <c r="AA511" i="1"/>
  <c r="X511" i="1"/>
  <c r="U511" i="1"/>
  <c r="R511" i="1"/>
  <c r="Q511" i="1"/>
  <c r="Q512" i="1" s="1"/>
  <c r="Q513" i="1" s="1"/>
  <c r="Q514" i="1" s="1"/>
  <c r="Q515" i="1" s="1"/>
  <c r="Q516" i="1" s="1"/>
  <c r="D512" i="1"/>
  <c r="L67" i="1" l="1"/>
  <c r="AF67" i="1"/>
  <c r="AF511" i="1"/>
  <c r="AA89" i="1"/>
  <c r="R89" i="1"/>
  <c r="L511" i="1" l="1"/>
  <c r="L89" i="1"/>
  <c r="AA222" i="1"/>
  <c r="R222" i="1"/>
  <c r="AF89" i="1" l="1"/>
  <c r="AF222" i="1" l="1"/>
  <c r="L222" i="1"/>
  <c r="AA164" i="1" l="1"/>
  <c r="R164" i="1"/>
  <c r="L164" i="1" l="1"/>
  <c r="AJ368" i="1"/>
  <c r="AI368" i="1"/>
  <c r="AF164" i="1" l="1"/>
  <c r="AJ366" i="1" l="1"/>
  <c r="AI366" i="1"/>
  <c r="L500" i="1" l="1"/>
  <c r="AA129" i="1" l="1"/>
  <c r="R129" i="1"/>
  <c r="M129" i="1"/>
  <c r="M130" i="1" s="1"/>
  <c r="N129" i="1"/>
  <c r="N130" i="1" s="1"/>
  <c r="O129" i="1"/>
  <c r="P129" i="1"/>
  <c r="P130" i="1" s="1"/>
  <c r="Q129" i="1"/>
  <c r="G129" i="1"/>
  <c r="L129" i="1" l="1"/>
  <c r="AA510" i="1"/>
  <c r="X510" i="1"/>
  <c r="U510" i="1"/>
  <c r="R510" i="1"/>
  <c r="AF129" i="1" l="1"/>
  <c r="AF510" i="1"/>
  <c r="AA509" i="1"/>
  <c r="X509" i="1"/>
  <c r="U509" i="1"/>
  <c r="R509" i="1"/>
  <c r="L510" i="1" l="1"/>
  <c r="AA507" i="1"/>
  <c r="AA508" i="1"/>
  <c r="X507" i="1"/>
  <c r="X508" i="1"/>
  <c r="U507" i="1"/>
  <c r="U508" i="1"/>
  <c r="R507" i="1"/>
  <c r="R508" i="1"/>
  <c r="L509" i="1" l="1"/>
  <c r="AF509" i="1"/>
  <c r="L508" i="1" l="1"/>
  <c r="AF508" i="1"/>
  <c r="L507" i="1"/>
  <c r="AF507" i="1"/>
  <c r="X506" i="1" l="1"/>
  <c r="U506" i="1"/>
  <c r="AA506" i="1"/>
  <c r="R506" i="1"/>
  <c r="N509" i="1"/>
  <c r="N510" i="1" s="1"/>
  <c r="O506" i="1"/>
  <c r="O507" i="1" s="1"/>
  <c r="O508" i="1" s="1"/>
  <c r="P506" i="1"/>
  <c r="P507" i="1" s="1"/>
  <c r="P508" i="1" s="1"/>
  <c r="Q506" i="1"/>
  <c r="Q507" i="1" s="1"/>
  <c r="Q508" i="1" s="1"/>
  <c r="Q509" i="1" s="1"/>
  <c r="AF506" i="1" l="1"/>
  <c r="L506" i="1" l="1"/>
  <c r="AA242" i="1"/>
  <c r="X242" i="1"/>
  <c r="U242" i="1"/>
  <c r="R242" i="1"/>
  <c r="AA175" i="1"/>
  <c r="R175" i="1"/>
  <c r="R504" i="1"/>
  <c r="U504" i="1"/>
  <c r="X504" i="1"/>
  <c r="AA504" i="1"/>
  <c r="R505" i="1"/>
  <c r="U505" i="1"/>
  <c r="X505" i="1"/>
  <c r="AA505" i="1"/>
  <c r="AF505" i="1" l="1"/>
  <c r="L242" i="1"/>
  <c r="L504" i="1"/>
  <c r="AF175" i="1" l="1"/>
  <c r="L175" i="1"/>
  <c r="L505" i="1"/>
  <c r="AF504" i="1"/>
  <c r="AF242" i="1"/>
  <c r="AA146" i="1"/>
  <c r="R146" i="1"/>
  <c r="AF146" i="1" l="1"/>
  <c r="L146" i="1"/>
  <c r="AA503" i="1"/>
  <c r="AA502" i="1" l="1"/>
  <c r="X503" i="1"/>
  <c r="U503" i="1"/>
  <c r="R503" i="1"/>
  <c r="AF503" i="1" l="1"/>
  <c r="X502" i="1"/>
  <c r="U502" i="1"/>
  <c r="R502" i="1"/>
  <c r="L503" i="1" l="1"/>
  <c r="L502" i="1"/>
  <c r="X501" i="1"/>
  <c r="U501" i="1"/>
  <c r="R501" i="1"/>
  <c r="AF502" i="1" l="1"/>
  <c r="AA501" i="1"/>
  <c r="AF501" i="1" s="1"/>
  <c r="L501" i="1" l="1"/>
  <c r="AA189" i="1"/>
  <c r="R189" i="1"/>
  <c r="L189" i="1" l="1"/>
  <c r="AI345" i="1"/>
  <c r="AJ355" i="1"/>
  <c r="AI355" i="1"/>
  <c r="AF189" i="1" l="1"/>
  <c r="AA499" i="1"/>
  <c r="X499" i="1"/>
  <c r="U499" i="1"/>
  <c r="R499" i="1"/>
  <c r="AF499" i="1" l="1"/>
  <c r="L499" i="1" l="1"/>
  <c r="R35" i="1"/>
  <c r="AA498" i="1" l="1"/>
  <c r="U498" i="1"/>
  <c r="X498" i="1"/>
  <c r="R498" i="1"/>
  <c r="AF35" i="1" l="1"/>
  <c r="L35" i="1"/>
  <c r="AF498" i="1"/>
  <c r="L498" i="1" l="1"/>
  <c r="AA497" i="1"/>
  <c r="X497" i="1"/>
  <c r="U497" i="1"/>
  <c r="R497" i="1" l="1"/>
  <c r="AA496" i="1" l="1"/>
  <c r="X496" i="1"/>
  <c r="U496" i="1"/>
  <c r="R496" i="1"/>
  <c r="AF497" i="1" l="1"/>
  <c r="L497" i="1"/>
  <c r="AF496" i="1"/>
  <c r="AA209" i="1"/>
  <c r="R209" i="1"/>
  <c r="L496" i="1" l="1"/>
  <c r="L209" i="1"/>
  <c r="AF209" i="1" l="1"/>
  <c r="L58" i="1" l="1"/>
  <c r="AF58" i="1"/>
  <c r="AA495" i="1"/>
  <c r="X495" i="1"/>
  <c r="U495" i="1"/>
  <c r="R495" i="1"/>
  <c r="R494" i="1"/>
  <c r="AA494" i="1"/>
  <c r="U494" i="1"/>
  <c r="AA493" i="1"/>
  <c r="X493" i="1"/>
  <c r="U493" i="1"/>
  <c r="R493" i="1"/>
  <c r="L495" i="1" l="1"/>
  <c r="L493" i="1"/>
  <c r="AA254" i="1"/>
  <c r="X254" i="1"/>
  <c r="U254" i="1"/>
  <c r="R254" i="1"/>
  <c r="AF493" i="1" l="1"/>
  <c r="AF495" i="1"/>
  <c r="L254" i="1"/>
  <c r="AF254" i="1" l="1"/>
  <c r="AA237" i="1"/>
  <c r="X237" i="1"/>
  <c r="U237" i="1"/>
  <c r="R237" i="1"/>
  <c r="AA236" i="1"/>
  <c r="X236" i="1"/>
  <c r="U236" i="1"/>
  <c r="R236" i="1"/>
  <c r="AA34" i="1"/>
  <c r="R34" i="1"/>
  <c r="AA235" i="1"/>
  <c r="X235" i="1"/>
  <c r="U235" i="1"/>
  <c r="R235" i="1"/>
  <c r="AA122" i="1"/>
  <c r="R122" i="1"/>
  <c r="AF237" i="1" l="1"/>
  <c r="L236" i="1"/>
  <c r="AF235" i="1"/>
  <c r="AA492" i="1"/>
  <c r="X492" i="1"/>
  <c r="U492" i="1"/>
  <c r="R492" i="1"/>
  <c r="AF122" i="1" l="1"/>
  <c r="L122" i="1"/>
  <c r="AF34" i="1"/>
  <c r="L34" i="1"/>
  <c r="L237" i="1"/>
  <c r="L235" i="1"/>
  <c r="AF236" i="1"/>
  <c r="AF492" i="1"/>
  <c r="X494" i="1"/>
  <c r="L494" i="1" s="1"/>
  <c r="L492" i="1" l="1"/>
  <c r="AF494" i="1"/>
  <c r="R373" i="1"/>
  <c r="AA491" i="1" l="1"/>
  <c r="X491" i="1"/>
  <c r="U491" i="1"/>
  <c r="R491" i="1"/>
  <c r="AA489" i="1"/>
  <c r="X489" i="1"/>
  <c r="U489" i="1"/>
  <c r="R489" i="1"/>
  <c r="AA249" i="1"/>
  <c r="X249" i="1"/>
  <c r="U249" i="1"/>
  <c r="R249" i="1"/>
  <c r="AF249" i="1" l="1"/>
  <c r="L489" i="1"/>
  <c r="AF491" i="1" l="1"/>
  <c r="L491" i="1"/>
  <c r="L249" i="1"/>
  <c r="AF489" i="1"/>
  <c r="AA194" i="1"/>
  <c r="R194" i="1"/>
  <c r="R40" i="1" l="1"/>
  <c r="R41" i="1"/>
  <c r="AF194" i="1" l="1"/>
  <c r="L194" i="1"/>
  <c r="AF41" i="1" l="1"/>
  <c r="L41" i="1"/>
  <c r="AA490" i="1"/>
  <c r="X490" i="1" l="1"/>
  <c r="U490" i="1"/>
  <c r="R490" i="1"/>
  <c r="AF490" i="1" l="1"/>
  <c r="O47" i="1"/>
  <c r="L490" i="1" l="1"/>
  <c r="AA88" i="1"/>
  <c r="R88" i="1"/>
  <c r="L93" i="1" l="1"/>
  <c r="AA208" i="1"/>
  <c r="R208" i="1"/>
  <c r="AF88" i="1" l="1"/>
  <c r="L88" i="1"/>
  <c r="AF208" i="1" l="1"/>
  <c r="L208" i="1"/>
  <c r="R47" i="1"/>
  <c r="M47" i="1"/>
  <c r="H47" i="1"/>
  <c r="N47" i="1" l="1"/>
  <c r="L47" i="1" l="1"/>
  <c r="AF47" i="1"/>
  <c r="AA229" i="1"/>
  <c r="R229" i="1"/>
  <c r="AA102" i="1" l="1"/>
  <c r="R102" i="1"/>
  <c r="AF229" i="1" l="1"/>
  <c r="L229" i="1"/>
  <c r="L102" i="1"/>
  <c r="AF102" i="1" l="1"/>
  <c r="AA80" i="1"/>
  <c r="R80" i="1"/>
  <c r="L80" i="1" l="1"/>
  <c r="AF80" i="1" l="1"/>
  <c r="AF180" i="1"/>
  <c r="AF93" i="1"/>
  <c r="R78" i="1" l="1"/>
  <c r="AF78" i="1" l="1"/>
  <c r="L78" i="1"/>
  <c r="AA163" i="1"/>
  <c r="R163" i="1"/>
  <c r="L163" i="1" l="1"/>
  <c r="AA184" i="1"/>
  <c r="R184" i="1"/>
  <c r="AF163" i="1" l="1"/>
  <c r="X488" i="1"/>
  <c r="U488" i="1"/>
  <c r="R488" i="1"/>
  <c r="AF488" i="1" l="1"/>
  <c r="AA33" i="1"/>
  <c r="R33" i="1"/>
  <c r="AA173" i="1"/>
  <c r="R173" i="1"/>
  <c r="L488" i="1" l="1"/>
  <c r="L173" i="1"/>
  <c r="AA228" i="1"/>
  <c r="R228" i="1"/>
  <c r="AF33" i="1" l="1"/>
  <c r="L33" i="1"/>
  <c r="AF173" i="1"/>
  <c r="AA111" i="1"/>
  <c r="R111" i="1"/>
  <c r="AF228" i="1" l="1"/>
  <c r="L228" i="1"/>
  <c r="L111" i="1"/>
  <c r="AF111" i="1" l="1"/>
  <c r="AA76" i="1" l="1"/>
  <c r="AA77" i="1"/>
  <c r="AA79" i="1"/>
  <c r="R75" i="1"/>
  <c r="R76" i="1"/>
  <c r="R77" i="1"/>
  <c r="R79" i="1"/>
  <c r="L76" i="1" l="1"/>
  <c r="AA112" i="1"/>
  <c r="R112" i="1"/>
  <c r="P112" i="1"/>
  <c r="Q112" i="1"/>
  <c r="AF77" i="1" l="1"/>
  <c r="L77" i="1"/>
  <c r="AF79" i="1"/>
  <c r="L79" i="1"/>
  <c r="AF76" i="1"/>
  <c r="AA172" i="1"/>
  <c r="R172" i="1"/>
  <c r="AF112" i="1" l="1"/>
  <c r="L112" i="1"/>
  <c r="L172" i="1"/>
  <c r="AA14" i="1"/>
  <c r="R14" i="1"/>
  <c r="L14" i="1" l="1"/>
  <c r="AF172" i="1"/>
  <c r="X262" i="1"/>
  <c r="AA262" i="1"/>
  <c r="U262" i="1"/>
  <c r="R262" i="1"/>
  <c r="AF14" i="1" l="1"/>
  <c r="L262" i="1"/>
  <c r="R52" i="1"/>
  <c r="L184" i="1" l="1"/>
  <c r="AF262" i="1"/>
  <c r="AA261" i="1"/>
  <c r="X261" i="1"/>
  <c r="U261" i="1"/>
  <c r="R261" i="1"/>
  <c r="R171" i="1"/>
  <c r="AA171" i="1"/>
  <c r="AF52" i="1" l="1"/>
  <c r="L52" i="1"/>
  <c r="AF184" i="1"/>
  <c r="L261" i="1"/>
  <c r="AA28" i="1"/>
  <c r="R28" i="1"/>
  <c r="AF171" i="1" l="1"/>
  <c r="L171" i="1"/>
  <c r="AF261" i="1"/>
  <c r="AF28" i="1" l="1"/>
  <c r="L28" i="1"/>
  <c r="AA139" i="1"/>
  <c r="R139" i="1"/>
  <c r="L139" i="1" l="1"/>
  <c r="R460" i="1"/>
  <c r="AA183" i="1"/>
  <c r="R183" i="1"/>
  <c r="AF139" i="1" l="1"/>
  <c r="R148" i="1"/>
  <c r="AA98" i="1" l="1"/>
  <c r="R98" i="1"/>
  <c r="M98" i="1" l="1"/>
  <c r="N98" i="1"/>
  <c r="E98" i="1"/>
  <c r="AF98" i="1" l="1"/>
  <c r="L98" i="1"/>
  <c r="R138" i="1"/>
  <c r="AF138" i="1" l="1"/>
  <c r="L138" i="1"/>
  <c r="AA101" i="1" l="1"/>
  <c r="R101" i="1"/>
  <c r="L101" i="1" l="1"/>
  <c r="X487" i="1"/>
  <c r="AA487" i="1"/>
  <c r="U487" i="1"/>
  <c r="R487" i="1"/>
  <c r="AF101" i="1" l="1"/>
  <c r="L487" i="1"/>
  <c r="AF487" i="1" l="1"/>
  <c r="AA97" i="1"/>
  <c r="R97" i="1"/>
  <c r="AA302" i="1"/>
  <c r="X302" i="1"/>
  <c r="U302" i="1"/>
  <c r="R302" i="1"/>
  <c r="AA301" i="1"/>
  <c r="X301" i="1"/>
  <c r="U301" i="1"/>
  <c r="R301" i="1"/>
  <c r="L97" i="1" l="1"/>
  <c r="L302" i="1"/>
  <c r="AF301" i="1"/>
  <c r="L301" i="1" l="1"/>
  <c r="AF97" i="1"/>
  <c r="AF302" i="1"/>
  <c r="U486" i="1"/>
  <c r="AA486" i="1" l="1"/>
  <c r="X486" i="1"/>
  <c r="R486" i="1"/>
  <c r="AF486" i="1" l="1"/>
  <c r="R443" i="1"/>
  <c r="L486" i="1" l="1"/>
  <c r="AA66" i="1"/>
  <c r="R66" i="1"/>
  <c r="L66" i="1" l="1"/>
  <c r="AF66" i="1" l="1"/>
  <c r="L485" i="1" l="1"/>
  <c r="L162" i="1"/>
  <c r="AA22" i="1" l="1"/>
  <c r="R22" i="1"/>
  <c r="AA390" i="1" l="1"/>
  <c r="X390" i="1"/>
  <c r="R390" i="1"/>
  <c r="U390" i="1"/>
  <c r="AF22" i="1" l="1"/>
  <c r="L22" i="1"/>
  <c r="AA169" i="1" l="1"/>
  <c r="AA170" i="1"/>
  <c r="R170" i="1"/>
  <c r="X234" i="1" l="1"/>
  <c r="AF170" i="1" l="1"/>
  <c r="L170" i="1"/>
  <c r="X267" i="1"/>
  <c r="U267" i="1"/>
  <c r="R267" i="1"/>
  <c r="AF267" i="1" l="1"/>
  <c r="R156" i="1"/>
  <c r="AA481" i="1"/>
  <c r="U481" i="1"/>
  <c r="R481" i="1"/>
  <c r="L267" i="1" l="1"/>
  <c r="AF481" i="1"/>
  <c r="X247" i="1"/>
  <c r="L481" i="1" l="1"/>
  <c r="AA303" i="1"/>
  <c r="X303" i="1"/>
  <c r="U303" i="1"/>
  <c r="R303" i="1"/>
  <c r="AB431" i="1" l="1"/>
  <c r="AA13" i="1"/>
  <c r="R13" i="1"/>
  <c r="AF303" i="1" l="1"/>
  <c r="L303" i="1"/>
  <c r="AA275" i="1"/>
  <c r="X275" i="1"/>
  <c r="U275" i="1"/>
  <c r="R275" i="1"/>
  <c r="AF13" i="1" l="1"/>
  <c r="L13" i="1"/>
  <c r="AF275" i="1"/>
  <c r="L275" i="1" l="1"/>
  <c r="AA12" i="1"/>
  <c r="R12" i="1"/>
  <c r="AA248" i="1" l="1"/>
  <c r="X248" i="1"/>
  <c r="X241" i="1"/>
  <c r="U247" i="1"/>
  <c r="U248" i="1"/>
  <c r="R248" i="1"/>
  <c r="R245" i="1"/>
  <c r="AF12" i="1" l="1"/>
  <c r="L12" i="1"/>
  <c r="AA247" i="1"/>
  <c r="R247" i="1"/>
  <c r="R246" i="1"/>
  <c r="L248" i="1"/>
  <c r="AF248" i="1" l="1"/>
  <c r="AF247" i="1"/>
  <c r="L247" i="1" l="1"/>
  <c r="AA297" i="1"/>
  <c r="X297" i="1"/>
  <c r="U297" i="1"/>
  <c r="R297" i="1"/>
  <c r="AA405" i="1"/>
  <c r="X405" i="1"/>
  <c r="U405" i="1"/>
  <c r="R405" i="1"/>
  <c r="AF297" i="1" l="1"/>
  <c r="AA137" i="1"/>
  <c r="AF405" i="1" l="1"/>
  <c r="L297" i="1"/>
  <c r="L405" i="1"/>
  <c r="AA484" i="1"/>
  <c r="X484" i="1"/>
  <c r="U484" i="1"/>
  <c r="R484" i="1"/>
  <c r="L484" i="1" l="1"/>
  <c r="AF484" i="1" l="1"/>
  <c r="AI347" i="1" l="1"/>
  <c r="AA461" i="1" l="1"/>
  <c r="AA435" i="1"/>
  <c r="AA431" i="1"/>
  <c r="X461" i="1"/>
  <c r="X435" i="1"/>
  <c r="X431" i="1"/>
  <c r="U435" i="1"/>
  <c r="U431" i="1"/>
  <c r="U461" i="1"/>
  <c r="R435" i="1"/>
  <c r="R431" i="1"/>
  <c r="R461" i="1"/>
  <c r="AF431" i="1" l="1"/>
  <c r="L461" i="1"/>
  <c r="L435" i="1" l="1"/>
  <c r="L431" i="1"/>
  <c r="AF461" i="1"/>
  <c r="AF435" i="1"/>
  <c r="AA404" i="1" l="1"/>
  <c r="X404" i="1"/>
  <c r="U404" i="1"/>
  <c r="R404" i="1"/>
  <c r="U483" i="1" l="1"/>
  <c r="AA483" i="1"/>
  <c r="X483" i="1"/>
  <c r="R483" i="1"/>
  <c r="L404" i="1" l="1"/>
  <c r="AF404" i="1"/>
  <c r="AF483" i="1"/>
  <c r="L483" i="1" l="1"/>
  <c r="AA11" i="1"/>
  <c r="R11" i="1"/>
  <c r="AF11" i="1" l="1"/>
  <c r="L11" i="1"/>
  <c r="R324" i="1"/>
  <c r="R145" i="1" l="1"/>
  <c r="AA27" i="1" l="1"/>
  <c r="R27" i="1"/>
  <c r="AF27" i="1" l="1"/>
  <c r="L27" i="1"/>
  <c r="AA86" i="1" l="1"/>
  <c r="AA10" i="1" l="1"/>
  <c r="R10" i="1"/>
  <c r="AA241" i="1" l="1"/>
  <c r="U241" i="1"/>
  <c r="R241" i="1"/>
  <c r="AF10" i="1" l="1"/>
  <c r="L10" i="1"/>
  <c r="L241" i="1"/>
  <c r="AF241" i="1" l="1"/>
  <c r="AA233" i="1"/>
  <c r="R150" i="1"/>
  <c r="AA477" i="1" l="1"/>
  <c r="AA478" i="1"/>
  <c r="X477" i="1"/>
  <c r="X478" i="1"/>
  <c r="U477" i="1"/>
  <c r="U478" i="1"/>
  <c r="R477" i="1"/>
  <c r="R478" i="1"/>
  <c r="L477" i="1" l="1"/>
  <c r="AF478" i="1"/>
  <c r="L479" i="1" l="1"/>
  <c r="L478" i="1"/>
  <c r="AF477" i="1"/>
  <c r="X233" i="1"/>
  <c r="U233" i="1"/>
  <c r="R233" i="1"/>
  <c r="L233" i="1" l="1"/>
  <c r="U476" i="1"/>
  <c r="AF233" i="1" l="1"/>
  <c r="R169" i="1"/>
  <c r="L169" i="1" l="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L201" i="1" l="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L64" i="1" l="1"/>
  <c r="AF64" i="1" l="1"/>
  <c r="AA120" i="1"/>
  <c r="R120" i="1"/>
  <c r="L120" i="1" l="1"/>
  <c r="AF120" i="1" l="1"/>
  <c r="R136" i="1"/>
  <c r="L136" i="1" l="1"/>
  <c r="AF136" i="1"/>
  <c r="AA423" i="1" l="1"/>
  <c r="AA284" i="1" l="1"/>
  <c r="AA285" i="1"/>
  <c r="AA286" i="1"/>
  <c r="X283" i="1"/>
  <c r="X284" i="1"/>
  <c r="X285" i="1"/>
  <c r="X286" i="1"/>
  <c r="U283" i="1"/>
  <c r="U284" i="1"/>
  <c r="U285" i="1"/>
  <c r="U286" i="1"/>
  <c r="R284" i="1"/>
  <c r="R285" i="1"/>
  <c r="R286" i="1"/>
  <c r="R283" i="1"/>
  <c r="AF286" i="1" l="1"/>
  <c r="L284" i="1"/>
  <c r="L285" i="1" l="1"/>
  <c r="L286" i="1"/>
  <c r="AF284" i="1"/>
  <c r="AF285" i="1"/>
  <c r="AA157" i="1"/>
  <c r="R157" i="1"/>
  <c r="AA156" i="1"/>
  <c r="L156" i="1" s="1"/>
  <c r="AF156" i="1" l="1"/>
  <c r="AF157" i="1" l="1"/>
  <c r="L157" i="1"/>
  <c r="R143" i="1"/>
  <c r="L143" i="1" l="1"/>
  <c r="R86" i="1"/>
  <c r="L86" i="1" l="1"/>
  <c r="AF143" i="1"/>
  <c r="AF86" i="1" l="1"/>
  <c r="AA291" i="1"/>
  <c r="X291" i="1"/>
  <c r="U291" i="1"/>
  <c r="R291" i="1"/>
  <c r="L291" i="1" l="1"/>
  <c r="AF291" i="1" l="1"/>
  <c r="X232" i="1"/>
  <c r="R232" i="1"/>
  <c r="R85" i="1" l="1"/>
  <c r="L85" i="1" l="1"/>
  <c r="AA473" i="1"/>
  <c r="X473" i="1"/>
  <c r="R214" i="1" l="1"/>
  <c r="AA216" i="1" l="1"/>
  <c r="AA214" i="1"/>
  <c r="R216" i="1"/>
  <c r="L216" i="1" l="1"/>
  <c r="L214" i="1"/>
  <c r="AF214" i="1"/>
  <c r="AF216" i="1"/>
  <c r="AF85" i="1"/>
  <c r="R95" i="1"/>
  <c r="R94" i="1"/>
  <c r="AA470" i="1"/>
  <c r="X470" i="1"/>
  <c r="R470" i="1"/>
  <c r="AA148" i="1" l="1"/>
  <c r="L148" i="1" s="1"/>
  <c r="AA265" i="1"/>
  <c r="X265" i="1"/>
  <c r="U265" i="1"/>
  <c r="R265" i="1"/>
  <c r="AA264" i="1"/>
  <c r="X264" i="1"/>
  <c r="U264" i="1"/>
  <c r="R264" i="1"/>
  <c r="AF265" i="1" l="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F480" i="1" l="1"/>
  <c r="L467" i="1"/>
  <c r="L468" i="1"/>
  <c r="AF475" i="1"/>
  <c r="L75" i="1"/>
  <c r="L470" i="1"/>
  <c r="AF473" i="1"/>
  <c r="AF349" i="1"/>
  <c r="AF469" i="1"/>
  <c r="AF472" i="1"/>
  <c r="L476" i="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L482" i="1" l="1"/>
  <c r="AF482" i="1" l="1"/>
  <c r="R215" i="1"/>
  <c r="AA446" i="1" l="1"/>
  <c r="X446" i="1"/>
  <c r="U446" i="1"/>
  <c r="R446" i="1"/>
  <c r="AF446" i="1" l="1"/>
  <c r="X240" i="1"/>
  <c r="L446" i="1" l="1"/>
  <c r="AA134" i="1"/>
  <c r="R134" i="1"/>
  <c r="L134" i="1" l="1"/>
  <c r="AF134" i="1" l="1"/>
  <c r="X253" i="1"/>
  <c r="AA290" i="1"/>
  <c r="X290" i="1"/>
  <c r="R290" i="1"/>
  <c r="R30" i="1" l="1"/>
  <c r="R182" i="1" l="1"/>
  <c r="AF30" i="1" l="1"/>
  <c r="L30" i="1"/>
  <c r="L182" i="1"/>
  <c r="AF182" i="1" l="1"/>
  <c r="AA168" i="1" l="1"/>
  <c r="S168" i="1"/>
  <c r="R84" i="1" l="1"/>
  <c r="AA133" i="1"/>
  <c r="R133" i="1"/>
  <c r="L133" i="1" l="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F447" i="1" l="1"/>
  <c r="L339" i="1"/>
  <c r="L457" i="1"/>
  <c r="AF453" i="1"/>
  <c r="AF450" i="1"/>
  <c r="L443" i="1"/>
  <c r="AF439" i="1"/>
  <c r="AF462" i="1"/>
  <c r="AF458" i="1"/>
  <c r="AF454" i="1"/>
  <c r="AF440" i="1"/>
  <c r="AF463" i="1"/>
  <c r="L459" i="1"/>
  <c r="AF455" i="1"/>
  <c r="AF451" i="1"/>
  <c r="AF448" i="1"/>
  <c r="AF444" i="1"/>
  <c r="AF441" i="1"/>
  <c r="L464" i="1"/>
  <c r="L460" i="1"/>
  <c r="L456" i="1"/>
  <c r="AF452" i="1"/>
  <c r="AF449" i="1"/>
  <c r="AF445" i="1"/>
  <c r="AF442" i="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F341" i="1" l="1"/>
  <c r="R429" i="1"/>
  <c r="L341" i="1" l="1"/>
  <c r="AA283" i="1"/>
  <c r="L283" i="1" s="1"/>
  <c r="AA49" i="1"/>
  <c r="R49" i="1"/>
  <c r="AF283" i="1" l="1"/>
  <c r="L49" i="1" l="1"/>
  <c r="AF49" i="1"/>
  <c r="AA72" i="1"/>
  <c r="AA73" i="1"/>
  <c r="R72" i="1"/>
  <c r="R73" i="1"/>
  <c r="L72" i="1" l="1"/>
  <c r="AF73" i="1"/>
  <c r="L73" i="1"/>
  <c r="AF72" i="1"/>
  <c r="R350" i="1" l="1"/>
  <c r="AA195" i="1" l="1"/>
  <c r="R195" i="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L425" i="1" l="1"/>
  <c r="L429" i="1"/>
  <c r="AF436" i="1"/>
  <c r="AF433" i="1"/>
  <c r="L419" i="1"/>
  <c r="AF432" i="1"/>
  <c r="AF434" i="1"/>
  <c r="AF420" i="1"/>
  <c r="AF427" i="1"/>
  <c r="AF423" i="1"/>
  <c r="AF428" i="1"/>
  <c r="L424" i="1"/>
  <c r="AF418" i="1"/>
  <c r="L437" i="1"/>
  <c r="AF421" i="1"/>
  <c r="AF375" i="1"/>
  <c r="AF430" i="1"/>
  <c r="AF426" i="1"/>
  <c r="AF422" i="1"/>
  <c r="L436" i="1" l="1"/>
  <c r="L426" i="1"/>
  <c r="L428" i="1"/>
  <c r="L423" i="1"/>
  <c r="L375" i="1"/>
  <c r="L433" i="1"/>
  <c r="L430" i="1"/>
  <c r="L418" i="1"/>
  <c r="L420" i="1"/>
  <c r="L427" i="1"/>
  <c r="L434" i="1"/>
  <c r="L422" i="1"/>
  <c r="L432" i="1"/>
  <c r="L421" i="1"/>
  <c r="AF419" i="1"/>
  <c r="AF429" i="1"/>
  <c r="AF424" i="1"/>
  <c r="AF425" i="1"/>
  <c r="AF437" i="1"/>
  <c r="AA8" i="1" l="1"/>
  <c r="AA9" i="1"/>
  <c r="R8" i="1"/>
  <c r="R9" i="1"/>
  <c r="R7" i="1" l="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F416" i="1" l="1"/>
  <c r="L350" i="1"/>
  <c r="AF417" i="1"/>
  <c r="AF413" i="1"/>
  <c r="AF412" i="1"/>
  <c r="AF414" i="1"/>
  <c r="R270" i="1"/>
  <c r="AF415" i="1" l="1"/>
  <c r="L414" i="1"/>
  <c r="L415" i="1"/>
  <c r="L417" i="1"/>
  <c r="L412" i="1"/>
  <c r="L413" i="1"/>
  <c r="L416" i="1"/>
  <c r="AF350" i="1"/>
  <c r="R410" i="1"/>
  <c r="R312" i="1" l="1"/>
  <c r="R406" i="1" l="1"/>
  <c r="AA270" i="1" l="1"/>
  <c r="X270" i="1"/>
  <c r="U270" i="1"/>
  <c r="L270" i="1" l="1"/>
  <c r="AF270" i="1" l="1"/>
  <c r="AA205" i="1"/>
  <c r="R205" i="1"/>
  <c r="L205" i="1" l="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L406" i="1" l="1"/>
  <c r="L410" i="1"/>
  <c r="AF411" i="1"/>
  <c r="AF340" i="1"/>
  <c r="AF402" i="1"/>
  <c r="AF403" i="1"/>
  <c r="AF466" i="1"/>
  <c r="AF400" i="1"/>
  <c r="AF409" i="1"/>
  <c r="AF387" i="1"/>
  <c r="L401" i="1"/>
  <c r="X399" i="1"/>
  <c r="AA399" i="1"/>
  <c r="U399" i="1"/>
  <c r="R399" i="1"/>
  <c r="L407" i="1" l="1"/>
  <c r="AF438" i="1"/>
  <c r="L273" i="1"/>
  <c r="L403" i="1"/>
  <c r="L411" i="1"/>
  <c r="L387" i="1"/>
  <c r="L438" i="1"/>
  <c r="L340" i="1"/>
  <c r="L466" i="1"/>
  <c r="L408" i="1"/>
  <c r="L400" i="1"/>
  <c r="L409" i="1"/>
  <c r="L402" i="1"/>
  <c r="AF410" i="1"/>
  <c r="AF273" i="1"/>
  <c r="AF408" i="1"/>
  <c r="AF407" i="1"/>
  <c r="AF406" i="1"/>
  <c r="AF401" i="1"/>
  <c r="AF399" i="1"/>
  <c r="AA398" i="1"/>
  <c r="X398" i="1"/>
  <c r="U398" i="1"/>
  <c r="R398" i="1"/>
  <c r="L399" i="1" l="1"/>
  <c r="AA383" i="1"/>
  <c r="AF398" i="1" l="1"/>
  <c r="L398" i="1"/>
  <c r="AA225" i="1"/>
  <c r="AA226" i="1"/>
  <c r="AA227" i="1"/>
  <c r="R226" i="1"/>
  <c r="R227" i="1"/>
  <c r="L226" i="1" l="1"/>
  <c r="L390" i="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L394" i="1" l="1"/>
  <c r="L389" i="1"/>
  <c r="L393" i="1"/>
  <c r="L395" i="1"/>
  <c r="L391" i="1"/>
  <c r="L388" i="1"/>
  <c r="L376" i="1"/>
  <c r="L386" i="1"/>
  <c r="R39" i="1"/>
  <c r="L392" i="1" l="1"/>
  <c r="AF396"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L379" i="1" s="1"/>
  <c r="AA380" i="1"/>
  <c r="L380" i="1" s="1"/>
  <c r="X381" i="1"/>
  <c r="X382" i="1"/>
  <c r="X383" i="1"/>
  <c r="U381" i="1"/>
  <c r="U382" i="1"/>
  <c r="U383" i="1"/>
  <c r="U384" i="1"/>
  <c r="U385" i="1"/>
  <c r="R382" i="1"/>
  <c r="R383" i="1"/>
  <c r="R384" i="1"/>
  <c r="R385" i="1"/>
  <c r="R397" i="1"/>
  <c r="AF397" i="1" l="1"/>
  <c r="AF380" i="1"/>
  <c r="L383" i="1"/>
  <c r="L384" i="1"/>
  <c r="L382" i="1"/>
  <c r="L381" i="1"/>
  <c r="AF379" i="1"/>
  <c r="AA377" i="1"/>
  <c r="X377" i="1"/>
  <c r="U377" i="1"/>
  <c r="R377" i="1"/>
  <c r="L385" i="1" l="1"/>
  <c r="L397" i="1"/>
  <c r="L377" i="1"/>
  <c r="AF384" i="1"/>
  <c r="AF382" i="1"/>
  <c r="AF381" i="1"/>
  <c r="AF383" i="1"/>
  <c r="AF385" i="1"/>
  <c r="R344" i="1"/>
  <c r="AF377" i="1" l="1"/>
  <c r="AA298" i="1" l="1"/>
  <c r="X298" i="1"/>
  <c r="U298" i="1"/>
  <c r="R298" i="1"/>
  <c r="L298" i="1" l="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L225" i="1" l="1"/>
  <c r="L155" i="1"/>
  <c r="L128" i="1"/>
  <c r="L110" i="1"/>
  <c r="L109" i="1"/>
  <c r="L135" i="1"/>
  <c r="L132" i="1"/>
  <c r="AA61" i="1"/>
  <c r="AA62" i="1"/>
  <c r="L62" i="1" s="1"/>
  <c r="AA63" i="1"/>
  <c r="L63" i="1" s="1"/>
  <c r="AA70" i="1"/>
  <c r="AA71" i="1"/>
  <c r="AA83" i="1"/>
  <c r="AA84" i="1"/>
  <c r="AA94" i="1"/>
  <c r="AA95" i="1"/>
  <c r="AA106" i="1"/>
  <c r="AA107" i="1"/>
  <c r="AA118" i="1"/>
  <c r="AA119" i="1"/>
  <c r="AA126" i="1"/>
  <c r="AA127" i="1"/>
  <c r="AA131" i="1"/>
  <c r="AA141" i="1"/>
  <c r="AA147" i="1"/>
  <c r="AA153" i="1"/>
  <c r="AA161" i="1"/>
  <c r="AA166" i="1"/>
  <c r="AA167" i="1"/>
  <c r="L167" i="1" s="1"/>
  <c r="L168" i="1"/>
  <c r="AA179" i="1"/>
  <c r="AA181" i="1"/>
  <c r="AA192" i="1"/>
  <c r="AA193" i="1"/>
  <c r="AA196" i="1"/>
  <c r="AA199" i="1"/>
  <c r="AA200" i="1"/>
  <c r="AA204" i="1"/>
  <c r="AA219" i="1"/>
  <c r="AA220" i="1"/>
  <c r="AA221" i="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L108" i="1"/>
  <c r="L154" i="1"/>
  <c r="U232" i="1"/>
  <c r="U234" i="1"/>
  <c r="U240" i="1"/>
  <c r="U246" i="1"/>
  <c r="U253" i="1"/>
  <c r="U259" i="1"/>
  <c r="U260" i="1"/>
  <c r="U266" i="1"/>
  <c r="U271" i="1"/>
  <c r="U272" i="1"/>
  <c r="U274" i="1"/>
  <c r="U276" i="1"/>
  <c r="U280" i="1"/>
  <c r="U281" i="1"/>
  <c r="U282" i="1"/>
  <c r="U287" i="1"/>
  <c r="L287" i="1" s="1"/>
  <c r="R60" i="1"/>
  <c r="R50" i="1"/>
  <c r="R51" i="1"/>
  <c r="AA56" i="1"/>
  <c r="AA57" i="1"/>
  <c r="R56" i="1"/>
  <c r="R57" i="1"/>
  <c r="AA40" i="1"/>
  <c r="AA31" i="1"/>
  <c r="R31" i="1"/>
  <c r="AA87" i="1"/>
  <c r="AA25" i="1"/>
  <c r="AA26" i="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L60" i="1" l="1"/>
  <c r="L25" i="1"/>
  <c r="AF26" i="1"/>
  <c r="L84" i="1"/>
  <c r="AF110" i="1"/>
  <c r="AF109" i="1"/>
  <c r="AF221" i="1"/>
  <c r="L193" i="1"/>
  <c r="AF63" i="1"/>
  <c r="AF135" i="1"/>
  <c r="AF167" i="1"/>
  <c r="AF128" i="1"/>
  <c r="AF62" i="1"/>
  <c r="AF168" i="1"/>
  <c r="AF154" i="1"/>
  <c r="AF132" i="1"/>
  <c r="AF155" i="1"/>
  <c r="AF108" i="1"/>
  <c r="AF225" i="1"/>
  <c r="L344" i="1"/>
  <c r="L119" i="1"/>
  <c r="L272" i="1"/>
  <c r="L87" i="1"/>
  <c r="L5" i="1"/>
  <c r="L372" i="1"/>
  <c r="L368" i="1"/>
  <c r="L364" i="1"/>
  <c r="L360" i="1"/>
  <c r="L356" i="1"/>
  <c r="L351" i="1"/>
  <c r="L347" i="1"/>
  <c r="L343" i="1"/>
  <c r="L300" i="1"/>
  <c r="L335" i="1"/>
  <c r="L331" i="1"/>
  <c r="L327" i="1"/>
  <c r="L323" i="1"/>
  <c r="L319" i="1"/>
  <c r="L315" i="1"/>
  <c r="L311" i="1"/>
  <c r="L281" i="1"/>
  <c r="L200" i="1"/>
  <c r="AD4" i="1"/>
  <c r="L371" i="1"/>
  <c r="L367" i="1"/>
  <c r="L363" i="1"/>
  <c r="L359" i="1"/>
  <c r="L355" i="1"/>
  <c r="L336" i="1"/>
  <c r="L346" i="1"/>
  <c r="L342" i="1"/>
  <c r="L296" i="1"/>
  <c r="L334" i="1"/>
  <c r="L330" i="1"/>
  <c r="L326" i="1"/>
  <c r="L322" i="1"/>
  <c r="L318" i="1"/>
  <c r="L314" i="1"/>
  <c r="L320" i="1"/>
  <c r="L179" i="1"/>
  <c r="L107" i="1"/>
  <c r="L126" i="1"/>
  <c r="AF287" i="1"/>
  <c r="L276" i="1"/>
  <c r="L271" i="1"/>
  <c r="L246" i="1"/>
  <c r="L260" i="1"/>
  <c r="L234" i="1"/>
  <c r="L71" i="1"/>
  <c r="L95" i="1"/>
  <c r="L142" i="1"/>
  <c r="L312" i="1"/>
  <c r="L337" i="1"/>
  <c r="L329" i="1"/>
  <c r="L325" i="1"/>
  <c r="L373" i="1"/>
  <c r="L369" i="1"/>
  <c r="L365" i="1"/>
  <c r="L361" i="1"/>
  <c r="L357" i="1"/>
  <c r="L352" i="1"/>
  <c r="L338" i="1"/>
  <c r="L310" i="1"/>
  <c r="L299" i="1"/>
  <c r="L332" i="1"/>
  <c r="L328" i="1"/>
  <c r="L324" i="1"/>
  <c r="L308" i="1"/>
  <c r="L370" i="1"/>
  <c r="L366" i="1"/>
  <c r="L362" i="1"/>
  <c r="L358" i="1"/>
  <c r="L353" i="1"/>
  <c r="L321" i="1"/>
  <c r="L295" i="1"/>
  <c r="L317" i="1"/>
  <c r="L313" i="1"/>
  <c r="L309" i="1"/>
  <c r="L282" i="1"/>
  <c r="L220" i="1"/>
  <c r="L206" i="1"/>
  <c r="L57" i="1"/>
  <c r="L51" i="1" l="1"/>
  <c r="L316" i="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L149" i="1" l="1"/>
  <c r="AF149" i="1"/>
  <c r="U181" i="1" l="1"/>
  <c r="AF181" i="1" l="1"/>
  <c r="L181" i="1"/>
</calcChain>
</file>

<file path=xl/sharedStrings.xml><?xml version="1.0" encoding="utf-8"?>
<sst xmlns="http://schemas.openxmlformats.org/spreadsheetml/2006/main" count="7165" uniqueCount="2229">
  <si>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</si>
  <si>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</si>
  <si>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</si>
  <si>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</si>
  <si>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</si>
  <si>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</si>
  <si>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</si>
  <si>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</si>
  <si>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</si>
  <si>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</si>
  <si>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</si>
  <si>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</si>
  <si>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</si>
  <si>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</si>
  <si>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</si>
  <si>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</si>
  <si>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</si>
  <si>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</si>
  <si>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</si>
  <si>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</si>
  <si>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</si>
  <si>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</si>
  <si>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</si>
  <si>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</si>
  <si>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</si>
  <si>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</si>
  <si>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</si>
  <si>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</si>
  <si>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</si>
  <si>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</si>
  <si>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</si>
  <si>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</si>
  <si>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</si>
  <si>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</si>
  <si>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</si>
  <si>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</si>
  <si>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</si>
  <si>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</si>
  <si>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</si>
  <si>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</si>
  <si>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</si>
  <si>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</si>
  <si>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</si>
  <si>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</si>
  <si>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</si>
  <si>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</si>
  <si>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</si>
  <si>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</si>
  <si>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</si>
  <si>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</si>
  <si>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</si>
  <si>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</si>
  <si>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</si>
  <si>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</si>
  <si>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</si>
  <si>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</si>
  <si>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</si>
  <si>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</si>
  <si>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</si>
  <si>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</si>
  <si>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</si>
  <si>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</si>
  <si>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</si>
  <si>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</si>
  <si>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</si>
  <si>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</si>
  <si>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</si>
  <si>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</si>
  <si>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</si>
  <si>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</si>
  <si>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</si>
  <si>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</si>
  <si>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</si>
  <si>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</si>
  <si>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</si>
  <si>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</si>
  <si>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</si>
  <si>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</si>
  <si>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</si>
  <si>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</si>
  <si>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</si>
  <si>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</si>
  <si>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</si>
  <si>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</si>
  <si>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</si>
  <si>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</si>
  <si>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</si>
  <si>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</si>
  <si>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</si>
  <si>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</si>
  <si>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</si>
  <si>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</si>
  <si>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</si>
  <si>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</si>
  <si>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</si>
  <si>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</si>
  <si>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</si>
  <si>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</si>
  <si>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</si>
  <si>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</si>
  <si>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</si>
  <si>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</si>
  <si>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</si>
  <si>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</si>
  <si>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</si>
  <si>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</si>
  <si>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</si>
  <si>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</si>
  <si>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</si>
  <si>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</si>
  <si>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</si>
  <si>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</si>
  <si>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</si>
  <si>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</si>
  <si>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</si>
  <si>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</si>
  <si>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</si>
  <si>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</si>
  <si>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</si>
  <si>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</si>
  <si>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</si>
  <si>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</si>
  <si>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</si>
  <si>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</si>
  <si>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</si>
  <si>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</si>
  <si>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</si>
  <si>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</si>
  <si>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</si>
  <si>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</si>
  <si>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</si>
  <si>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</si>
  <si>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</si>
  <si>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</si>
  <si>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</si>
  <si>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</si>
  <si>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</si>
  <si>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</si>
  <si>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</si>
  <si>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</si>
  <si>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</si>
  <si>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</si>
  <si>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</si>
  <si>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</si>
  <si>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</si>
  <si>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</si>
  <si>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</si>
  <si>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</si>
  <si>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</si>
  <si>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</si>
  <si>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</si>
  <si>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</si>
  <si>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</si>
  <si>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</si>
  <si>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</si>
  <si>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</si>
  <si>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</si>
  <si>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</si>
  <si>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</si>
  <si>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</si>
  <si>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</si>
  <si>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</si>
  <si>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</si>
  <si>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</si>
  <si>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</si>
  <si>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</si>
  <si>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</si>
  <si>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</si>
  <si>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</si>
  <si>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</si>
  <si>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</si>
  <si>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</si>
  <si>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</si>
  <si>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</si>
  <si>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</si>
  <si>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</si>
  <si>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</si>
  <si>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</si>
  <si>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</si>
  <si>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</si>
  <si>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</si>
  <si>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</si>
  <si>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</si>
  <si>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</si>
  <si>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</si>
  <si>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</si>
  <si>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</si>
  <si>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</si>
  <si>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</si>
  <si>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</si>
  <si>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</si>
  <si>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</si>
  <si>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</si>
  <si>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</si>
  <si>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</si>
  <si>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</si>
  <si>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</si>
  <si>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</si>
  <si>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</si>
  <si>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</si>
  <si>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</si>
  <si>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</si>
  <si>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</si>
  <si>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</si>
  <si>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</si>
  <si>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</si>
  <si>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</si>
  <si>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</si>
  <si>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</si>
  <si>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</si>
  <si>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</si>
  <si>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</si>
  <si>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</si>
  <si>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</si>
  <si>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</si>
  <si>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</si>
  <si>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</si>
  <si>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</si>
  <si>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</si>
  <si>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</si>
  <si>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</si>
  <si>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</si>
  <si>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</si>
  <si>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</si>
  <si>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</si>
  <si>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</si>
  <si>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</si>
  <si>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</si>
  <si>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</si>
  <si>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</si>
  <si>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</si>
  <si>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</si>
  <si>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</si>
  <si>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</si>
  <si>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</si>
  <si>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</si>
  <si>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</si>
  <si>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</si>
  <si>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</si>
  <si>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</si>
  <si>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</si>
  <si>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</si>
  <si>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</si>
  <si>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</si>
  <si>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</si>
  <si>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</si>
  <si>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</si>
  <si>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</si>
  <si>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</si>
  <si>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</si>
  <si>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</si>
  <si>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</si>
  <si>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</si>
  <si>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</si>
  <si>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</si>
  <si>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</si>
  <si>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</si>
  <si>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</si>
  <si>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</si>
  <si>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</si>
  <si>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</si>
  <si>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</si>
  <si>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</si>
  <si>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</si>
  <si>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</si>
  <si>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</si>
  <si>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</si>
  <si>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</si>
  <si>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</si>
  <si>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</si>
  <si>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</si>
  <si>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</si>
  <si>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</si>
  <si>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</si>
  <si>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</si>
  <si>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</si>
  <si>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</si>
  <si>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</si>
  <si>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</si>
  <si>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</si>
  <si>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</si>
  <si>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</si>
  <si>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</si>
  <si>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</si>
  <si>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</si>
  <si>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</si>
  <si>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</si>
  <si>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</si>
  <si>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</si>
  <si>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</si>
  <si>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</si>
  <si>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</si>
  <si>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</si>
  <si>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</si>
  <si>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</si>
  <si>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</si>
  <si>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</si>
  <si>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</si>
  <si>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</si>
  <si>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</si>
  <si>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</si>
  <si>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</si>
  <si>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</si>
  <si>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</si>
  <si>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</si>
  <si>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</si>
  <si>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</si>
  <si>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</si>
  <si>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</si>
  <si>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</si>
  <si>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</si>
  <si>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</si>
  <si>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</si>
  <si>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</si>
  <si>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</si>
  <si>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</si>
  <si>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</si>
  <si>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</si>
  <si>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</si>
  <si>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</si>
  <si>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</si>
  <si>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</si>
  <si>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</si>
  <si>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</si>
  <si>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</si>
  <si>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</si>
  <si>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</si>
  <si>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</si>
  <si>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</si>
  <si>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</si>
  <si>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</si>
  <si>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</si>
  <si>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</si>
  <si>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</si>
  <si>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</si>
  <si>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</si>
  <si>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</si>
  <si>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</si>
  <si>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</si>
  <si>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</si>
  <si>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</si>
  <si>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</si>
  <si>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</si>
  <si>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</si>
  <si>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</si>
  <si>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</si>
  <si>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</si>
  <si>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</si>
  <si>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</si>
  <si>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</si>
  <si>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</si>
  <si>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</si>
  <si>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</si>
  <si>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</si>
  <si>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</si>
  <si>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</si>
  <si>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</si>
  <si>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</si>
  <si>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</si>
  <si>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</si>
  <si>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</si>
  <si>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</si>
  <si>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</si>
  <si>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</si>
  <si>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</si>
  <si>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</si>
  <si>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</si>
  <si>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</si>
  <si>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</si>
  <si>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</si>
  <si>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</si>
  <si>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</si>
  <si>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</si>
  <si>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</si>
  <si>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</si>
  <si>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</si>
  <si>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</si>
  <si>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</si>
  <si>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</si>
  <si>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</si>
  <si>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</si>
  <si>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</si>
  <si>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</si>
  <si>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</si>
  <si>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</si>
  <si>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</si>
  <si>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</si>
  <si>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</si>
  <si>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</si>
  <si>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</si>
  <si>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</si>
  <si>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</si>
  <si>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</si>
  <si>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</si>
  <si>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</si>
  <si>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</si>
  <si>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</si>
  <si>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</si>
  <si>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</si>
  <si>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</si>
  <si>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</si>
  <si>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</si>
  <si>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</si>
  <si>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</si>
  <si>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</si>
  <si>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</si>
  <si>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</si>
  <si>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</si>
  <si>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</si>
  <si>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</si>
  <si>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</si>
  <si>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</si>
  <si>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</si>
  <si>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</si>
  <si>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</si>
  <si>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</si>
  <si>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</si>
  <si>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</si>
  <si>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</si>
  <si>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</si>
  <si>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</si>
  <si>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</si>
  <si>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</si>
  <si>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</si>
  <si>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</si>
  <si>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</si>
  <si>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</si>
  <si>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</si>
  <si>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</si>
  <si>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</si>
  <si>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</si>
  <si>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</si>
  <si>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</si>
  <si>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</si>
  <si>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</si>
  <si>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</si>
  <si>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</si>
  <si>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</si>
  <si>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</si>
  <si>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</si>
  <si>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</si>
  <si>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</si>
  <si>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</si>
  <si>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</si>
  <si>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</si>
  <si>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</si>
  <si>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</si>
  <si>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</si>
  <si>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</si>
  <si>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</si>
  <si>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</si>
  <si>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</si>
  <si>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</si>
  <si>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</si>
  <si>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</si>
  <si>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</si>
  <si>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</si>
  <si>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</si>
  <si>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</si>
  <si>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</si>
  <si>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</si>
  <si>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</si>
  <si>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</si>
  <si>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</si>
  <si>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</si>
  <si>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</si>
  <si>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</si>
  <si>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</si>
  <si>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</si>
  <si>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</si>
  <si>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</si>
  <si>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</si>
  <si>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</si>
  <si>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</si>
  <si>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</si>
  <si>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</si>
  <si>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</si>
  <si>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</si>
  <si>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</si>
  <si>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</si>
  <si>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</si>
  <si>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</si>
  <si>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</si>
  <si>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</si>
  <si>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</si>
  <si>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</si>
  <si>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</si>
  <si>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</si>
  <si>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</si>
  <si>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</si>
  <si>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</si>
  <si>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</si>
  <si>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</si>
  <si>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</si>
  <si>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</si>
  <si>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</si>
  <si>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</si>
  <si>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</si>
  <si>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</si>
  <si>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</si>
  <si>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</si>
  <si>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</si>
  <si>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</si>
  <si>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</si>
  <si>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</si>
  <si>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</si>
  <si>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</si>
  <si>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</si>
  <si>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</si>
  <si>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</si>
  <si>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</si>
  <si>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</si>
  <si>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</si>
  <si>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</si>
  <si>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</si>
  <si>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</si>
  <si>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</si>
  <si>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</si>
  <si>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</si>
  <si>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</si>
  <si>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</si>
  <si>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</si>
  <si>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</si>
  <si>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</si>
  <si>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</si>
  <si>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</si>
  <si>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</si>
  <si>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</si>
  <si>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</si>
  <si>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</si>
  <si>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</si>
  <si>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</si>
  <si>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</si>
  <si>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</si>
  <si>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</si>
  <si>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</si>
  <si>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</si>
  <si>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</si>
  <si>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</si>
  <si>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</si>
  <si>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</si>
  <si>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</si>
  <si>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</si>
  <si>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</si>
  <si>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</si>
  <si>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</si>
  <si>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</si>
  <si>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</si>
  <si>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</si>
  <si>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</si>
  <si>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</si>
  <si>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</si>
  <si>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</si>
  <si>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</si>
  <si>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</si>
  <si>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</si>
  <si>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</si>
  <si>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</si>
  <si>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</si>
  <si>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</si>
  <si>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</si>
  <si>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</si>
  <si>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</si>
  <si>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</si>
  <si>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</si>
  <si>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</si>
  <si>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</si>
  <si>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</si>
  <si>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</si>
  <si>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</si>
  <si>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</si>
  <si>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</si>
  <si>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</si>
  <si>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</si>
  <si>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</si>
  <si>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</si>
  <si>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</si>
  <si>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</si>
  <si>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</si>
  <si>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</si>
  <si>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</si>
  <si>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</si>
  <si>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</si>
  <si>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</si>
  <si>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</si>
  <si>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</si>
  <si>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</si>
  <si>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</si>
  <si>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</si>
  <si>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</si>
  <si>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</si>
  <si>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</si>
  <si>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</si>
  <si>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</si>
  <si>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</si>
  <si>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</si>
  <si>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</si>
  <si>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</si>
  <si>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</si>
  <si>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</si>
  <si>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</si>
  <si>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</si>
  <si>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</si>
  <si>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</si>
  <si>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</si>
  <si>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</si>
  <si>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</si>
  <si>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</si>
  <si>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</si>
  <si>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</si>
  <si>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</si>
  <si>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</si>
  <si>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</si>
  <si>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</si>
  <si>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</si>
  <si>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</si>
  <si>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</si>
  <si>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</si>
  <si>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</si>
  <si>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</si>
  <si>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</si>
  <si>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</si>
  <si>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</si>
  <si>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</si>
  <si>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</si>
  <si>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</si>
  <si>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</si>
  <si>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</si>
  <si>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</si>
  <si>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</si>
  <si>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</si>
  <si>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</si>
  <si>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</si>
  <si>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</si>
  <si>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</si>
  <si>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</si>
  <si>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</si>
  <si>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</si>
  <si>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</si>
  <si>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</si>
  <si>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</si>
  <si>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</si>
  <si>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</si>
  <si>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</si>
  <si>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</si>
  <si>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</si>
  <si>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</si>
  <si>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</si>
  <si>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</si>
  <si>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</si>
  <si>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</si>
  <si>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</si>
  <si>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</si>
  <si>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</si>
  <si>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</si>
  <si>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</si>
  <si>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</si>
  <si>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</si>
  <si>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</si>
  <si>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</si>
  <si>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</si>
  <si>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</si>
  <si>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</si>
  <si>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</si>
  <si>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</si>
  <si>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</si>
  <si>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</si>
  <si>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</si>
  <si>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</si>
  <si>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</si>
  <si>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</si>
  <si>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</si>
  <si>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</si>
  <si>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</si>
  <si>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</si>
  <si>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</si>
  <si>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</si>
  <si>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</si>
  <si>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</si>
  <si>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</si>
  <si>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</si>
  <si>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</si>
  <si>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</si>
  <si>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</si>
  <si>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</si>
  <si>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</si>
  <si>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</si>
  <si>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</si>
  <si>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</si>
  <si>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</si>
  <si>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</si>
  <si>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</si>
  <si>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</si>
  <si>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</si>
  <si>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</si>
  <si>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</si>
  <si>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</si>
  <si>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</si>
  <si>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</si>
  <si>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</si>
  <si>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</si>
  <si>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</si>
  <si>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</si>
  <si>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</si>
  <si>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</si>
  <si>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</si>
  <si>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</si>
  <si>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</si>
  <si>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</si>
  <si>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</si>
  <si>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</si>
  <si>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</si>
  <si>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</si>
  <si>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</si>
  <si>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</si>
  <si>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</si>
  <si>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</si>
  <si>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</si>
  <si>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</si>
  <si>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</si>
  <si>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</si>
  <si>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</si>
  <si>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</si>
  <si>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</si>
  <si>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</si>
  <si>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</si>
  <si>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</si>
  <si>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</si>
  <si>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</si>
  <si>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</si>
  <si>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</si>
  <si>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</si>
  <si>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</si>
  <si>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</si>
  <si>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</si>
  <si>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</si>
  <si>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</si>
  <si>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</si>
  <si>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</si>
  <si>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</si>
  <si>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</si>
  <si>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</si>
  <si>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</si>
  <si>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</si>
  <si>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</si>
  <si>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</si>
  <si>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</si>
  <si>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</si>
  <si>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</si>
  <si>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</si>
  <si>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</si>
  <si>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</si>
  <si>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</si>
  <si>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</si>
  <si>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</si>
  <si>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</si>
  <si>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</si>
  <si>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</si>
  <si>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</si>
  <si>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</si>
  <si>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</si>
  <si>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</si>
  <si>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</si>
  <si>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</si>
  <si>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</si>
  <si>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</si>
  <si>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</si>
  <si>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</si>
  <si>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</si>
  <si>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</si>
  <si>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</si>
  <si>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</si>
  <si>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</si>
  <si>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</si>
  <si>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</si>
  <si>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</si>
  <si>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</si>
  <si>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</si>
  <si>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</si>
  <si>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</si>
  <si>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</si>
  <si>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</si>
  <si>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</si>
  <si>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</si>
  <si>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</si>
  <si>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</si>
  <si>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</si>
  <si>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</si>
  <si>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</si>
  <si>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</si>
  <si>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</si>
  <si>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</si>
  <si>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</si>
  <si>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</si>
  <si>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</si>
  <si>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</si>
  <si>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</si>
  <si>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</si>
  <si>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</si>
  <si>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</si>
  <si>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</si>
  <si>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</si>
  <si>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</si>
  <si>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</si>
  <si>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</si>
  <si>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</si>
  <si>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</si>
  <si>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</si>
  <si>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</si>
  <si>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</si>
  <si>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</si>
  <si>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</si>
  <si>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</si>
  <si>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</si>
  <si>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</si>
  <si>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</si>
  <si>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</si>
  <si>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</si>
  <si>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</si>
  <si>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</si>
  <si>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</si>
  <si>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</si>
  <si>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</si>
  <si>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</si>
  <si>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</si>
  <si>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</si>
  <si>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</si>
  <si>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</si>
  <si>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</si>
  <si>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</si>
  <si>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</si>
  <si>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</si>
  <si>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</si>
  <si>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</si>
  <si>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</si>
  <si>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</si>
  <si>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</si>
  <si>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</si>
  <si>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</si>
  <si>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</si>
  <si>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</si>
  <si>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</si>
  <si>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</si>
  <si>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</si>
  <si>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</si>
  <si>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</si>
  <si>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</si>
  <si>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</si>
  <si>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</si>
  <si>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</si>
  <si>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</si>
  <si>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</si>
  <si>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</si>
  <si>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</si>
  <si>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</si>
  <si>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</si>
  <si>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</si>
  <si>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</si>
  <si>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</si>
  <si>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</si>
  <si>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</si>
  <si>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</si>
  <si>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</si>
  <si>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</si>
  <si>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</si>
  <si>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</si>
  <si>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</si>
  <si>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</si>
  <si>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</si>
  <si>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</si>
  <si>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</si>
  <si>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</si>
  <si>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</si>
  <si>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</si>
  <si>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</si>
  <si>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</si>
  <si>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</si>
  <si>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</si>
  <si>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</si>
  <si>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</si>
  <si>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</si>
  <si>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</si>
  <si>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</si>
  <si>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</si>
  <si>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</si>
  <si>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</si>
  <si>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</si>
  <si>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</si>
  <si>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</si>
  <si>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</si>
  <si>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</si>
  <si>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</si>
  <si>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</si>
  <si>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</si>
  <si>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</si>
  <si>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</si>
  <si>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</si>
  <si>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</si>
  <si>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</si>
  <si>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</si>
  <si>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</si>
  <si>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</si>
  <si>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</si>
  <si>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</si>
  <si>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</si>
  <si>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</si>
  <si>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</si>
  <si>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</si>
  <si>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</si>
  <si>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</si>
  <si>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</si>
  <si>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</si>
  <si>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</si>
  <si>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</si>
  <si>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</si>
  <si>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</si>
  <si>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</si>
  <si>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</si>
  <si>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</si>
  <si>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</si>
  <si>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</si>
  <si>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</si>
  <si>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</si>
  <si>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</si>
  <si>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</si>
  <si>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</si>
  <si>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</si>
  <si>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</si>
  <si>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</si>
  <si>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</si>
  <si>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</si>
  <si>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</si>
  <si>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</si>
  <si>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</si>
  <si>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</si>
  <si>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</si>
  <si>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</si>
  <si>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</si>
  <si>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</si>
  <si>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</si>
  <si>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</si>
  <si>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</si>
  <si>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</si>
  <si>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</si>
  <si>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</si>
  <si>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</si>
  <si>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</si>
  <si>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</si>
  <si>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</si>
  <si>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</si>
  <si>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</si>
  <si>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</si>
  <si>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</si>
  <si>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</si>
  <si>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</si>
  <si>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</si>
  <si>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</si>
  <si>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</si>
  <si>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</si>
  <si>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</si>
  <si>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</si>
  <si>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</si>
  <si>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</si>
  <si>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</si>
  <si>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</si>
  <si>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</si>
  <si>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</si>
  <si>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</si>
  <si>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</si>
  <si>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</si>
  <si>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</si>
  <si>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</si>
  <si>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</si>
  <si>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</si>
  <si>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</si>
  <si>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</si>
  <si>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</si>
  <si>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</si>
  <si>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</si>
  <si>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</si>
  <si>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</si>
  <si>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</si>
  <si>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</si>
  <si>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</si>
  <si>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</si>
  <si>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</si>
  <si>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</si>
  <si>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</si>
  <si>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</si>
  <si>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</si>
  <si>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</si>
  <si>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</si>
  <si>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</si>
  <si>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</si>
  <si>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</si>
  <si>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</si>
  <si>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</si>
  <si>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</si>
  <si>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</si>
  <si>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</si>
  <si>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</si>
  <si>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</si>
  <si>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</si>
  <si>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</si>
  <si>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</si>
  <si>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</si>
  <si>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</si>
  <si>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</si>
  <si>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</si>
  <si>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</si>
  <si>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</si>
  <si>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</si>
  <si>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</si>
  <si>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</si>
  <si>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</si>
  <si>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</si>
  <si>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</si>
  <si>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</si>
  <si>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</si>
  <si>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</si>
  <si>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</si>
  <si>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</si>
  <si>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</si>
  <si>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</si>
  <si>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</si>
  <si>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</si>
  <si>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</si>
  <si>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</si>
  <si>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</si>
  <si>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</si>
  <si>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</si>
  <si>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</si>
  <si>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</si>
  <si>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</si>
  <si>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</si>
  <si>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</si>
  <si>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</si>
  <si>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</si>
  <si>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</si>
  <si>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</si>
  <si>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</si>
  <si>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</si>
  <si>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</si>
  <si>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</si>
  <si>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</si>
  <si>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</si>
  <si>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</si>
  <si>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</si>
  <si>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</si>
  <si>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</si>
  <si>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</si>
  <si>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</si>
  <si>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</si>
  <si>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</si>
  <si>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</si>
  <si>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</si>
  <si>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</si>
  <si>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</si>
  <si>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</si>
  <si>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</si>
  <si>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</si>
  <si>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</si>
  <si>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</si>
  <si>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</si>
  <si>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</si>
  <si>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</si>
  <si>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</si>
  <si>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</si>
  <si>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</si>
  <si>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</si>
  <si>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</si>
  <si>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</si>
  <si>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</si>
  <si>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</si>
  <si>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</si>
  <si>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</si>
  <si>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</si>
  <si>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</si>
  <si>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</si>
  <si>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</si>
  <si>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</si>
  <si>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</si>
  <si>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</si>
  <si>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</si>
  <si>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</si>
  <si>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</si>
  <si>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</si>
  <si>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</si>
  <si>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</si>
  <si>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</si>
  <si>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</si>
  <si>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</si>
  <si>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</si>
  <si>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</si>
  <si>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</si>
  <si>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</si>
  <si>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</si>
  <si>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</si>
  <si>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</si>
  <si>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</si>
  <si>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</si>
  <si>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</si>
  <si>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</si>
  <si>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</si>
  <si>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</si>
  <si>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</si>
  <si>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</si>
  <si>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</si>
  <si>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</si>
  <si>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</si>
  <si>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</si>
  <si>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</si>
  <si>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</si>
  <si>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</si>
  <si>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</si>
  <si>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</si>
  <si>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</si>
  <si>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</si>
  <si>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</si>
  <si>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</si>
  <si>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</si>
  <si>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</si>
  <si>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</si>
  <si>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</si>
  <si>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</si>
  <si>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</si>
  <si>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</si>
  <si>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</si>
  <si>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</si>
  <si>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</si>
  <si>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</si>
  <si>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</si>
  <si>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</si>
  <si>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</si>
  <si>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</si>
  <si>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</si>
  <si>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</si>
  <si>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</si>
  <si>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</si>
  <si>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</si>
  <si>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</si>
  <si>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</si>
  <si>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</si>
  <si>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</si>
  <si>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</si>
  <si>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</si>
  <si>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</si>
  <si>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</si>
  <si>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</si>
  <si>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</si>
  <si>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</si>
  <si>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</si>
  <si>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</si>
  <si>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</si>
  <si>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</si>
  <si>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</si>
  <si>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</si>
  <si>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</si>
  <si>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</si>
  <si>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</si>
  <si>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</si>
  <si>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</si>
  <si>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</si>
  <si>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</si>
  <si>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</si>
  <si>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</si>
  <si>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</si>
  <si>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</si>
  <si>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</si>
  <si>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</si>
  <si>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</si>
  <si>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</si>
  <si>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</si>
  <si>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</si>
  <si>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</si>
  <si>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</si>
  <si>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</si>
  <si>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</si>
  <si>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</si>
  <si>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</si>
  <si>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</si>
  <si>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</si>
  <si>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</si>
  <si>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</si>
  <si>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</si>
  <si>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</si>
  <si>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</si>
  <si>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</si>
  <si>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</si>
  <si>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</si>
  <si>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</si>
  <si>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</si>
  <si>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</si>
  <si>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</si>
  <si>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</si>
  <si>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</si>
  <si>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</si>
  <si>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</si>
  <si>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</si>
  <si>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</si>
  <si>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</si>
  <si>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</si>
  <si>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</si>
  <si>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</si>
  <si>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</si>
  <si>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</si>
  <si>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</si>
  <si>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</si>
  <si>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</si>
  <si>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</si>
  <si>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</si>
  <si>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</si>
  <si>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</si>
  <si>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</si>
  <si>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</si>
  <si>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</si>
  <si>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</si>
  <si>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</si>
  <si>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</si>
  <si>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</si>
  <si>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</si>
  <si>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</si>
  <si>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</si>
  <si>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</si>
  <si>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</si>
  <si>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</si>
  <si>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</si>
  <si>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</si>
  <si>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</si>
  <si>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</si>
  <si>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</si>
  <si>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</si>
  <si>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</si>
  <si>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</si>
  <si>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</si>
  <si>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</si>
  <si>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</si>
  <si>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</si>
  <si>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</si>
  <si>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</si>
  <si>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</si>
  <si>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</si>
  <si>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</si>
  <si>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</si>
  <si>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</si>
  <si>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</si>
  <si>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</si>
  <si>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</si>
  <si>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</si>
  <si>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</si>
  <si>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</si>
  <si>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</si>
  <si>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</si>
  <si>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</si>
  <si>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</si>
  <si>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</si>
  <si>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</si>
  <si>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</si>
  <si>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</si>
  <si>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</si>
  <si>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</si>
  <si>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</si>
  <si>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</si>
  <si>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</si>
  <si>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</si>
  <si>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</si>
  <si>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</si>
  <si>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</si>
  <si>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</si>
  <si>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</si>
  <si>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</si>
  <si>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</si>
  <si>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</si>
  <si>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</si>
  <si>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</si>
  <si>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</si>
  <si>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</si>
  <si>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</si>
  <si>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</si>
  <si>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</si>
  <si>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</si>
  <si>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</si>
  <si>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</si>
  <si>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</si>
  <si>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</si>
  <si>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</si>
  <si>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</si>
  <si>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</si>
  <si>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</si>
  <si>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</si>
  <si>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</si>
  <si>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</si>
  <si>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</si>
  <si>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</si>
  <si>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</si>
  <si>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</si>
  <si>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</si>
  <si>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</si>
  <si>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</si>
  <si>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</si>
  <si>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</si>
  <si>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</si>
  <si>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</si>
  <si>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</si>
  <si>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</si>
  <si>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</si>
  <si>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</si>
  <si>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</si>
  <si>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</si>
  <si>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</si>
  <si>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</si>
  <si>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</si>
  <si>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</si>
  <si>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</si>
  <si>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</si>
  <si>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</si>
  <si>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</si>
  <si>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</si>
  <si>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</si>
  <si>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</si>
  <si>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</si>
  <si>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</si>
  <si>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</si>
  <si>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</si>
  <si>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</si>
  <si>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</si>
  <si>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</si>
  <si>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</si>
  <si>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</si>
  <si>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</si>
  <si>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</si>
  <si>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</si>
  <si>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</si>
  <si>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</si>
  <si>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</si>
  <si>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</si>
  <si>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</si>
  <si>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</si>
  <si>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</si>
  <si>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</si>
  <si>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</si>
  <si>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</si>
  <si>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</si>
  <si>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</si>
  <si>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</si>
  <si>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</si>
  <si>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</si>
  <si>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</si>
  <si>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</si>
  <si>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</si>
  <si>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</si>
  <si>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</si>
  <si>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</si>
  <si>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</si>
  <si>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</si>
  <si>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</si>
  <si>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</si>
  <si>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</si>
  <si>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</si>
  <si>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</si>
  <si>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</si>
  <si>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</si>
  <si>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</si>
  <si>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</si>
  <si>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</si>
  <si>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</si>
  <si>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</si>
  <si>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</si>
  <si>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</si>
  <si>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</si>
  <si>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</si>
  <si>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</si>
  <si>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</si>
  <si>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</si>
  <si>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</si>
  <si>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</si>
  <si>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</si>
  <si>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</si>
  <si>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</si>
  <si>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</si>
  <si>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</si>
  <si>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</si>
  <si>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</si>
  <si>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</si>
  <si>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</si>
  <si>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</si>
  <si>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</si>
  <si>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</si>
  <si>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</si>
  <si>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</si>
  <si>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</si>
  <si>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</si>
  <si>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</si>
  <si>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</si>
  <si>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</si>
  <si>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</si>
  <si>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</si>
  <si>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</si>
  <si>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</si>
  <si>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</si>
  <si>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</si>
  <si>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</si>
  <si>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</si>
  <si>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</si>
  <si>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</si>
  <si>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</si>
  <si>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</si>
  <si>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</si>
  <si>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</si>
  <si>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</si>
  <si>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</si>
  <si>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</si>
  <si>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</si>
  <si>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</si>
  <si>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</si>
  <si>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</si>
  <si>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</si>
  <si>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</si>
  <si>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</si>
  <si>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</si>
  <si>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</si>
  <si>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</si>
  <si>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</si>
  <si>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</si>
  <si>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</si>
  <si>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</si>
  <si>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</si>
  <si>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</si>
  <si>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</si>
  <si>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</si>
  <si>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</si>
  <si>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</si>
  <si>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</si>
  <si>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</si>
  <si>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</si>
  <si>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</si>
  <si>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</si>
  <si>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</si>
  <si>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</si>
  <si>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</si>
  <si>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</si>
  <si>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</si>
  <si>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</si>
  <si>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</si>
  <si>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</si>
  <si>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</si>
  <si>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</si>
  <si>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</si>
  <si>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</si>
  <si>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</si>
  <si>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</si>
  <si>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</si>
  <si>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</si>
  <si>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</si>
  <si>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</si>
  <si>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</si>
  <si>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</si>
  <si>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</si>
  <si>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</si>
  <si>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</si>
  <si>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</si>
  <si>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</si>
  <si>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</si>
  <si>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</si>
  <si>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</si>
  <si>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</si>
  <si>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</si>
  <si>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</si>
  <si>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</si>
  <si>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</si>
  <si>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</si>
  <si>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</si>
  <si>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</si>
  <si>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</si>
  <si>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</si>
  <si>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</si>
  <si>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</si>
  <si>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</si>
  <si>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</si>
  <si>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</si>
  <si>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</si>
  <si>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</si>
  <si>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</si>
  <si>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</si>
  <si>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</si>
  <si>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</si>
  <si>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</si>
  <si>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</si>
  <si>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</si>
  <si>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</si>
  <si>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</si>
  <si>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</si>
  <si>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</si>
  <si>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</si>
  <si>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</si>
  <si>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</si>
  <si>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</si>
  <si>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</si>
  <si>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</si>
  <si>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</si>
  <si>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</si>
  <si>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</si>
  <si>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</si>
  <si>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</si>
  <si>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</si>
  <si>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</si>
  <si>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</si>
  <si>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</si>
  <si>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</si>
  <si>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</si>
  <si>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</si>
  <si>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</si>
  <si>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</si>
  <si>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</si>
  <si>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</si>
  <si>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</si>
  <si>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</si>
  <si>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</si>
  <si>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</si>
  <si>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</si>
  <si>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</si>
  <si>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</si>
  <si>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</si>
  <si>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</si>
  <si>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</si>
  <si>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</si>
  <si>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</si>
  <si>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</si>
  <si>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</si>
  <si>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</si>
  <si>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</si>
  <si>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</si>
  <si>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</si>
  <si>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</si>
  <si>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</si>
  <si>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</si>
  <si>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</si>
  <si>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</si>
  <si>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</si>
  <si>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</si>
  <si>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</si>
  <si>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</si>
  <si>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</si>
  <si>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</si>
  <si>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</si>
  <si>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</si>
  <si>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</si>
  <si>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</si>
  <si>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</si>
  <si>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</si>
  <si>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</si>
  <si>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</si>
  <si>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</si>
  <si>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</si>
  <si>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</si>
  <si>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</si>
  <si>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</si>
  <si>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</si>
  <si>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</si>
  <si>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</si>
  <si>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</si>
  <si>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</si>
  <si>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</si>
  <si>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</si>
  <si>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</si>
  <si>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</si>
  <si>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</si>
  <si>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</si>
  <si>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</si>
  <si>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</si>
  <si>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</si>
  <si>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</si>
  <si>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</si>
  <si>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</si>
  <si>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</si>
  <si>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</si>
  <si>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</si>
  <si>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</si>
  <si>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</si>
  <si>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</si>
  <si>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</si>
  <si>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</si>
  <si>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</si>
  <si>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</si>
  <si>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</si>
  <si>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</si>
  <si>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</si>
  <si>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</si>
  <si>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</si>
  <si>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</si>
  <si>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</si>
  <si>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</si>
  <si>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</si>
  <si>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</si>
  <si>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</si>
  <si>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</si>
  <si>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</si>
  <si>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</si>
  <si>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</si>
  <si>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</si>
  <si>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</si>
  <si>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</si>
  <si>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</si>
  <si>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</si>
  <si>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</si>
  <si>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</si>
  <si>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</si>
  <si>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</si>
  <si>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</si>
  <si>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</si>
  <si>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</si>
  <si>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</si>
  <si>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</si>
  <si>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</si>
  <si>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</si>
  <si>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</si>
  <si>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</si>
  <si>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</si>
  <si>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</si>
  <si>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</si>
  <si>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</si>
  <si>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</si>
  <si>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</si>
  <si>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</si>
  <si>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</si>
  <si>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</si>
  <si>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</si>
  <si>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</si>
  <si>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</si>
  <si>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</si>
  <si>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</si>
  <si>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</si>
  <si>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</si>
  <si>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</si>
  <si>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</si>
  <si>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</si>
  <si>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</si>
  <si>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</si>
  <si>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</si>
  <si>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</si>
  <si>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</si>
  <si>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</si>
  <si>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</si>
  <si>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</si>
  <si>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</si>
  <si>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</si>
  <si>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</si>
  <si>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</si>
  <si>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</si>
  <si>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</si>
  <si>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</si>
  <si>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</si>
  <si>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</si>
  <si>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</si>
  <si>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</si>
  <si>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</si>
  <si>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</si>
  <si>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</si>
  <si>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</si>
  <si>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</si>
  <si>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</si>
  <si>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</si>
  <si>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</si>
  <si>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</si>
  <si>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</si>
  <si>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</si>
  <si>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</si>
  <si>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</si>
  <si>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</si>
  <si>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</si>
  <si>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</si>
  <si>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</si>
  <si>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</si>
  <si>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</si>
  <si>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</si>
  <si>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</si>
  <si>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</si>
  <si>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</si>
  <si>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</si>
  <si>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</si>
  <si>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</si>
  <si>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</si>
  <si>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</si>
  <si>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</si>
  <si>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</si>
  <si>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</si>
  <si>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</si>
  <si>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</si>
  <si>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</si>
  <si>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</si>
  <si>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</si>
  <si>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</si>
  <si>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</si>
  <si>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</si>
  <si>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</si>
  <si>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</si>
  <si>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</si>
  <si>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</si>
  <si>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</si>
  <si>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</si>
  <si>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</si>
  <si>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</si>
  <si>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</si>
  <si>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</si>
  <si>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</si>
  <si>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</si>
  <si>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</si>
  <si>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</si>
  <si>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</si>
  <si>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</si>
  <si>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</si>
  <si>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</si>
  <si>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</si>
  <si>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</si>
  <si>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</si>
  <si>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</si>
  <si>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</si>
  <si>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</si>
  <si>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</si>
  <si>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</si>
  <si>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</si>
  <si>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</si>
  <si>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</si>
  <si>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</si>
  <si>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</si>
  <si>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</si>
  <si>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</si>
  <si>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</si>
  <si>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</si>
  <si>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</si>
  <si>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</si>
  <si>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</si>
  <si>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</si>
  <si>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</si>
  <si>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</si>
  <si>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</si>
  <si>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</si>
  <si>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</si>
  <si>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</si>
  <si>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</si>
  <si>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</si>
  <si>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</si>
  <si>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</si>
  <si>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</si>
  <si>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</si>
  <si>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</si>
  <si>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</si>
  <si>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</si>
  <si>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</si>
  <si>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</si>
  <si>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</si>
  <si>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</si>
  <si>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</si>
  <si>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</si>
  <si>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</si>
  <si>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</si>
  <si>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</si>
  <si>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</si>
  <si>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</si>
  <si>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</si>
  <si>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</si>
  <si>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</si>
  <si>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</si>
  <si>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</si>
  <si>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</si>
  <si>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</si>
  <si>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</si>
  <si>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</si>
  <si>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</si>
  <si>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</si>
  <si>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</si>
  <si>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</si>
  <si>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</si>
  <si>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</si>
  <si>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</si>
  <si>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</si>
  <si>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</si>
  <si>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</si>
  <si>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</si>
  <si>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</si>
  <si>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</si>
  <si>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</si>
  <si>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</si>
  <si>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</si>
  <si>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</si>
  <si>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</si>
  <si>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</si>
  <si>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</si>
  <si>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</si>
  <si>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</si>
  <si>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</si>
  <si>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</si>
  <si>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</si>
  <si>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</si>
  <si>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</si>
  <si>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</si>
  <si>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</si>
  <si>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</si>
  <si>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</si>
  <si>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</si>
  <si>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</si>
  <si>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</si>
  <si>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</si>
  <si>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</si>
  <si>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</si>
  <si>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</si>
  <si>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</si>
  <si>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</si>
  <si>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</si>
  <si>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</si>
  <si>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</si>
  <si>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</si>
  <si>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</si>
  <si>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</si>
  <si>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</si>
  <si>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</si>
  <si>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</si>
  <si>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</si>
  <si>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</si>
  <si>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</si>
  <si>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</si>
  <si>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</si>
  <si>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</si>
  <si>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</si>
  <si>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</si>
  <si>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</si>
  <si>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</si>
  <si>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</si>
  <si>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</si>
  <si>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</si>
  <si>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</si>
  <si>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</si>
  <si>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</si>
  <si>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</si>
  <si>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</si>
  <si>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</si>
  <si>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</si>
  <si>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</si>
  <si>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</si>
  <si>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</si>
  <si>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</si>
  <si>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</si>
  <si>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</si>
  <si>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</si>
  <si>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</si>
  <si>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</si>
  <si>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</si>
  <si>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</si>
  <si>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</si>
  <si>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</si>
  <si>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</si>
  <si>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</si>
  <si>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</si>
  <si>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</si>
  <si>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</si>
  <si>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</si>
  <si>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</si>
  <si>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</si>
  <si>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</si>
  <si>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</si>
  <si>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</si>
  <si>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</si>
  <si>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</si>
  <si>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</si>
  <si>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</si>
  <si>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</si>
  <si>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</si>
  <si>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</si>
  <si>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</si>
  <si>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</si>
  <si>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</si>
  <si>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</si>
  <si>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</si>
  <si>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</si>
  <si>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</si>
  <si>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</si>
  <si>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</si>
  <si>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</si>
  <si>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</si>
  <si>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</si>
  <si>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</si>
  <si>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</si>
  <si>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</si>
  <si>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</si>
  <si>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</si>
  <si>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</si>
  <si>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</si>
  <si>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</si>
  <si>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</si>
  <si>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</si>
  <si>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</si>
  <si>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</si>
  <si>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</si>
  <si>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</si>
  <si>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</si>
  <si>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</si>
  <si>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</si>
  <si>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</si>
  <si>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</si>
  <si>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</si>
  <si>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</si>
  <si>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</si>
  <si>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</si>
  <si>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</si>
  <si>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</si>
  <si>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</si>
  <si>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</si>
  <si>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</si>
  <si>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</si>
  <si>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</si>
  <si>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</si>
  <si>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</si>
  <si>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</si>
  <si>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</si>
  <si>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</si>
  <si>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</si>
  <si>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</si>
  <si>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</si>
  <si>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</si>
  <si>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</si>
  <si>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</si>
  <si>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</si>
  <si>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</si>
  <si>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</si>
  <si>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</si>
  <si>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</si>
  <si>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</si>
  <si>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</si>
  <si>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</si>
  <si>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</si>
  <si>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</si>
  <si>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</si>
  <si>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</si>
  <si>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</si>
  <si>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</si>
  <si>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</si>
  <si>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</si>
  <si>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</si>
  <si>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</si>
  <si>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</si>
  <si>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</si>
  <si>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</si>
  <si>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</si>
  <si>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</si>
  <si>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</si>
  <si>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</si>
  <si>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</si>
  <si>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</si>
  <si>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</si>
  <si>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</si>
  <si>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</si>
  <si>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</si>
  <si>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</si>
  <si>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</si>
  <si>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</si>
  <si>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</si>
  <si>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</si>
  <si>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</si>
  <si>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</si>
  <si>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</si>
  <si>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</si>
  <si>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</si>
  <si>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</si>
  <si>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prelungire durata</t>
  </si>
  <si>
    <t>AA1/18.08.2020 diminuare buget</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</si>
  <si>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</si>
  <si>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</si>
  <si>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</si>
  <si>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</si>
  <si>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</si>
  <si>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</si>
  <si>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</si>
  <si>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</si>
  <si>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</si>
  <si>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</si>
  <si>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</si>
  <si>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</si>
  <si>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</si>
  <si>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</si>
  <si>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</si>
  <si>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</si>
  <si>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</si>
  <si>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</si>
  <si>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</si>
  <si>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</si>
  <si>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</si>
  <si>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</si>
  <si>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</si>
  <si>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</si>
  <si>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</si>
  <si>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</si>
  <si>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</si>
  <si>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</si>
  <si>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</si>
  <si>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</si>
  <si>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</si>
  <si>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</si>
  <si>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</si>
  <si>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</si>
  <si>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</si>
  <si>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</si>
  <si>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</si>
  <si>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</si>
  <si>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</si>
  <si>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</si>
  <si>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</si>
  <si>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</si>
  <si>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</si>
  <si>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</si>
  <si>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</si>
  <si>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AA2/30.09.2020 durata, ue, cb</t>
  </si>
  <si>
    <t xml:space="preserve">AA1/2.10.2020 durata </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</si>
  <si>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</si>
  <si>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</si>
  <si>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</si>
  <si>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</si>
  <si>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</si>
  <si>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</si>
  <si>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</si>
  <si>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</si>
  <si>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</si>
  <si>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</si>
  <si>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</si>
  <si>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</si>
  <si>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</si>
  <si>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</si>
  <si>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</si>
  <si>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</si>
  <si>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</si>
  <si>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</si>
  <si>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</si>
  <si>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</si>
  <si>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</si>
  <si>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</si>
  <si>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</si>
  <si>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</si>
  <si>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</si>
  <si>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</si>
  <si>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</si>
  <si>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</si>
  <si>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</si>
  <si>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</si>
  <si>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</si>
  <si>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</si>
  <si>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</si>
  <si>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</si>
  <si>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</si>
  <si>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</si>
  <si>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</si>
  <si>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</si>
  <si>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</si>
  <si>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</si>
  <si>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</si>
  <si>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</si>
  <si>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</si>
  <si>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</si>
  <si>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</si>
  <si>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</si>
  <si>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</si>
  <si>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</si>
  <si>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</si>
  <si>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</si>
  <si>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</si>
  <si>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</si>
  <si>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</si>
  <si>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</si>
  <si>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</si>
  <si>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</si>
  <si>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</si>
  <si>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</si>
  <si>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</si>
  <si>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</si>
  <si>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</si>
  <si>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</si>
  <si>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</si>
  <si>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</si>
  <si>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</si>
  <si>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</si>
  <si>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</si>
  <si>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</si>
  <si>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</si>
  <si>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</si>
  <si>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</si>
  <si>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</si>
  <si>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</si>
  <si>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</si>
  <si>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</si>
  <si>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</si>
  <si>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</si>
  <si>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</si>
  <si>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</si>
  <si>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</si>
  <si>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</si>
  <si>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</si>
  <si>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</si>
  <si>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</si>
  <si>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</si>
  <si>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</si>
  <si>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</si>
  <si>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</si>
  <si>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</si>
  <si>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</si>
  <si>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</si>
  <si>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</si>
  <si>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</si>
  <si>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</si>
  <si>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</si>
  <si>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</si>
  <si>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</si>
  <si>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</si>
  <si>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</si>
  <si>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</si>
  <si>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</si>
  <si>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</si>
  <si>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</si>
  <si>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</si>
  <si>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</si>
  <si>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</si>
  <si>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</si>
  <si>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</si>
  <si>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</si>
  <si>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</si>
  <si>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</si>
  <si>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</si>
  <si>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</si>
  <si>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</si>
  <si>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AA1/09.03.2021 durata</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</si>
  <si>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</si>
  <si>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</si>
  <si>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</si>
  <si>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</si>
  <si>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</si>
  <si>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</si>
  <si>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</si>
  <si>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</si>
  <si>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</si>
  <si>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</si>
  <si>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</si>
  <si>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</si>
  <si>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</si>
  <si>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</si>
  <si>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</si>
  <si>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</si>
  <si>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</si>
  <si>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</si>
  <si>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</si>
  <si>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</si>
  <si>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</si>
  <si>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</si>
  <si>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</si>
  <si>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</si>
  <si>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</si>
  <si>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</si>
  <si>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</si>
  <si>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</si>
  <si>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</si>
  <si>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</si>
  <si>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</si>
  <si>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</si>
  <si>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</si>
  <si>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</si>
  <si>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</si>
  <si>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</si>
  <si>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 xml:space="preserve">AA1/30.09.2020 buget AA2/22.02.2021 AA3/28.04.2021 buget </t>
  </si>
  <si>
    <t>AA1/10.05.2021 durata</t>
  </si>
  <si>
    <t>AA1/5.05.2021 durata si buget</t>
  </si>
  <si>
    <t>AA1/17.05.2021 durata</t>
  </si>
  <si>
    <t>Cresterea capacității sistemului CDI de a răspunde provocarilor globale. Consolidarea capacității
anticipatorii de elaborare a politicilor publice bazate pe dovezi</t>
  </si>
  <si>
    <t>AA1/19.05.2021</t>
  </si>
  <si>
    <t>AA1/21.05.2021 durata</t>
  </si>
  <si>
    <t>AA1/19.05.2021 durata</t>
  </si>
  <si>
    <t>AA1/24.05.2021 durata</t>
  </si>
  <si>
    <t>AA1/18.08.2020 AA3/24.05.2021 durata si buget (ue, cb)</t>
  </si>
  <si>
    <t>AA1/26.05.2020 durata AA3/17.05.2021 durata</t>
  </si>
  <si>
    <t>AA1/26.05.2021 durata</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</si>
  <si>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</si>
  <si>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</si>
  <si>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</si>
  <si>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</si>
  <si>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</si>
  <si>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</si>
  <si>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AA1/15.07.2020   AA2/29.09.2020 durata AA3/7.08.2021 durata</t>
  </si>
  <si>
    <t>AA4 /17.02.2020 AA5/20.10.2020 durata, buget AA6/9.06.2021 durata</t>
  </si>
  <si>
    <t>AA3/20.11.2019 prelungire   AA4/25.09.2020 durata  AA5/9.06.2021 durata si buget</t>
  </si>
  <si>
    <t>AA1/11.06.2021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</si>
  <si>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</si>
  <si>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</si>
  <si>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</si>
  <si>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</si>
  <si>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</si>
  <si>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</si>
  <si>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</si>
  <si>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</si>
  <si>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</si>
  <si>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AA1/22.07.2019 AA3/23.12.2020 durata si buget AA4/23.06.2021 durata, partener, ue, cb, bn</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</si>
  <si>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</si>
  <si>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</si>
  <si>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</si>
  <si>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</si>
  <si>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</si>
  <si>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Ministerul Economiei, Energiei și Mediului de Afaceri</t>
  </si>
  <si>
    <t>Ordin nr. 794/14.06.2021 durata si buget</t>
  </si>
  <si>
    <t>AA1/28.06.2021 durata</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</si>
  <si>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</si>
  <si>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</si>
  <si>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</si>
  <si>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</si>
  <si>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</si>
  <si>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AA1/23.12.2020 durata, AA2/8.07.2021 durata</t>
  </si>
  <si>
    <t>AA1/13.07.2021 durata</t>
  </si>
  <si>
    <t>AA1/14.07.2021 durata</t>
  </si>
  <si>
    <t>AA1/19.08.2020 prelungire 3 luni AA2/14.07.2021 durata</t>
  </si>
  <si>
    <t>AA 1/12.03.2020 AA2/27.11.2020 ue, cb AA3/18.03.2021 buget AA4/20.07.2021 durata si cb si bn</t>
  </si>
  <si>
    <t>AA2/20.07.2021 buget</t>
  </si>
  <si>
    <t>AA1/21.05.2021 duarata, bn, elimin partener, AA2/22.07.2021</t>
  </si>
  <si>
    <t>INA</t>
  </si>
  <si>
    <t>AA3/04.09.2019; suspendat din 09.04.2020 pt 2 luni AA5/22.09.2020 buget AA6/22.12.2020 buget si durata AA7/21.07.2021 durata</t>
  </si>
  <si>
    <t>AA1/28.07.2021 durata</t>
  </si>
  <si>
    <t>AA1/30.07.2021</t>
  </si>
  <si>
    <t>AA1/22.09.2020 buget AA2/2.08.2021durata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</si>
  <si>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</si>
  <si>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</si>
  <si>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</si>
  <si>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</si>
  <si>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</si>
  <si>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AA1/22.12.2020 AA2/10.08.2021 buget</t>
  </si>
  <si>
    <t>AA1/12.08.2021 durata</t>
  </si>
  <si>
    <t>AA2/12.08.2021 durata</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</si>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</sst>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
      <sz val="11"/>
      <color rgb="FF333333"/>
      <name val="Arial"/>
      <family val="2"/>
    </font>
  </fonts>
  <fills count="3">
    <fill>
      <patternFill patternType="none"/>
    </fill>
    <fill>
      <patternFill patternType="gray125"/>
    </fill>
    <fill>
      <patternFill patternType="solid">
        <fgColor rgb="FFFFC000"/>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60">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4" fontId="8" fillId="0" borderId="0" xfId="0" applyNumberFormat="1" applyFont="1"/>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0" fontId="9" fillId="0" borderId="15" xfId="0" applyFont="1" applyFill="1" applyBorder="1" applyAlignment="1">
      <alignment horizontal="center" vertical="center" wrapText="1"/>
    </xf>
    <xf numFmtId="168" fontId="9" fillId="0" borderId="3" xfId="0"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0" fontId="9" fillId="0" borderId="3" xfId="0" applyFont="1" applyFill="1" applyBorder="1" applyAlignment="1">
      <alignment horizontal="lef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8" fillId="0" borderId="0" xfId="0" applyFont="1" applyFill="1" applyAlignment="1">
      <alignment vertical="center" wrapText="1"/>
    </xf>
    <xf numFmtId="4" fontId="9" fillId="0" borderId="3" xfId="0" applyNumberFormat="1" applyFont="1" applyFill="1" applyBorder="1" applyAlignment="1">
      <alignment horizontal="center"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168" fontId="8" fillId="0" borderId="0" xfId="0" applyNumberFormat="1" applyFont="1" applyFill="1"/>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 xfId="0" applyFont="1" applyFill="1" applyBorder="1" applyAlignment="1">
      <alignment horizontal="center" vertical="center"/>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8" fillId="0" borderId="0" xfId="0" applyFont="1" applyFill="1" applyAlignment="1">
      <alignment horizontal="center" wrapText="1"/>
    </xf>
    <xf numFmtId="0" fontId="8" fillId="0" borderId="0" xfId="0" applyFont="1" applyFill="1" applyAlignment="1">
      <alignment horizontal="center"/>
    </xf>
    <xf numFmtId="0" fontId="2" fillId="0" borderId="0" xfId="0" applyFont="1" applyFill="1" applyAlignment="1">
      <alignment horizontal="center" vertical="center"/>
    </xf>
    <xf numFmtId="0" fontId="26" fillId="0" borderId="0" xfId="0" applyFont="1"/>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5"/>
  <sheetViews>
    <sheetView tabSelected="1" topLeftCell="T1" zoomScale="70" zoomScaleNormal="70" workbookViewId="0">
      <pane ySplit="1" topLeftCell="A2" activePane="bottomLeft" state="frozen"/>
      <selection pane="bottomLeft" activeCell="W4" sqref="W4"/>
    </sheetView>
  </sheetViews>
  <sheetFormatPr defaultColWidth="9.140625" defaultRowHeight="15.75" x14ac:dyDescent="0.25"/>
  <cols>
    <col min="1" max="1" width="7" style="13" customWidth="1"/>
    <col min="2" max="2" width="12.85546875" style="13" customWidth="1"/>
    <col min="3" max="3" width="13.7109375" style="27" customWidth="1"/>
    <col min="4" max="4" width="14.28515625" style="13" customWidth="1"/>
    <col min="5" max="5" width="18.5703125" style="13" customWidth="1"/>
    <col min="6" max="6" width="25.5703125" style="23" customWidth="1"/>
    <col min="7" max="7" width="26" style="226" customWidth="1"/>
    <col min="8" max="8" width="23.85546875" style="224" customWidth="1"/>
    <col min="9" max="9" width="135.85546875" style="13" customWidth="1"/>
    <col min="10" max="10" width="20.5703125" style="225" customWidth="1"/>
    <col min="11" max="11" width="20" style="225" customWidth="1"/>
    <col min="12" max="12" width="24.28515625" style="225" customWidth="1"/>
    <col min="13" max="13" width="24.42578125" style="225" customWidth="1"/>
    <col min="14" max="14" width="31.85546875" style="225" customWidth="1"/>
    <col min="15" max="15" width="20.140625" style="225" customWidth="1"/>
    <col min="16" max="16" width="17" style="225" customWidth="1"/>
    <col min="17" max="17" width="29.140625" style="225" customWidth="1"/>
    <col min="18" max="18" width="26" style="13" customWidth="1"/>
    <col min="19" max="19" width="24.7109375" style="13" customWidth="1"/>
    <col min="20" max="20" width="21.85546875" style="13" customWidth="1"/>
    <col min="21" max="21" width="23.42578125" style="13" customWidth="1"/>
    <col min="22" max="22" width="24" style="123" customWidth="1"/>
    <col min="23" max="23" width="22.5703125" style="123" customWidth="1"/>
    <col min="24" max="24" width="25.140625" style="13" customWidth="1"/>
    <col min="25" max="25" width="19.42578125" style="13" customWidth="1"/>
    <col min="26" max="26" width="19.85546875" style="13" customWidth="1"/>
    <col min="27" max="27" width="19.5703125" style="13" customWidth="1"/>
    <col min="28" max="28" width="20" style="13" customWidth="1"/>
    <col min="29" max="29" width="13.42578125" style="13" customWidth="1"/>
    <col min="30" max="30" width="29" style="13" customWidth="1"/>
    <col min="31" max="31" width="18.85546875" style="13" customWidth="1"/>
    <col min="32" max="32" width="21.85546875" style="13" customWidth="1"/>
    <col min="33" max="33" width="27.7109375" style="13" customWidth="1"/>
    <col min="34" max="34" width="25" style="75" customWidth="1"/>
    <col min="35" max="35" width="23.28515625" style="13" customWidth="1"/>
    <col min="36" max="36" width="22.42578125" style="13" bestFit="1" customWidth="1"/>
    <col min="37" max="40" width="9.140625" style="13"/>
    <col min="41" max="41" width="10" style="13" bestFit="1" customWidth="1"/>
    <col min="42" max="16384" width="9.140625" style="13"/>
  </cols>
  <sheetData>
    <row r="1" spans="1:37 16382:16382" ht="89.25" customHeight="1" x14ac:dyDescent="0.25">
      <c r="A1" s="228" t="s">
        <v>0</v>
      </c>
      <c r="B1" s="229" t="s">
        <v>375</v>
      </c>
      <c r="C1" s="230" t="s">
        <v>1389</v>
      </c>
      <c r="D1" s="230" t="s">
        <v>8</v>
      </c>
      <c r="E1" s="230" t="s">
        <v>142</v>
      </c>
      <c r="F1" s="231" t="s">
        <v>1</v>
      </c>
      <c r="G1" s="232" t="s">
        <v>14</v>
      </c>
      <c r="H1" s="229" t="s">
        <v>156</v>
      </c>
      <c r="I1" s="230" t="s">
        <v>16</v>
      </c>
      <c r="J1" s="230" t="s">
        <v>15</v>
      </c>
      <c r="K1" s="230" t="s">
        <v>17</v>
      </c>
      <c r="L1" s="230" t="s">
        <v>18</v>
      </c>
      <c r="M1" s="230" t="s">
        <v>2</v>
      </c>
      <c r="N1" s="230" t="s">
        <v>19</v>
      </c>
      <c r="O1" s="230" t="s">
        <v>3</v>
      </c>
      <c r="P1" s="230" t="s">
        <v>4</v>
      </c>
      <c r="Q1" s="230" t="s">
        <v>20</v>
      </c>
      <c r="R1" s="233" t="s">
        <v>9</v>
      </c>
      <c r="S1" s="234"/>
      <c r="T1" s="234"/>
      <c r="U1" s="234"/>
      <c r="V1" s="234"/>
      <c r="W1" s="234"/>
      <c r="X1" s="234"/>
      <c r="Y1" s="235"/>
      <c r="Z1" s="235"/>
      <c r="AA1" s="236"/>
      <c r="AB1" s="237" t="s">
        <v>4</v>
      </c>
      <c r="AC1" s="237"/>
      <c r="AD1" s="238" t="s">
        <v>139</v>
      </c>
      <c r="AE1" s="239"/>
      <c r="AF1" s="238" t="s">
        <v>5</v>
      </c>
      <c r="AG1" s="240" t="s">
        <v>13</v>
      </c>
      <c r="AH1" s="240" t="s">
        <v>6</v>
      </c>
      <c r="AI1" s="238" t="s">
        <v>22</v>
      </c>
      <c r="AJ1" s="241"/>
    </row>
    <row r="2" spans="1:37 16382:16382" ht="15.75" customHeight="1" x14ac:dyDescent="0.25">
      <c r="A2" s="242"/>
      <c r="B2" s="243"/>
      <c r="C2" s="244"/>
      <c r="D2" s="244"/>
      <c r="E2" s="244"/>
      <c r="F2" s="245"/>
      <c r="G2" s="246"/>
      <c r="H2" s="243"/>
      <c r="I2" s="244"/>
      <c r="J2" s="244"/>
      <c r="K2" s="244"/>
      <c r="L2" s="244"/>
      <c r="M2" s="244"/>
      <c r="N2" s="244"/>
      <c r="O2" s="244"/>
      <c r="P2" s="244"/>
      <c r="Q2" s="244"/>
      <c r="R2" s="247" t="s">
        <v>10</v>
      </c>
      <c r="S2" s="248"/>
      <c r="T2" s="248"/>
      <c r="U2" s="248"/>
      <c r="V2" s="249"/>
      <c r="W2" s="250"/>
      <c r="X2" s="251" t="s">
        <v>12</v>
      </c>
      <c r="Y2" s="252"/>
      <c r="Z2" s="252"/>
      <c r="AA2" s="253" t="s">
        <v>21</v>
      </c>
      <c r="AB2" s="252"/>
      <c r="AC2" s="252"/>
      <c r="AD2" s="251"/>
      <c r="AE2" s="251" t="s">
        <v>1699</v>
      </c>
      <c r="AF2" s="251"/>
      <c r="AG2" s="254"/>
      <c r="AH2" s="254"/>
      <c r="AI2" s="251" t="s">
        <v>7</v>
      </c>
      <c r="AJ2" s="251" t="s">
        <v>23</v>
      </c>
    </row>
    <row r="3" spans="1:37 16382:16382" ht="36.75" customHeight="1" thickBot="1" x14ac:dyDescent="0.3">
      <c r="A3" s="255"/>
      <c r="B3" s="256"/>
      <c r="C3" s="244"/>
      <c r="D3" s="244"/>
      <c r="E3" s="244"/>
      <c r="F3" s="245"/>
      <c r="G3" s="246"/>
      <c r="H3" s="257"/>
      <c r="I3" s="244"/>
      <c r="J3" s="244"/>
      <c r="K3" s="244"/>
      <c r="L3" s="244"/>
      <c r="M3" s="244"/>
      <c r="N3" s="244"/>
      <c r="O3" s="244"/>
      <c r="P3" s="244"/>
      <c r="Q3" s="244"/>
      <c r="R3" s="252" t="s">
        <v>7</v>
      </c>
      <c r="S3" s="252" t="s">
        <v>150</v>
      </c>
      <c r="T3" s="252" t="s">
        <v>149</v>
      </c>
      <c r="U3" s="252" t="s">
        <v>11</v>
      </c>
      <c r="V3" s="258" t="s">
        <v>150</v>
      </c>
      <c r="W3" s="258" t="s">
        <v>149</v>
      </c>
      <c r="X3" s="251"/>
      <c r="Y3" s="252" t="s">
        <v>150</v>
      </c>
      <c r="Z3" s="252" t="s">
        <v>149</v>
      </c>
      <c r="AA3" s="259"/>
      <c r="AB3" s="252" t="s">
        <v>150</v>
      </c>
      <c r="AC3" s="252" t="s">
        <v>149</v>
      </c>
      <c r="AD3" s="251"/>
      <c r="AE3" s="251"/>
      <c r="AF3" s="251"/>
      <c r="AG3" s="254"/>
      <c r="AH3" s="254"/>
      <c r="AI3" s="251"/>
      <c r="AJ3" s="251"/>
    </row>
    <row r="4" spans="1:37 16382:16382" s="53" customFormat="1" ht="178.5" customHeight="1" x14ac:dyDescent="0.25">
      <c r="A4" s="38">
        <f>1</f>
        <v>1</v>
      </c>
      <c r="B4" s="39">
        <v>110755</v>
      </c>
      <c r="C4" s="40">
        <v>121</v>
      </c>
      <c r="D4" s="41" t="s">
        <v>1981</v>
      </c>
      <c r="E4" s="25" t="s">
        <v>278</v>
      </c>
      <c r="F4" s="8" t="s">
        <v>213</v>
      </c>
      <c r="G4" s="40" t="s">
        <v>214</v>
      </c>
      <c r="H4" s="40" t="s">
        <v>151</v>
      </c>
      <c r="I4" s="42" t="s">
        <v>2009</v>
      </c>
      <c r="J4" s="43">
        <v>43145</v>
      </c>
      <c r="K4" s="43">
        <v>43630</v>
      </c>
      <c r="L4" s="44">
        <f t="shared" ref="L4:L76" si="0">R4/AD4*100</f>
        <v>84.999999517641427</v>
      </c>
      <c r="M4" s="40">
        <v>7</v>
      </c>
      <c r="N4" s="40" t="s">
        <v>222</v>
      </c>
      <c r="O4" s="40" t="s">
        <v>217</v>
      </c>
      <c r="P4" s="28" t="s">
        <v>174</v>
      </c>
      <c r="Q4" s="5" t="s">
        <v>34</v>
      </c>
      <c r="R4" s="45">
        <f t="shared" ref="R4:R6" si="1">S4+T4</f>
        <v>352434.92</v>
      </c>
      <c r="S4" s="46">
        <v>352434.92</v>
      </c>
      <c r="T4" s="45">
        <v>0</v>
      </c>
      <c r="U4" s="47">
        <f t="shared" ref="U4:U74" si="2">V4+W4</f>
        <v>53844.59</v>
      </c>
      <c r="V4" s="48">
        <v>53844.59</v>
      </c>
      <c r="W4" s="49">
        <v>0</v>
      </c>
      <c r="X4" s="47">
        <f t="shared" ref="X4" si="3">Y4+Z4</f>
        <v>8349.81</v>
      </c>
      <c r="Y4" s="46">
        <v>8349.81</v>
      </c>
      <c r="Z4" s="47">
        <v>0</v>
      </c>
      <c r="AA4" s="45">
        <f>AB4+AC4</f>
        <v>0</v>
      </c>
      <c r="AB4" s="45">
        <v>0</v>
      </c>
      <c r="AC4" s="45">
        <v>0</v>
      </c>
      <c r="AD4" s="45">
        <f>R4+U4+X4+AA4</f>
        <v>414629.32</v>
      </c>
      <c r="AE4" s="45">
        <v>0</v>
      </c>
      <c r="AF4" s="45">
        <f t="shared" ref="AF4:AF44" si="4">AD4+AE4</f>
        <v>414629.32</v>
      </c>
      <c r="AG4" s="50" t="s">
        <v>966</v>
      </c>
      <c r="AH4" s="51" t="s">
        <v>151</v>
      </c>
      <c r="AI4" s="26">
        <v>327238.19</v>
      </c>
      <c r="AJ4" s="26">
        <v>49995.08</v>
      </c>
      <c r="AK4" s="52"/>
      <c r="XFB4" s="53">
        <f>SUM(A4:XFA4)</f>
        <v>2233494.5499995179</v>
      </c>
    </row>
    <row r="5" spans="1:37 16382:16382" ht="164.25" customHeight="1" x14ac:dyDescent="0.25">
      <c r="A5" s="5">
        <f>A4+1</f>
        <v>2</v>
      </c>
      <c r="B5" s="5">
        <v>109854</v>
      </c>
      <c r="C5" s="5">
        <v>116</v>
      </c>
      <c r="D5" s="41" t="s">
        <v>1981</v>
      </c>
      <c r="E5" s="18" t="s">
        <v>278</v>
      </c>
      <c r="F5" s="8" t="s">
        <v>302</v>
      </c>
      <c r="G5" s="5" t="s">
        <v>1851</v>
      </c>
      <c r="H5" s="35" t="s">
        <v>1851</v>
      </c>
      <c r="I5" s="42" t="s">
        <v>305</v>
      </c>
      <c r="J5" s="2">
        <v>43186</v>
      </c>
      <c r="K5" s="2">
        <v>43551</v>
      </c>
      <c r="L5" s="17">
        <f t="shared" si="0"/>
        <v>85.000000944809514</v>
      </c>
      <c r="M5" s="5">
        <v>7</v>
      </c>
      <c r="N5" s="5" t="s">
        <v>222</v>
      </c>
      <c r="O5" s="5" t="s">
        <v>303</v>
      </c>
      <c r="P5" s="3" t="s">
        <v>174</v>
      </c>
      <c r="Q5" s="5" t="s">
        <v>34</v>
      </c>
      <c r="R5" s="4">
        <f t="shared" si="1"/>
        <v>359860.9</v>
      </c>
      <c r="S5" s="9">
        <v>359860.9</v>
      </c>
      <c r="T5" s="9">
        <v>0</v>
      </c>
      <c r="U5" s="4">
        <f t="shared" si="2"/>
        <v>55037.54</v>
      </c>
      <c r="V5" s="54">
        <v>55037.54</v>
      </c>
      <c r="W5" s="54">
        <v>0</v>
      </c>
      <c r="X5" s="4">
        <f>Y5+Z5</f>
        <v>8467.32</v>
      </c>
      <c r="Y5" s="9">
        <v>8467.32</v>
      </c>
      <c r="Z5" s="9">
        <v>0</v>
      </c>
      <c r="AA5" s="9">
        <f t="shared" ref="AA5:AA11" si="5">AB5+AC5</f>
        <v>0</v>
      </c>
      <c r="AB5" s="9">
        <v>0</v>
      </c>
      <c r="AC5" s="9">
        <v>0</v>
      </c>
      <c r="AD5" s="45">
        <f t="shared" ref="AD5:AD68" si="6">R5+U5+X5+AA5</f>
        <v>423365.76</v>
      </c>
      <c r="AE5" s="9">
        <v>0</v>
      </c>
      <c r="AF5" s="9">
        <f t="shared" si="4"/>
        <v>423365.76</v>
      </c>
      <c r="AG5" s="50" t="s">
        <v>966</v>
      </c>
      <c r="AH5" s="14" t="s">
        <v>296</v>
      </c>
      <c r="AI5" s="1">
        <v>267801.62000000005</v>
      </c>
      <c r="AJ5" s="1">
        <v>40957.890000000007</v>
      </c>
    </row>
    <row r="6" spans="1:37 16382:16382" ht="220.5" x14ac:dyDescent="0.25">
      <c r="A6" s="5">
        <f t="shared" ref="A6:A69" si="7">A5+1</f>
        <v>3</v>
      </c>
      <c r="B6" s="16">
        <v>119560</v>
      </c>
      <c r="C6" s="5">
        <v>471</v>
      </c>
      <c r="D6" s="41" t="s">
        <v>1981</v>
      </c>
      <c r="E6" s="18" t="s">
        <v>474</v>
      </c>
      <c r="F6" s="8" t="s">
        <v>537</v>
      </c>
      <c r="G6" s="5" t="s">
        <v>536</v>
      </c>
      <c r="H6" s="5" t="s">
        <v>284</v>
      </c>
      <c r="I6" s="8" t="s">
        <v>538</v>
      </c>
      <c r="J6" s="2">
        <v>43265</v>
      </c>
      <c r="K6" s="2">
        <v>43752</v>
      </c>
      <c r="L6" s="17">
        <f t="shared" si="0"/>
        <v>84.216178284166972</v>
      </c>
      <c r="M6" s="5">
        <v>7</v>
      </c>
      <c r="N6" s="5" t="s">
        <v>222</v>
      </c>
      <c r="O6" s="5" t="s">
        <v>539</v>
      </c>
      <c r="P6" s="3" t="s">
        <v>174</v>
      </c>
      <c r="Q6" s="5" t="s">
        <v>34</v>
      </c>
      <c r="R6" s="4">
        <f t="shared" si="1"/>
        <v>336316.07</v>
      </c>
      <c r="S6" s="9">
        <v>336316.07</v>
      </c>
      <c r="T6" s="9">
        <v>0</v>
      </c>
      <c r="U6" s="4">
        <f t="shared" si="2"/>
        <v>55045.45</v>
      </c>
      <c r="V6" s="54">
        <v>55045.45</v>
      </c>
      <c r="W6" s="54">
        <v>0</v>
      </c>
      <c r="X6" s="4">
        <f t="shared" ref="X6:X76" si="8">Y6+Z6</f>
        <v>7987.01</v>
      </c>
      <c r="Y6" s="9">
        <v>7987.01</v>
      </c>
      <c r="Z6" s="9">
        <v>0</v>
      </c>
      <c r="AA6" s="9">
        <f t="shared" si="5"/>
        <v>0</v>
      </c>
      <c r="AB6" s="9">
        <v>0</v>
      </c>
      <c r="AC6" s="9">
        <v>0</v>
      </c>
      <c r="AD6" s="45">
        <f t="shared" si="6"/>
        <v>399348.53</v>
      </c>
      <c r="AE6" s="9">
        <v>0</v>
      </c>
      <c r="AF6" s="9">
        <f t="shared" si="4"/>
        <v>399348.53</v>
      </c>
      <c r="AG6" s="50" t="s">
        <v>966</v>
      </c>
      <c r="AH6" s="14" t="s">
        <v>296</v>
      </c>
      <c r="AI6" s="1">
        <v>271156.57999999996</v>
      </c>
      <c r="AJ6" s="1">
        <v>44248.240000000005</v>
      </c>
    </row>
    <row r="7" spans="1:37 16382:16382" ht="141.75" x14ac:dyDescent="0.25">
      <c r="A7" s="5">
        <f t="shared" si="7"/>
        <v>4</v>
      </c>
      <c r="B7" s="16">
        <v>117934</v>
      </c>
      <c r="C7" s="5">
        <v>417</v>
      </c>
      <c r="D7" s="8" t="s">
        <v>1982</v>
      </c>
      <c r="E7" s="18" t="s">
        <v>540</v>
      </c>
      <c r="F7" s="8" t="s">
        <v>1983</v>
      </c>
      <c r="G7" s="5" t="s">
        <v>536</v>
      </c>
      <c r="H7" s="6" t="s">
        <v>151</v>
      </c>
      <c r="I7" s="8" t="s">
        <v>583</v>
      </c>
      <c r="J7" s="2">
        <v>43278</v>
      </c>
      <c r="K7" s="2">
        <v>43765</v>
      </c>
      <c r="L7" s="17">
        <f t="shared" si="0"/>
        <v>84.999998780098935</v>
      </c>
      <c r="M7" s="5">
        <v>7</v>
      </c>
      <c r="N7" s="5" t="s">
        <v>222</v>
      </c>
      <c r="O7" s="5" t="s">
        <v>539</v>
      </c>
      <c r="P7" s="3" t="s">
        <v>174</v>
      </c>
      <c r="Q7" s="5" t="s">
        <v>34</v>
      </c>
      <c r="R7" s="4">
        <f>S7+T7</f>
        <v>243872.23</v>
      </c>
      <c r="S7" s="9">
        <v>243872.23</v>
      </c>
      <c r="T7" s="9">
        <v>0</v>
      </c>
      <c r="U7" s="4">
        <f t="shared" si="2"/>
        <v>37298.080000000002</v>
      </c>
      <c r="V7" s="54">
        <v>37298.080000000002</v>
      </c>
      <c r="W7" s="54">
        <v>0</v>
      </c>
      <c r="X7" s="4">
        <f t="shared" si="8"/>
        <v>5738.2</v>
      </c>
      <c r="Y7" s="9">
        <v>5738.2</v>
      </c>
      <c r="Z7" s="9">
        <v>0</v>
      </c>
      <c r="AA7" s="9">
        <f t="shared" si="5"/>
        <v>0</v>
      </c>
      <c r="AB7" s="55">
        <v>0</v>
      </c>
      <c r="AC7" s="55">
        <v>0</v>
      </c>
      <c r="AD7" s="45">
        <f t="shared" si="6"/>
        <v>286908.51</v>
      </c>
      <c r="AE7" s="9">
        <v>0</v>
      </c>
      <c r="AF7" s="9">
        <f t="shared" si="4"/>
        <v>286908.51</v>
      </c>
      <c r="AG7" s="50" t="s">
        <v>966</v>
      </c>
      <c r="AH7" s="12"/>
      <c r="AI7" s="1">
        <v>223752.58</v>
      </c>
      <c r="AJ7" s="1">
        <v>34220.97</v>
      </c>
    </row>
    <row r="8" spans="1:37 16382:16382" ht="230.25" customHeight="1" x14ac:dyDescent="0.25">
      <c r="A8" s="5">
        <f t="shared" si="7"/>
        <v>5</v>
      </c>
      <c r="B8" s="16">
        <v>118740</v>
      </c>
      <c r="C8" s="5">
        <v>436</v>
      </c>
      <c r="D8" s="8" t="s">
        <v>1982</v>
      </c>
      <c r="E8" s="18" t="s">
        <v>540</v>
      </c>
      <c r="F8" s="56" t="s">
        <v>815</v>
      </c>
      <c r="G8" s="5" t="s">
        <v>214</v>
      </c>
      <c r="H8" s="6" t="s">
        <v>151</v>
      </c>
      <c r="I8" s="8" t="s">
        <v>816</v>
      </c>
      <c r="J8" s="2">
        <v>43321</v>
      </c>
      <c r="K8" s="2">
        <v>43808</v>
      </c>
      <c r="L8" s="17">
        <f t="shared" si="0"/>
        <v>85.000000362805537</v>
      </c>
      <c r="M8" s="5">
        <v>7</v>
      </c>
      <c r="N8" s="5" t="s">
        <v>222</v>
      </c>
      <c r="O8" s="5" t="s">
        <v>217</v>
      </c>
      <c r="P8" s="3" t="s">
        <v>174</v>
      </c>
      <c r="Q8" s="5" t="s">
        <v>34</v>
      </c>
      <c r="R8" s="4">
        <f t="shared" ref="R8:R10" si="9">S8+T8</f>
        <v>234285.28</v>
      </c>
      <c r="S8" s="9">
        <v>234285.28</v>
      </c>
      <c r="T8" s="9">
        <v>0</v>
      </c>
      <c r="U8" s="4">
        <f t="shared" si="2"/>
        <v>35831.870000000003</v>
      </c>
      <c r="V8" s="54">
        <v>35831.870000000003</v>
      </c>
      <c r="W8" s="54"/>
      <c r="X8" s="4">
        <f t="shared" si="8"/>
        <v>5512.59</v>
      </c>
      <c r="Y8" s="9">
        <v>5512.59</v>
      </c>
      <c r="Z8" s="9">
        <v>0</v>
      </c>
      <c r="AA8" s="9">
        <f t="shared" si="5"/>
        <v>0</v>
      </c>
      <c r="AB8" s="57">
        <v>0</v>
      </c>
      <c r="AC8" s="57">
        <v>0</v>
      </c>
      <c r="AD8" s="45">
        <f t="shared" si="6"/>
        <v>275629.74000000005</v>
      </c>
      <c r="AE8" s="9"/>
      <c r="AF8" s="9">
        <f t="shared" si="4"/>
        <v>275629.74000000005</v>
      </c>
      <c r="AG8" s="50" t="s">
        <v>966</v>
      </c>
      <c r="AH8" s="12"/>
      <c r="AI8" s="1">
        <v>204891.55</v>
      </c>
      <c r="AJ8" s="1">
        <v>31336.359999999997</v>
      </c>
    </row>
    <row r="9" spans="1:37 16382:16382" ht="219.6" customHeight="1" x14ac:dyDescent="0.25">
      <c r="A9" s="5">
        <f t="shared" si="7"/>
        <v>6</v>
      </c>
      <c r="B9" s="16">
        <v>119862</v>
      </c>
      <c r="C9" s="5">
        <v>483</v>
      </c>
      <c r="D9" s="41" t="s">
        <v>1981</v>
      </c>
      <c r="E9" s="5" t="s">
        <v>474</v>
      </c>
      <c r="F9" s="56" t="s">
        <v>838</v>
      </c>
      <c r="G9" s="5" t="s">
        <v>839</v>
      </c>
      <c r="H9" s="6" t="s">
        <v>151</v>
      </c>
      <c r="I9" s="8" t="s">
        <v>840</v>
      </c>
      <c r="J9" s="2">
        <v>43325</v>
      </c>
      <c r="K9" s="2">
        <v>43629</v>
      </c>
      <c r="L9" s="17">
        <f t="shared" si="0"/>
        <v>84.999998288155666</v>
      </c>
      <c r="M9" s="5">
        <v>7</v>
      </c>
      <c r="N9" s="5" t="s">
        <v>841</v>
      </c>
      <c r="O9" s="5" t="s">
        <v>842</v>
      </c>
      <c r="P9" s="3" t="s">
        <v>174</v>
      </c>
      <c r="Q9" s="5" t="s">
        <v>34</v>
      </c>
      <c r="R9" s="4">
        <f t="shared" si="9"/>
        <v>223443.21</v>
      </c>
      <c r="S9" s="9">
        <v>223443.21</v>
      </c>
      <c r="T9" s="9">
        <v>0</v>
      </c>
      <c r="U9" s="4">
        <f t="shared" si="2"/>
        <v>34173.67</v>
      </c>
      <c r="V9" s="54">
        <v>34173.67</v>
      </c>
      <c r="W9" s="54">
        <v>0</v>
      </c>
      <c r="X9" s="4">
        <f t="shared" si="8"/>
        <v>5257.4900000000007</v>
      </c>
      <c r="Y9" s="9">
        <v>5257.4900000000007</v>
      </c>
      <c r="Z9" s="9">
        <v>0</v>
      </c>
      <c r="AA9" s="9">
        <f t="shared" si="5"/>
        <v>0</v>
      </c>
      <c r="AB9" s="11">
        <v>0</v>
      </c>
      <c r="AC9" s="11">
        <v>0</v>
      </c>
      <c r="AD9" s="45">
        <f t="shared" si="6"/>
        <v>262874.37</v>
      </c>
      <c r="AE9" s="9"/>
      <c r="AF9" s="9">
        <f t="shared" si="4"/>
        <v>262874.37</v>
      </c>
      <c r="AG9" s="50" t="s">
        <v>966</v>
      </c>
      <c r="AH9" s="12"/>
      <c r="AI9" s="1">
        <v>197238.88999999998</v>
      </c>
      <c r="AJ9" s="1">
        <v>30165.95</v>
      </c>
      <c r="AK9" s="58"/>
    </row>
    <row r="10" spans="1:37 16382:16382" ht="219.6" customHeight="1" x14ac:dyDescent="0.25">
      <c r="A10" s="5">
        <f t="shared" si="7"/>
        <v>7</v>
      </c>
      <c r="B10" s="16">
        <v>126492</v>
      </c>
      <c r="C10" s="5">
        <v>568</v>
      </c>
      <c r="D10" s="41" t="s">
        <v>1981</v>
      </c>
      <c r="E10" s="5" t="s">
        <v>1018</v>
      </c>
      <c r="F10" s="56" t="s">
        <v>1089</v>
      </c>
      <c r="G10" s="5" t="s">
        <v>1851</v>
      </c>
      <c r="H10" s="59" t="s">
        <v>151</v>
      </c>
      <c r="I10" s="8" t="s">
        <v>1090</v>
      </c>
      <c r="J10" s="2">
        <v>43462</v>
      </c>
      <c r="K10" s="2">
        <v>44132</v>
      </c>
      <c r="L10" s="17">
        <f t="shared" si="0"/>
        <v>84.999999417414912</v>
      </c>
      <c r="M10" s="5">
        <v>7</v>
      </c>
      <c r="N10" s="5" t="s">
        <v>841</v>
      </c>
      <c r="O10" s="5" t="s">
        <v>303</v>
      </c>
      <c r="P10" s="3" t="s">
        <v>174</v>
      </c>
      <c r="Q10" s="5" t="s">
        <v>34</v>
      </c>
      <c r="R10" s="4">
        <f t="shared" si="9"/>
        <v>948359.35</v>
      </c>
      <c r="S10" s="9">
        <v>948359.35</v>
      </c>
      <c r="T10" s="9">
        <v>0</v>
      </c>
      <c r="U10" s="4">
        <f t="shared" si="2"/>
        <v>145043.20000000001</v>
      </c>
      <c r="V10" s="54">
        <v>145043.20000000001</v>
      </c>
      <c r="W10" s="54">
        <v>0</v>
      </c>
      <c r="X10" s="4">
        <f t="shared" si="8"/>
        <v>22314.34</v>
      </c>
      <c r="Y10" s="9">
        <v>22314.34</v>
      </c>
      <c r="Z10" s="9">
        <v>0</v>
      </c>
      <c r="AA10" s="9">
        <f t="shared" si="5"/>
        <v>0</v>
      </c>
      <c r="AB10" s="11">
        <v>0</v>
      </c>
      <c r="AC10" s="11">
        <v>0</v>
      </c>
      <c r="AD10" s="45">
        <f t="shared" si="6"/>
        <v>1115716.8900000001</v>
      </c>
      <c r="AE10" s="9"/>
      <c r="AF10" s="9">
        <f t="shared" si="4"/>
        <v>1115716.8900000001</v>
      </c>
      <c r="AG10" s="60" t="s">
        <v>966</v>
      </c>
      <c r="AH10" s="12" t="s">
        <v>1915</v>
      </c>
      <c r="AI10" s="1">
        <f>596988.87+37314.15+135631.95+85902.49</f>
        <v>855837.46</v>
      </c>
      <c r="AJ10" s="1">
        <f>91304.18+5706.87+20743.71+13138.03</f>
        <v>130892.78999999998</v>
      </c>
    </row>
    <row r="11" spans="1:37 16382:16382" ht="294.75" customHeight="1" x14ac:dyDescent="0.25">
      <c r="A11" s="5">
        <f t="shared" si="7"/>
        <v>8</v>
      </c>
      <c r="B11" s="16">
        <v>126520</v>
      </c>
      <c r="C11" s="5">
        <v>550</v>
      </c>
      <c r="D11" s="41" t="s">
        <v>1981</v>
      </c>
      <c r="E11" s="5" t="s">
        <v>1018</v>
      </c>
      <c r="F11" s="56" t="s">
        <v>1119</v>
      </c>
      <c r="G11" s="5" t="s">
        <v>839</v>
      </c>
      <c r="H11" s="6" t="s">
        <v>151</v>
      </c>
      <c r="I11" s="61" t="s">
        <v>1120</v>
      </c>
      <c r="J11" s="2">
        <v>43504</v>
      </c>
      <c r="K11" s="2">
        <v>44294</v>
      </c>
      <c r="L11" s="17">
        <f t="shared" si="0"/>
        <v>84.999999104679475</v>
      </c>
      <c r="M11" s="5">
        <v>7</v>
      </c>
      <c r="N11" s="5" t="s">
        <v>841</v>
      </c>
      <c r="O11" s="5" t="s">
        <v>303</v>
      </c>
      <c r="P11" s="3" t="s">
        <v>174</v>
      </c>
      <c r="Q11" s="5" t="s">
        <v>34</v>
      </c>
      <c r="R11" s="4">
        <f t="shared" ref="R11:R14" si="10">S11+T11</f>
        <v>2231044.54</v>
      </c>
      <c r="S11" s="9">
        <v>2231044.54</v>
      </c>
      <c r="T11" s="9">
        <v>0</v>
      </c>
      <c r="U11" s="4">
        <f t="shared" si="2"/>
        <v>341218.6</v>
      </c>
      <c r="V11" s="54">
        <v>341218.6</v>
      </c>
      <c r="W11" s="54">
        <v>0</v>
      </c>
      <c r="X11" s="4">
        <f t="shared" si="8"/>
        <v>52495.17</v>
      </c>
      <c r="Y11" s="9">
        <v>52495.17</v>
      </c>
      <c r="Z11" s="9">
        <v>0</v>
      </c>
      <c r="AA11" s="9">
        <f t="shared" si="5"/>
        <v>0</v>
      </c>
      <c r="AB11" s="11">
        <v>0</v>
      </c>
      <c r="AC11" s="11">
        <v>0</v>
      </c>
      <c r="AD11" s="45">
        <f t="shared" si="6"/>
        <v>2624758.31</v>
      </c>
      <c r="AE11" s="9"/>
      <c r="AF11" s="9">
        <f t="shared" si="4"/>
        <v>2624758.31</v>
      </c>
      <c r="AG11" s="60" t="s">
        <v>966</v>
      </c>
      <c r="AH11" s="12" t="s">
        <v>1291</v>
      </c>
      <c r="AI11" s="1">
        <f>1036154.83+266876.43+120061.79+31991.73+36553.52</f>
        <v>1491638.3</v>
      </c>
      <c r="AJ11" s="1">
        <f>158470.74+40816.4+18362.4+4892.85+5590.54</f>
        <v>228132.93</v>
      </c>
    </row>
    <row r="12" spans="1:37 16382:16382" ht="294.75" customHeight="1" x14ac:dyDescent="0.25">
      <c r="A12" s="5">
        <f t="shared" si="7"/>
        <v>9</v>
      </c>
      <c r="B12" s="16">
        <v>126539</v>
      </c>
      <c r="C12" s="5">
        <v>574</v>
      </c>
      <c r="D12" s="41" t="s">
        <v>1981</v>
      </c>
      <c r="E12" s="5" t="s">
        <v>1018</v>
      </c>
      <c r="F12" s="56" t="s">
        <v>1175</v>
      </c>
      <c r="G12" s="5" t="s">
        <v>214</v>
      </c>
      <c r="H12" s="6" t="s">
        <v>151</v>
      </c>
      <c r="I12" s="61" t="s">
        <v>1176</v>
      </c>
      <c r="J12" s="2">
        <v>43552</v>
      </c>
      <c r="K12" s="2">
        <v>44467</v>
      </c>
      <c r="L12" s="17">
        <f t="shared" si="0"/>
        <v>85.000000056453686</v>
      </c>
      <c r="M12" s="5">
        <v>7</v>
      </c>
      <c r="N12" s="5" t="s">
        <v>222</v>
      </c>
      <c r="O12" s="5" t="s">
        <v>217</v>
      </c>
      <c r="P12" s="3" t="s">
        <v>174</v>
      </c>
      <c r="Q12" s="5" t="s">
        <v>34</v>
      </c>
      <c r="R12" s="4">
        <f t="shared" si="10"/>
        <v>3011318.02</v>
      </c>
      <c r="S12" s="9">
        <v>3011318.02</v>
      </c>
      <c r="T12" s="9">
        <v>0</v>
      </c>
      <c r="U12" s="4">
        <f t="shared" si="2"/>
        <v>460554.52</v>
      </c>
      <c r="V12" s="54">
        <v>460554.52</v>
      </c>
      <c r="W12" s="54">
        <v>0</v>
      </c>
      <c r="X12" s="4">
        <f t="shared" si="8"/>
        <v>70854.539999999994</v>
      </c>
      <c r="Y12" s="9">
        <v>70854.539999999994</v>
      </c>
      <c r="Z12" s="9">
        <v>0</v>
      </c>
      <c r="AA12" s="9">
        <f>AB12+AC12</f>
        <v>0</v>
      </c>
      <c r="AB12" s="11">
        <v>0</v>
      </c>
      <c r="AC12" s="11">
        <v>0</v>
      </c>
      <c r="AD12" s="45">
        <f t="shared" si="6"/>
        <v>3542727.08</v>
      </c>
      <c r="AE12" s="9">
        <v>65688</v>
      </c>
      <c r="AF12" s="9">
        <f t="shared" si="4"/>
        <v>3608415.08</v>
      </c>
      <c r="AG12" s="60" t="s">
        <v>515</v>
      </c>
      <c r="AH12" s="12" t="s">
        <v>151</v>
      </c>
      <c r="AI12" s="1">
        <f>254185.09+31457.65+24031.2+22651.14+23082.6+834624.57</f>
        <v>1190032.25</v>
      </c>
      <c r="AJ12" s="1">
        <f>38875.36+4811.17+3675.36+3464.29+3530.28+127648.46</f>
        <v>182004.92</v>
      </c>
    </row>
    <row r="13" spans="1:37 16382:16382" ht="267.75" x14ac:dyDescent="0.25">
      <c r="A13" s="5">
        <f t="shared" si="7"/>
        <v>10</v>
      </c>
      <c r="B13" s="16">
        <v>126063</v>
      </c>
      <c r="C13" s="5">
        <v>512</v>
      </c>
      <c r="D13" s="41" t="s">
        <v>1981</v>
      </c>
      <c r="E13" s="5" t="s">
        <v>1018</v>
      </c>
      <c r="F13" s="56" t="s">
        <v>1184</v>
      </c>
      <c r="G13" s="5" t="s">
        <v>536</v>
      </c>
      <c r="H13" s="5" t="s">
        <v>698</v>
      </c>
      <c r="I13" s="61" t="s">
        <v>1185</v>
      </c>
      <c r="J13" s="2">
        <v>43552</v>
      </c>
      <c r="K13" s="2">
        <v>44558</v>
      </c>
      <c r="L13" s="17">
        <f t="shared" si="0"/>
        <v>84.472368663066973</v>
      </c>
      <c r="M13" s="5">
        <v>7</v>
      </c>
      <c r="N13" s="5" t="s">
        <v>222</v>
      </c>
      <c r="O13" s="5" t="s">
        <v>539</v>
      </c>
      <c r="P13" s="3" t="s">
        <v>174</v>
      </c>
      <c r="Q13" s="5" t="s">
        <v>34</v>
      </c>
      <c r="R13" s="4">
        <f t="shared" si="10"/>
        <v>2848568.9800000004</v>
      </c>
      <c r="S13" s="9">
        <v>2848568.9800000004</v>
      </c>
      <c r="T13" s="9">
        <v>0</v>
      </c>
      <c r="U13" s="4">
        <f t="shared" si="2"/>
        <v>456177.46000000008</v>
      </c>
      <c r="V13" s="54">
        <v>456177.46000000008</v>
      </c>
      <c r="W13" s="54">
        <v>0</v>
      </c>
      <c r="X13" s="4">
        <f t="shared" si="8"/>
        <v>46511.14</v>
      </c>
      <c r="Y13" s="9">
        <v>46511.14</v>
      </c>
      <c r="Z13" s="9">
        <v>0</v>
      </c>
      <c r="AA13" s="9">
        <f t="shared" ref="AA13:AA14" si="11">AB13+AC13</f>
        <v>20932.669999999998</v>
      </c>
      <c r="AB13" s="11">
        <v>20932.669999999998</v>
      </c>
      <c r="AC13" s="11">
        <v>0</v>
      </c>
      <c r="AD13" s="45">
        <f t="shared" si="6"/>
        <v>3372190.2500000005</v>
      </c>
      <c r="AE13" s="9">
        <v>0</v>
      </c>
      <c r="AF13" s="9">
        <f t="shared" si="4"/>
        <v>3372190.2500000005</v>
      </c>
      <c r="AG13" s="60" t="s">
        <v>515</v>
      </c>
      <c r="AH13" s="60" t="s">
        <v>2205</v>
      </c>
      <c r="AI13" s="1">
        <f>746401.81-6086.31+287473.55+59837.21+61023.45+435280.65+86771.92-15305.18+74534.23</f>
        <v>1729931.3299999998</v>
      </c>
      <c r="AJ13" s="1">
        <f>86363.65+15926.41+11939.57+10559.52+29480.6+48234.8+15312.68+15305.18+11863.7</f>
        <v>244986.11</v>
      </c>
    </row>
    <row r="14" spans="1:37 16382:16382" ht="141.75" x14ac:dyDescent="0.25">
      <c r="A14" s="5">
        <f t="shared" si="7"/>
        <v>11</v>
      </c>
      <c r="B14" s="16">
        <v>128599</v>
      </c>
      <c r="C14" s="5">
        <v>637</v>
      </c>
      <c r="D14" s="41" t="s">
        <v>1981</v>
      </c>
      <c r="E14" s="5" t="s">
        <v>1246</v>
      </c>
      <c r="F14" s="56" t="s">
        <v>1294</v>
      </c>
      <c r="G14" s="5" t="s">
        <v>1851</v>
      </c>
      <c r="H14" s="35" t="s">
        <v>151</v>
      </c>
      <c r="I14" s="61" t="s">
        <v>1295</v>
      </c>
      <c r="J14" s="2">
        <v>43634</v>
      </c>
      <c r="K14" s="2">
        <v>44579</v>
      </c>
      <c r="L14" s="17">
        <f t="shared" si="0"/>
        <v>85</v>
      </c>
      <c r="M14" s="5">
        <v>7</v>
      </c>
      <c r="N14" s="5" t="s">
        <v>841</v>
      </c>
      <c r="O14" s="5" t="s">
        <v>303</v>
      </c>
      <c r="P14" s="3" t="s">
        <v>174</v>
      </c>
      <c r="Q14" s="5" t="s">
        <v>34</v>
      </c>
      <c r="R14" s="4">
        <f t="shared" si="10"/>
        <v>848667.88</v>
      </c>
      <c r="S14" s="9">
        <v>848667.88</v>
      </c>
      <c r="T14" s="9">
        <v>0</v>
      </c>
      <c r="U14" s="4">
        <f t="shared" si="2"/>
        <v>129796.26</v>
      </c>
      <c r="V14" s="54">
        <v>129796.26</v>
      </c>
      <c r="W14" s="54">
        <v>0</v>
      </c>
      <c r="X14" s="4">
        <f t="shared" si="8"/>
        <v>19968.66</v>
      </c>
      <c r="Y14" s="9">
        <v>19968.66</v>
      </c>
      <c r="Z14" s="9">
        <v>0</v>
      </c>
      <c r="AA14" s="9">
        <f t="shared" si="11"/>
        <v>0</v>
      </c>
      <c r="AB14" s="11">
        <v>0</v>
      </c>
      <c r="AC14" s="11">
        <v>0</v>
      </c>
      <c r="AD14" s="45">
        <f t="shared" si="6"/>
        <v>998432.8</v>
      </c>
      <c r="AE14" s="9">
        <v>0</v>
      </c>
      <c r="AF14" s="9">
        <f t="shared" si="4"/>
        <v>998432.8</v>
      </c>
      <c r="AG14" s="60" t="s">
        <v>515</v>
      </c>
      <c r="AH14" s="60" t="s">
        <v>2114</v>
      </c>
      <c r="AI14" s="1">
        <f>81051.49+105245.93+35474.75+122545.35+82881.8+82103.2</f>
        <v>509302.52</v>
      </c>
      <c r="AJ14" s="1">
        <f>8948.51+19544.04+5425.55+18742.23+12676.04+12556.96</f>
        <v>77893.33</v>
      </c>
    </row>
    <row r="15" spans="1:37 16382:16382" ht="180" x14ac:dyDescent="0.25">
      <c r="A15" s="5">
        <f t="shared" si="7"/>
        <v>12</v>
      </c>
      <c r="B15" s="62">
        <v>135372</v>
      </c>
      <c r="C15" s="63">
        <v>802</v>
      </c>
      <c r="D15" s="41" t="s">
        <v>1981</v>
      </c>
      <c r="E15" s="18" t="s">
        <v>1700</v>
      </c>
      <c r="F15" s="56" t="s">
        <v>1701</v>
      </c>
      <c r="G15" s="5" t="s">
        <v>839</v>
      </c>
      <c r="H15" s="5" t="s">
        <v>151</v>
      </c>
      <c r="I15" s="42" t="s">
        <v>1702</v>
      </c>
      <c r="J15" s="64">
        <v>43949</v>
      </c>
      <c r="K15" s="64">
        <v>44862</v>
      </c>
      <c r="L15" s="65">
        <f t="shared" si="0"/>
        <v>85.000000179076224</v>
      </c>
      <c r="M15" s="63">
        <v>7</v>
      </c>
      <c r="N15" s="63" t="s">
        <v>841</v>
      </c>
      <c r="O15" s="63" t="s">
        <v>839</v>
      </c>
      <c r="P15" s="66" t="s">
        <v>174</v>
      </c>
      <c r="Q15" s="63" t="s">
        <v>34</v>
      </c>
      <c r="R15" s="67">
        <f>S15+T15</f>
        <v>2847949.35</v>
      </c>
      <c r="S15" s="67">
        <v>2847949.35</v>
      </c>
      <c r="T15" s="67">
        <v>0</v>
      </c>
      <c r="U15" s="68">
        <f t="shared" si="2"/>
        <v>435568.72</v>
      </c>
      <c r="V15" s="69">
        <v>435568.72</v>
      </c>
      <c r="W15" s="69">
        <v>0</v>
      </c>
      <c r="X15" s="68">
        <f t="shared" si="8"/>
        <v>67010.570000000007</v>
      </c>
      <c r="Y15" s="67">
        <v>67010.570000000007</v>
      </c>
      <c r="Z15" s="67">
        <v>0</v>
      </c>
      <c r="AA15" s="67">
        <f>AB15+AC15</f>
        <v>0</v>
      </c>
      <c r="AB15" s="67">
        <v>0</v>
      </c>
      <c r="AC15" s="67">
        <v>0</v>
      </c>
      <c r="AD15" s="45">
        <f t="shared" si="6"/>
        <v>3350528.64</v>
      </c>
      <c r="AE15" s="67">
        <v>76569.36</v>
      </c>
      <c r="AF15" s="67">
        <f t="shared" si="4"/>
        <v>3427098</v>
      </c>
      <c r="AG15" s="60" t="s">
        <v>515</v>
      </c>
      <c r="AH15" s="12"/>
      <c r="AI15" s="1">
        <f>17501.5+29868.15+334717.81-23634.13+656644.35</f>
        <v>1015097.6799999999</v>
      </c>
      <c r="AJ15" s="1">
        <f>2676.7+4568.07+23634.13+124371.34</f>
        <v>155250.23999999999</v>
      </c>
    </row>
    <row r="16" spans="1:37 16382:16382" ht="252" x14ac:dyDescent="0.25">
      <c r="A16" s="5">
        <f t="shared" si="7"/>
        <v>13</v>
      </c>
      <c r="B16" s="62">
        <v>136003</v>
      </c>
      <c r="C16" s="63">
        <v>773</v>
      </c>
      <c r="D16" s="41" t="s">
        <v>1981</v>
      </c>
      <c r="E16" s="18" t="s">
        <v>1700</v>
      </c>
      <c r="F16" s="56" t="s">
        <v>1842</v>
      </c>
      <c r="G16" s="5" t="s">
        <v>536</v>
      </c>
      <c r="H16" s="5" t="s">
        <v>151</v>
      </c>
      <c r="I16" s="42" t="s">
        <v>1843</v>
      </c>
      <c r="J16" s="64">
        <v>44001</v>
      </c>
      <c r="K16" s="64">
        <v>44549</v>
      </c>
      <c r="L16" s="65">
        <f t="shared" si="0"/>
        <v>84.999999794981022</v>
      </c>
      <c r="M16" s="63">
        <v>7</v>
      </c>
      <c r="N16" s="63" t="s">
        <v>841</v>
      </c>
      <c r="O16" s="63" t="s">
        <v>536</v>
      </c>
      <c r="P16" s="66" t="s">
        <v>174</v>
      </c>
      <c r="Q16" s="63" t="s">
        <v>34</v>
      </c>
      <c r="R16" s="67">
        <f>S16+T16</f>
        <v>2280276.66</v>
      </c>
      <c r="S16" s="67">
        <v>2280276.66</v>
      </c>
      <c r="T16" s="67">
        <v>0</v>
      </c>
      <c r="U16" s="68">
        <f t="shared" si="2"/>
        <v>348748.2</v>
      </c>
      <c r="V16" s="69">
        <v>348748.2</v>
      </c>
      <c r="W16" s="69">
        <v>0</v>
      </c>
      <c r="X16" s="68">
        <f t="shared" si="8"/>
        <v>53653.57</v>
      </c>
      <c r="Y16" s="67">
        <v>53653.57</v>
      </c>
      <c r="Z16" s="67">
        <v>0</v>
      </c>
      <c r="AA16" s="67">
        <f>AB16+AC16</f>
        <v>0</v>
      </c>
      <c r="AB16" s="67">
        <v>0</v>
      </c>
      <c r="AC16" s="67">
        <v>0</v>
      </c>
      <c r="AD16" s="45">
        <f t="shared" si="6"/>
        <v>2682678.4300000002</v>
      </c>
      <c r="AE16" s="67">
        <v>0</v>
      </c>
      <c r="AF16" s="67">
        <f t="shared" si="4"/>
        <v>2682678.4300000002</v>
      </c>
      <c r="AG16" s="60" t="s">
        <v>515</v>
      </c>
      <c r="AH16" s="12"/>
      <c r="AI16" s="1">
        <f>138492.45+0+43604.62</f>
        <v>182097.07</v>
      </c>
      <c r="AJ16" s="1">
        <f>21181.2+0+6668.94</f>
        <v>27850.14</v>
      </c>
    </row>
    <row r="17" spans="1:36" ht="180" x14ac:dyDescent="0.25">
      <c r="A17" s="5">
        <f t="shared" si="7"/>
        <v>14</v>
      </c>
      <c r="B17" s="62">
        <v>136237</v>
      </c>
      <c r="C17" s="63">
        <v>810</v>
      </c>
      <c r="D17" s="41" t="s">
        <v>1981</v>
      </c>
      <c r="E17" s="18" t="s">
        <v>1700</v>
      </c>
      <c r="F17" s="56" t="s">
        <v>1850</v>
      </c>
      <c r="G17" s="5" t="s">
        <v>1851</v>
      </c>
      <c r="H17" s="35" t="s">
        <v>151</v>
      </c>
      <c r="I17" s="42" t="s">
        <v>1852</v>
      </c>
      <c r="J17" s="64">
        <v>43998</v>
      </c>
      <c r="K17" s="64">
        <v>44546</v>
      </c>
      <c r="L17" s="65">
        <f t="shared" si="0"/>
        <v>84.999999919211149</v>
      </c>
      <c r="M17" s="63">
        <v>7</v>
      </c>
      <c r="N17" s="63" t="s">
        <v>841</v>
      </c>
      <c r="O17" s="63" t="s">
        <v>1851</v>
      </c>
      <c r="P17" s="66" t="s">
        <v>174</v>
      </c>
      <c r="Q17" s="63" t="s">
        <v>34</v>
      </c>
      <c r="R17" s="67">
        <f>S17+T17</f>
        <v>1052125.29</v>
      </c>
      <c r="S17" s="67">
        <v>1052125.29</v>
      </c>
      <c r="T17" s="67">
        <v>0</v>
      </c>
      <c r="U17" s="68">
        <f t="shared" si="2"/>
        <v>160913.28</v>
      </c>
      <c r="V17" s="69">
        <v>160913.28</v>
      </c>
      <c r="W17" s="69">
        <v>0</v>
      </c>
      <c r="X17" s="68">
        <f t="shared" si="8"/>
        <v>24755.89</v>
      </c>
      <c r="Y17" s="67">
        <v>24755.89</v>
      </c>
      <c r="Z17" s="67">
        <v>0</v>
      </c>
      <c r="AA17" s="67">
        <f>AB17+AC17</f>
        <v>0</v>
      </c>
      <c r="AB17" s="67">
        <v>0</v>
      </c>
      <c r="AC17" s="67">
        <v>0</v>
      </c>
      <c r="AD17" s="45">
        <f t="shared" si="6"/>
        <v>1237794.46</v>
      </c>
      <c r="AE17" s="67">
        <v>0</v>
      </c>
      <c r="AF17" s="67">
        <f t="shared" si="4"/>
        <v>1237794.46</v>
      </c>
      <c r="AG17" s="60" t="s">
        <v>515</v>
      </c>
      <c r="AH17" s="12"/>
      <c r="AI17" s="1">
        <f>62006.65+123779-12443.6-3551.15+123779-12163.84</f>
        <v>281406.06</v>
      </c>
      <c r="AJ17" s="1">
        <f>9483.37+12443.6+4041.05+12163.84</f>
        <v>38131.86</v>
      </c>
    </row>
    <row r="18" spans="1:36" ht="180" x14ac:dyDescent="0.25">
      <c r="A18" s="5">
        <f t="shared" si="7"/>
        <v>15</v>
      </c>
      <c r="B18" s="62">
        <v>136017</v>
      </c>
      <c r="C18" s="63">
        <v>855</v>
      </c>
      <c r="D18" s="41" t="s">
        <v>1981</v>
      </c>
      <c r="E18" s="18" t="s">
        <v>1700</v>
      </c>
      <c r="F18" s="56" t="s">
        <v>1896</v>
      </c>
      <c r="G18" s="5" t="s">
        <v>214</v>
      </c>
      <c r="H18" s="5" t="s">
        <v>151</v>
      </c>
      <c r="I18" s="42" t="s">
        <v>1897</v>
      </c>
      <c r="J18" s="64">
        <v>44021</v>
      </c>
      <c r="K18" s="64">
        <v>44935</v>
      </c>
      <c r="L18" s="65">
        <f t="shared" si="0"/>
        <v>85.000000121607897</v>
      </c>
      <c r="M18" s="63">
        <v>7</v>
      </c>
      <c r="N18" s="63" t="s">
        <v>841</v>
      </c>
      <c r="O18" s="63" t="s">
        <v>217</v>
      </c>
      <c r="P18" s="66" t="s">
        <v>174</v>
      </c>
      <c r="Q18" s="63" t="s">
        <v>34</v>
      </c>
      <c r="R18" s="67">
        <f>S18+T18</f>
        <v>2096903.27</v>
      </c>
      <c r="S18" s="67">
        <v>2096903.27</v>
      </c>
      <c r="T18" s="67">
        <v>0</v>
      </c>
      <c r="U18" s="68">
        <f t="shared" si="2"/>
        <v>320702.84999999998</v>
      </c>
      <c r="V18" s="69">
        <v>320702.84999999998</v>
      </c>
      <c r="W18" s="69">
        <v>0</v>
      </c>
      <c r="X18" s="68">
        <f t="shared" si="8"/>
        <v>49338.9</v>
      </c>
      <c r="Y18" s="67">
        <v>49338.9</v>
      </c>
      <c r="Z18" s="67">
        <v>0</v>
      </c>
      <c r="AA18" s="67">
        <f>AB18+AC18</f>
        <v>0</v>
      </c>
      <c r="AB18" s="67">
        <v>0</v>
      </c>
      <c r="AC18" s="67">
        <v>0</v>
      </c>
      <c r="AD18" s="45">
        <f t="shared" si="6"/>
        <v>2466945.02</v>
      </c>
      <c r="AE18" s="67">
        <v>0</v>
      </c>
      <c r="AF18" s="67">
        <f t="shared" si="4"/>
        <v>2466945.02</v>
      </c>
      <c r="AG18" s="60" t="s">
        <v>515</v>
      </c>
      <c r="AH18" s="12"/>
      <c r="AI18" s="1">
        <f>23885+52537.57+46083.6</f>
        <v>122506.17000000001</v>
      </c>
      <c r="AJ18" s="1">
        <f>3653+8035.15+7048.08</f>
        <v>18736.23</v>
      </c>
    </row>
    <row r="19" spans="1:36" ht="141.75" x14ac:dyDescent="0.25">
      <c r="A19" s="5">
        <f t="shared" si="7"/>
        <v>16</v>
      </c>
      <c r="B19" s="16">
        <v>120637</v>
      </c>
      <c r="C19" s="5">
        <v>86</v>
      </c>
      <c r="D19" s="41" t="s">
        <v>1981</v>
      </c>
      <c r="E19" s="18" t="s">
        <v>278</v>
      </c>
      <c r="F19" s="8" t="s">
        <v>229</v>
      </c>
      <c r="G19" s="5" t="s">
        <v>230</v>
      </c>
      <c r="H19" s="5" t="s">
        <v>151</v>
      </c>
      <c r="I19" s="42" t="s">
        <v>1146</v>
      </c>
      <c r="J19" s="2">
        <v>43145</v>
      </c>
      <c r="K19" s="2">
        <v>43510</v>
      </c>
      <c r="L19" s="17">
        <f t="shared" si="0"/>
        <v>85.000001183738732</v>
      </c>
      <c r="M19" s="5">
        <v>5</v>
      </c>
      <c r="N19" s="5" t="s">
        <v>231</v>
      </c>
      <c r="O19" s="5" t="s">
        <v>231</v>
      </c>
      <c r="P19" s="3" t="s">
        <v>174</v>
      </c>
      <c r="Q19" s="5" t="s">
        <v>34</v>
      </c>
      <c r="R19" s="9">
        <f t="shared" ref="R19:R21" si="12">S19+T19</f>
        <v>359031.93</v>
      </c>
      <c r="S19" s="72">
        <v>359031.93</v>
      </c>
      <c r="T19" s="9">
        <v>0</v>
      </c>
      <c r="U19" s="4">
        <f t="shared" si="2"/>
        <v>54910.76</v>
      </c>
      <c r="V19" s="54">
        <v>54910.76</v>
      </c>
      <c r="W19" s="54">
        <v>0</v>
      </c>
      <c r="X19" s="4">
        <f t="shared" si="8"/>
        <v>8447.81</v>
      </c>
      <c r="Y19" s="9">
        <v>8447.81</v>
      </c>
      <c r="Z19" s="9">
        <v>0</v>
      </c>
      <c r="AA19" s="9">
        <f>AB19+AC19</f>
        <v>0</v>
      </c>
      <c r="AB19" s="9">
        <v>0</v>
      </c>
      <c r="AC19" s="9">
        <v>0</v>
      </c>
      <c r="AD19" s="45">
        <f t="shared" si="6"/>
        <v>422390.5</v>
      </c>
      <c r="AE19" s="9">
        <v>0</v>
      </c>
      <c r="AF19" s="9">
        <f t="shared" si="4"/>
        <v>422390.5</v>
      </c>
      <c r="AG19" s="50" t="s">
        <v>966</v>
      </c>
      <c r="AH19" s="14" t="s">
        <v>151</v>
      </c>
      <c r="AI19" s="1">
        <v>282511.96000000002</v>
      </c>
      <c r="AJ19" s="1">
        <v>43207.69</v>
      </c>
    </row>
    <row r="20" spans="1:36" ht="141.75" x14ac:dyDescent="0.25">
      <c r="A20" s="5">
        <f t="shared" si="7"/>
        <v>17</v>
      </c>
      <c r="B20" s="16">
        <v>119520</v>
      </c>
      <c r="C20" s="16">
        <v>465</v>
      </c>
      <c r="D20" s="41" t="s">
        <v>1981</v>
      </c>
      <c r="E20" s="8" t="s">
        <v>474</v>
      </c>
      <c r="F20" s="8" t="s">
        <v>675</v>
      </c>
      <c r="G20" s="5" t="s">
        <v>676</v>
      </c>
      <c r="H20" s="5" t="s">
        <v>677</v>
      </c>
      <c r="I20" s="8" t="s">
        <v>678</v>
      </c>
      <c r="J20" s="2">
        <v>43292</v>
      </c>
      <c r="K20" s="2">
        <v>44176</v>
      </c>
      <c r="L20" s="17">
        <f t="shared" si="0"/>
        <v>85.000019787644845</v>
      </c>
      <c r="M20" s="6">
        <v>5</v>
      </c>
      <c r="N20" s="5" t="s">
        <v>231</v>
      </c>
      <c r="O20" s="5" t="s">
        <v>231</v>
      </c>
      <c r="P20" s="6" t="s">
        <v>174</v>
      </c>
      <c r="Q20" s="5" t="s">
        <v>34</v>
      </c>
      <c r="R20" s="9">
        <f t="shared" si="12"/>
        <v>231962.98</v>
      </c>
      <c r="S20" s="1">
        <v>231962.98</v>
      </c>
      <c r="T20" s="73">
        <v>0</v>
      </c>
      <c r="U20" s="4">
        <f t="shared" si="2"/>
        <v>35476.620000000003</v>
      </c>
      <c r="V20" s="74">
        <v>35476.620000000003</v>
      </c>
      <c r="W20" s="74">
        <v>0</v>
      </c>
      <c r="X20" s="4">
        <f t="shared" si="8"/>
        <v>5457.96</v>
      </c>
      <c r="Y20" s="1">
        <v>5457.96</v>
      </c>
      <c r="Z20" s="1">
        <v>0</v>
      </c>
      <c r="AA20" s="9">
        <f t="shared" ref="AA20:AA21" si="13">AB20+AC20</f>
        <v>0</v>
      </c>
      <c r="AB20" s="11">
        <v>0</v>
      </c>
      <c r="AC20" s="11">
        <v>0</v>
      </c>
      <c r="AD20" s="45">
        <f t="shared" si="6"/>
        <v>272897.56000000006</v>
      </c>
      <c r="AE20" s="12">
        <v>0</v>
      </c>
      <c r="AF20" s="9">
        <f t="shared" si="4"/>
        <v>272897.56000000006</v>
      </c>
      <c r="AG20" s="60" t="s">
        <v>966</v>
      </c>
      <c r="AH20" s="60" t="s">
        <v>1589</v>
      </c>
      <c r="AI20" s="1">
        <f>152403.68+22268.18</f>
        <v>174671.86</v>
      </c>
      <c r="AJ20" s="1">
        <f>23308.79+3405.71</f>
        <v>26714.5</v>
      </c>
    </row>
    <row r="21" spans="1:36" ht="141.75" x14ac:dyDescent="0.25">
      <c r="A21" s="5">
        <f t="shared" si="7"/>
        <v>18</v>
      </c>
      <c r="B21" s="16">
        <v>116692</v>
      </c>
      <c r="C21" s="5">
        <v>408</v>
      </c>
      <c r="D21" s="8" t="s">
        <v>1982</v>
      </c>
      <c r="E21" s="8" t="s">
        <v>540</v>
      </c>
      <c r="F21" s="8" t="s">
        <v>817</v>
      </c>
      <c r="G21" s="5" t="s">
        <v>676</v>
      </c>
      <c r="H21" s="5" t="s">
        <v>151</v>
      </c>
      <c r="I21" s="75" t="s">
        <v>818</v>
      </c>
      <c r="J21" s="2">
        <v>43321</v>
      </c>
      <c r="K21" s="2">
        <v>43899</v>
      </c>
      <c r="L21" s="17">
        <f t="shared" si="0"/>
        <v>85.000000534892237</v>
      </c>
      <c r="M21" s="5">
        <v>5</v>
      </c>
      <c r="N21" s="5" t="s">
        <v>231</v>
      </c>
      <c r="O21" s="5" t="s">
        <v>231</v>
      </c>
      <c r="P21" s="6" t="s">
        <v>174</v>
      </c>
      <c r="Q21" s="5" t="s">
        <v>34</v>
      </c>
      <c r="R21" s="9">
        <f t="shared" si="12"/>
        <v>317821.02</v>
      </c>
      <c r="S21" s="1">
        <v>317821.02</v>
      </c>
      <c r="T21" s="73">
        <v>0</v>
      </c>
      <c r="U21" s="4">
        <f t="shared" si="2"/>
        <v>48607.91</v>
      </c>
      <c r="V21" s="74">
        <v>48607.91</v>
      </c>
      <c r="W21" s="74">
        <v>0</v>
      </c>
      <c r="X21" s="4">
        <f t="shared" si="8"/>
        <v>7478.15</v>
      </c>
      <c r="Y21" s="1">
        <v>7478.15</v>
      </c>
      <c r="Z21" s="1">
        <v>0</v>
      </c>
      <c r="AA21" s="9">
        <f t="shared" si="13"/>
        <v>0</v>
      </c>
      <c r="AB21" s="11">
        <v>0</v>
      </c>
      <c r="AC21" s="11">
        <v>0</v>
      </c>
      <c r="AD21" s="45">
        <f t="shared" si="6"/>
        <v>373907.08000000007</v>
      </c>
      <c r="AE21" s="60">
        <v>0</v>
      </c>
      <c r="AF21" s="9">
        <f t="shared" si="4"/>
        <v>373907.08000000007</v>
      </c>
      <c r="AG21" s="60" t="s">
        <v>966</v>
      </c>
      <c r="AH21" s="60" t="s">
        <v>1629</v>
      </c>
      <c r="AI21" s="1">
        <v>181528.22</v>
      </c>
      <c r="AJ21" s="1">
        <v>27763.119999999999</v>
      </c>
    </row>
    <row r="22" spans="1:36" ht="267.75" x14ac:dyDescent="0.25">
      <c r="A22" s="5">
        <f t="shared" si="7"/>
        <v>19</v>
      </c>
      <c r="B22" s="16">
        <v>126495</v>
      </c>
      <c r="C22" s="5">
        <v>558</v>
      </c>
      <c r="D22" s="41" t="s">
        <v>1981</v>
      </c>
      <c r="E22" s="8" t="s">
        <v>1018</v>
      </c>
      <c r="F22" s="8" t="s">
        <v>1211</v>
      </c>
      <c r="G22" s="5" t="s">
        <v>230</v>
      </c>
      <c r="H22" s="5" t="s">
        <v>151</v>
      </c>
      <c r="I22" s="76" t="s">
        <v>1212</v>
      </c>
      <c r="J22" s="2">
        <v>43570</v>
      </c>
      <c r="K22" s="2">
        <v>44607</v>
      </c>
      <c r="L22" s="17">
        <f t="shared" si="0"/>
        <v>85</v>
      </c>
      <c r="M22" s="5">
        <v>5</v>
      </c>
      <c r="N22" s="5" t="s">
        <v>231</v>
      </c>
      <c r="O22" s="5" t="s">
        <v>231</v>
      </c>
      <c r="P22" s="6" t="s">
        <v>174</v>
      </c>
      <c r="Q22" s="5" t="s">
        <v>34</v>
      </c>
      <c r="R22" s="9">
        <f t="shared" ref="R22" si="14">S22+T22</f>
        <v>3025356.04</v>
      </c>
      <c r="S22" s="1">
        <v>3025356.04</v>
      </c>
      <c r="T22" s="73">
        <v>0</v>
      </c>
      <c r="U22" s="4">
        <f t="shared" si="2"/>
        <v>462701.51</v>
      </c>
      <c r="V22" s="74">
        <v>462701.51</v>
      </c>
      <c r="W22" s="74">
        <v>0</v>
      </c>
      <c r="X22" s="4">
        <f t="shared" si="8"/>
        <v>71184.850000000006</v>
      </c>
      <c r="Y22" s="1">
        <v>71184.850000000006</v>
      </c>
      <c r="Z22" s="1">
        <v>0</v>
      </c>
      <c r="AA22" s="9">
        <f>AB22+AC22</f>
        <v>0</v>
      </c>
      <c r="AB22" s="9">
        <v>0</v>
      </c>
      <c r="AC22" s="9">
        <v>0</v>
      </c>
      <c r="AD22" s="45">
        <f t="shared" si="6"/>
        <v>3559242.4</v>
      </c>
      <c r="AE22" s="60">
        <v>0</v>
      </c>
      <c r="AF22" s="9">
        <f t="shared" si="4"/>
        <v>3559242.4</v>
      </c>
      <c r="AG22" s="60" t="s">
        <v>515</v>
      </c>
      <c r="AH22" s="60" t="s">
        <v>1966</v>
      </c>
      <c r="AI22" s="1">
        <f>82686.68+124620.54</f>
        <v>207307.21999999997</v>
      </c>
      <c r="AJ22" s="1">
        <f>12646.21+19059.61</f>
        <v>31705.82</v>
      </c>
    </row>
    <row r="23" spans="1:36" ht="141.75" x14ac:dyDescent="0.25">
      <c r="A23" s="5">
        <f t="shared" si="7"/>
        <v>20</v>
      </c>
      <c r="B23" s="16">
        <v>129702</v>
      </c>
      <c r="C23" s="5">
        <v>676</v>
      </c>
      <c r="D23" s="41" t="s">
        <v>1981</v>
      </c>
      <c r="E23" s="8" t="s">
        <v>1246</v>
      </c>
      <c r="F23" s="8" t="s">
        <v>1497</v>
      </c>
      <c r="G23" s="5" t="s">
        <v>676</v>
      </c>
      <c r="H23" s="5" t="s">
        <v>151</v>
      </c>
      <c r="I23" s="76" t="s">
        <v>1498</v>
      </c>
      <c r="J23" s="2">
        <v>43717</v>
      </c>
      <c r="K23" s="2">
        <v>44782</v>
      </c>
      <c r="L23" s="17">
        <f t="shared" si="0"/>
        <v>85</v>
      </c>
      <c r="M23" s="5">
        <v>5</v>
      </c>
      <c r="N23" s="5" t="s">
        <v>231</v>
      </c>
      <c r="O23" s="5" t="s">
        <v>231</v>
      </c>
      <c r="P23" s="6" t="s">
        <v>174</v>
      </c>
      <c r="Q23" s="5" t="s">
        <v>34</v>
      </c>
      <c r="R23" s="9">
        <f>S23+T23</f>
        <v>396508</v>
      </c>
      <c r="S23" s="1">
        <v>396508</v>
      </c>
      <c r="T23" s="73">
        <v>0</v>
      </c>
      <c r="U23" s="4">
        <f t="shared" si="2"/>
        <v>60642.400000000001</v>
      </c>
      <c r="V23" s="74">
        <v>60642.400000000001</v>
      </c>
      <c r="W23" s="74">
        <v>0</v>
      </c>
      <c r="X23" s="4">
        <f t="shared" si="8"/>
        <v>9329.6</v>
      </c>
      <c r="Y23" s="1">
        <v>9329.6</v>
      </c>
      <c r="Z23" s="1">
        <v>0</v>
      </c>
      <c r="AA23" s="9">
        <f>AB23+AC23</f>
        <v>0</v>
      </c>
      <c r="AB23" s="11">
        <v>0</v>
      </c>
      <c r="AC23" s="11">
        <v>0</v>
      </c>
      <c r="AD23" s="45">
        <f t="shared" si="6"/>
        <v>466480</v>
      </c>
      <c r="AE23" s="60">
        <v>0</v>
      </c>
      <c r="AF23" s="9">
        <f t="shared" si="4"/>
        <v>466480</v>
      </c>
      <c r="AG23" s="60" t="s">
        <v>515</v>
      </c>
      <c r="AH23" s="60" t="s">
        <v>2217</v>
      </c>
      <c r="AI23" s="1">
        <v>1112.6500000000001</v>
      </c>
      <c r="AJ23" s="1">
        <v>170.17</v>
      </c>
    </row>
    <row r="24" spans="1:36" ht="141.75" x14ac:dyDescent="0.25">
      <c r="A24" s="5">
        <f t="shared" si="7"/>
        <v>21</v>
      </c>
      <c r="B24" s="16">
        <v>120652</v>
      </c>
      <c r="C24" s="6">
        <v>91</v>
      </c>
      <c r="D24" s="41" t="s">
        <v>1981</v>
      </c>
      <c r="E24" s="18" t="s">
        <v>278</v>
      </c>
      <c r="F24" s="8" t="s">
        <v>198</v>
      </c>
      <c r="G24" s="5" t="s">
        <v>620</v>
      </c>
      <c r="H24" s="5" t="s">
        <v>151</v>
      </c>
      <c r="I24" s="77" t="s">
        <v>203</v>
      </c>
      <c r="J24" s="2">
        <v>43145</v>
      </c>
      <c r="K24" s="2">
        <v>43510</v>
      </c>
      <c r="L24" s="17">
        <f t="shared" si="0"/>
        <v>84.999999389755786</v>
      </c>
      <c r="M24" s="5">
        <v>3</v>
      </c>
      <c r="N24" s="5" t="s">
        <v>200</v>
      </c>
      <c r="O24" s="5" t="s">
        <v>202</v>
      </c>
      <c r="P24" s="3" t="s">
        <v>174</v>
      </c>
      <c r="Q24" s="5" t="s">
        <v>34</v>
      </c>
      <c r="R24" s="9">
        <f t="shared" ref="R24" si="15">S24+T24</f>
        <v>348221.24</v>
      </c>
      <c r="S24" s="9">
        <v>348221.24</v>
      </c>
      <c r="T24" s="9">
        <v>0</v>
      </c>
      <c r="U24" s="4">
        <f t="shared" si="2"/>
        <v>53257.37</v>
      </c>
      <c r="V24" s="54">
        <v>53257.37</v>
      </c>
      <c r="W24" s="54">
        <v>0</v>
      </c>
      <c r="X24" s="4">
        <f t="shared" si="8"/>
        <v>8193.44</v>
      </c>
      <c r="Y24" s="9">
        <v>8193.44</v>
      </c>
      <c r="Z24" s="9">
        <v>0</v>
      </c>
      <c r="AA24" s="9">
        <f>AB24+AC24</f>
        <v>0</v>
      </c>
      <c r="AB24" s="9">
        <v>0</v>
      </c>
      <c r="AC24" s="9">
        <v>0</v>
      </c>
      <c r="AD24" s="45">
        <f t="shared" si="6"/>
        <v>409672.05</v>
      </c>
      <c r="AE24" s="9">
        <v>0</v>
      </c>
      <c r="AF24" s="9">
        <f t="shared" si="4"/>
        <v>409672.05</v>
      </c>
      <c r="AG24" s="50" t="s">
        <v>966</v>
      </c>
      <c r="AH24" s="14" t="s">
        <v>1010</v>
      </c>
      <c r="AI24" s="1">
        <v>334492.68000000005</v>
      </c>
      <c r="AJ24" s="1">
        <v>51157.71</v>
      </c>
    </row>
    <row r="25" spans="1:36" ht="141.75" x14ac:dyDescent="0.25">
      <c r="A25" s="5">
        <f t="shared" si="7"/>
        <v>22</v>
      </c>
      <c r="B25" s="16">
        <v>118191</v>
      </c>
      <c r="C25" s="78">
        <v>423</v>
      </c>
      <c r="D25" s="8" t="s">
        <v>1982</v>
      </c>
      <c r="E25" s="18" t="s">
        <v>540</v>
      </c>
      <c r="F25" s="8" t="s">
        <v>619</v>
      </c>
      <c r="G25" s="5" t="s">
        <v>620</v>
      </c>
      <c r="H25" s="5"/>
      <c r="I25" s="42" t="s">
        <v>621</v>
      </c>
      <c r="J25" s="2">
        <v>43284</v>
      </c>
      <c r="K25" s="2">
        <v>43649</v>
      </c>
      <c r="L25" s="17">
        <f t="shared" si="0"/>
        <v>85.000001358659858</v>
      </c>
      <c r="M25" s="5">
        <v>3</v>
      </c>
      <c r="N25" s="5" t="s">
        <v>200</v>
      </c>
      <c r="O25" s="5" t="s">
        <v>202</v>
      </c>
      <c r="P25" s="3" t="s">
        <v>174</v>
      </c>
      <c r="Q25" s="5" t="s">
        <v>34</v>
      </c>
      <c r="R25" s="79">
        <v>250246.6</v>
      </c>
      <c r="S25" s="1">
        <v>250246.6</v>
      </c>
      <c r="T25" s="9">
        <v>0</v>
      </c>
      <c r="U25" s="4">
        <f t="shared" si="2"/>
        <v>38273</v>
      </c>
      <c r="V25" s="80">
        <v>38273</v>
      </c>
      <c r="W25" s="54">
        <v>0</v>
      </c>
      <c r="X25" s="4">
        <f t="shared" si="8"/>
        <v>5888.16</v>
      </c>
      <c r="Y25" s="9">
        <v>5888.16</v>
      </c>
      <c r="Z25" s="9">
        <v>0</v>
      </c>
      <c r="AA25" s="9">
        <f t="shared" ref="AA25:AA40" si="16">AB25+AC25</f>
        <v>0</v>
      </c>
      <c r="AB25" s="9">
        <v>0</v>
      </c>
      <c r="AC25" s="9">
        <v>0</v>
      </c>
      <c r="AD25" s="45">
        <f t="shared" si="6"/>
        <v>294407.75999999995</v>
      </c>
      <c r="AE25" s="9"/>
      <c r="AF25" s="9">
        <f t="shared" si="4"/>
        <v>294407.75999999995</v>
      </c>
      <c r="AG25" s="50" t="s">
        <v>966</v>
      </c>
      <c r="AH25" s="14" t="s">
        <v>151</v>
      </c>
      <c r="AI25" s="1">
        <v>234372.19999999998</v>
      </c>
      <c r="AJ25" s="1">
        <v>35845.47</v>
      </c>
    </row>
    <row r="26" spans="1:36" ht="141.75" x14ac:dyDescent="0.25">
      <c r="A26" s="5">
        <f t="shared" si="7"/>
        <v>23</v>
      </c>
      <c r="B26" s="16">
        <v>118741</v>
      </c>
      <c r="C26" s="5">
        <v>459</v>
      </c>
      <c r="D26" s="41" t="s">
        <v>1981</v>
      </c>
      <c r="E26" s="8" t="s">
        <v>474</v>
      </c>
      <c r="F26" s="8" t="s">
        <v>647</v>
      </c>
      <c r="G26" s="5" t="s">
        <v>648</v>
      </c>
      <c r="H26" s="6" t="s">
        <v>151</v>
      </c>
      <c r="I26" s="8" t="s">
        <v>649</v>
      </c>
      <c r="J26" s="2">
        <v>43290</v>
      </c>
      <c r="K26" s="2">
        <v>43778</v>
      </c>
      <c r="L26" s="17">
        <f t="shared" si="0"/>
        <v>85.00000356420064</v>
      </c>
      <c r="M26" s="5">
        <v>3</v>
      </c>
      <c r="N26" s="2" t="s">
        <v>200</v>
      </c>
      <c r="O26" s="2" t="s">
        <v>202</v>
      </c>
      <c r="P26" s="2" t="s">
        <v>174</v>
      </c>
      <c r="Q26" s="5" t="s">
        <v>34</v>
      </c>
      <c r="R26" s="4">
        <v>512737.71</v>
      </c>
      <c r="S26" s="9">
        <v>512737.71</v>
      </c>
      <c r="T26" s="9">
        <v>0</v>
      </c>
      <c r="U26" s="4">
        <f t="shared" si="2"/>
        <v>78418.69</v>
      </c>
      <c r="V26" s="54">
        <v>78418.69</v>
      </c>
      <c r="W26" s="54">
        <v>0</v>
      </c>
      <c r="X26" s="4">
        <f t="shared" si="8"/>
        <v>12064.41</v>
      </c>
      <c r="Y26" s="9">
        <v>12064.41</v>
      </c>
      <c r="Z26" s="9">
        <v>0</v>
      </c>
      <c r="AA26" s="9">
        <f t="shared" si="16"/>
        <v>0</v>
      </c>
      <c r="AB26" s="9">
        <v>0</v>
      </c>
      <c r="AC26" s="9">
        <v>0</v>
      </c>
      <c r="AD26" s="45">
        <f t="shared" si="6"/>
        <v>603220.81000000006</v>
      </c>
      <c r="AE26" s="12"/>
      <c r="AF26" s="9">
        <f t="shared" si="4"/>
        <v>603220.81000000006</v>
      </c>
      <c r="AG26" s="50" t="s">
        <v>966</v>
      </c>
      <c r="AH26" s="12"/>
      <c r="AI26" s="1">
        <v>329928.18</v>
      </c>
      <c r="AJ26" s="1">
        <v>50459.58</v>
      </c>
    </row>
    <row r="27" spans="1:36" ht="141.75" x14ac:dyDescent="0.25">
      <c r="A27" s="5">
        <f t="shared" si="7"/>
        <v>24</v>
      </c>
      <c r="B27" s="70">
        <v>126349</v>
      </c>
      <c r="C27" s="6">
        <v>566</v>
      </c>
      <c r="D27" s="41" t="s">
        <v>1981</v>
      </c>
      <c r="E27" s="8" t="s">
        <v>1018</v>
      </c>
      <c r="F27" s="8" t="s">
        <v>1104</v>
      </c>
      <c r="G27" s="5" t="s">
        <v>620</v>
      </c>
      <c r="H27" s="6" t="s">
        <v>151</v>
      </c>
      <c r="I27" s="8" t="s">
        <v>1105</v>
      </c>
      <c r="J27" s="2">
        <v>43482</v>
      </c>
      <c r="K27" s="2">
        <v>44456</v>
      </c>
      <c r="L27" s="17">
        <f t="shared" si="0"/>
        <v>85.000000750761799</v>
      </c>
      <c r="M27" s="5">
        <v>3</v>
      </c>
      <c r="N27" s="2" t="s">
        <v>200</v>
      </c>
      <c r="O27" s="2" t="s">
        <v>202</v>
      </c>
      <c r="P27" s="2" t="s">
        <v>174</v>
      </c>
      <c r="Q27" s="5" t="s">
        <v>34</v>
      </c>
      <c r="R27" s="4">
        <f>S27+T27</f>
        <v>3396550.05</v>
      </c>
      <c r="S27" s="9">
        <v>3396550.05</v>
      </c>
      <c r="T27" s="9">
        <v>0</v>
      </c>
      <c r="U27" s="4">
        <f t="shared" si="2"/>
        <v>519472.32</v>
      </c>
      <c r="V27" s="54">
        <v>519472.32</v>
      </c>
      <c r="W27" s="54">
        <v>0</v>
      </c>
      <c r="X27" s="4">
        <f t="shared" si="8"/>
        <v>79918.83</v>
      </c>
      <c r="Y27" s="9">
        <v>79918.83</v>
      </c>
      <c r="Z27" s="9">
        <v>0</v>
      </c>
      <c r="AA27" s="9">
        <f>AB27+AC27</f>
        <v>0</v>
      </c>
      <c r="AB27" s="9">
        <v>0</v>
      </c>
      <c r="AC27" s="9">
        <v>0</v>
      </c>
      <c r="AD27" s="45">
        <f t="shared" si="6"/>
        <v>3995941.1999999997</v>
      </c>
      <c r="AE27" s="12">
        <v>0</v>
      </c>
      <c r="AF27" s="9">
        <f t="shared" si="4"/>
        <v>3995941.1999999997</v>
      </c>
      <c r="AG27" s="60" t="s">
        <v>515</v>
      </c>
      <c r="AH27" s="12" t="s">
        <v>1880</v>
      </c>
      <c r="AI27" s="1">
        <f>571396.75+311875.46+135188.65+671264.55+7347.4+9570.15</f>
        <v>1706642.96</v>
      </c>
      <c r="AJ27" s="1">
        <f>87390.09+47698.6+20675.91+102663.99+1123.72+1463.67</f>
        <v>261015.98000000004</v>
      </c>
    </row>
    <row r="28" spans="1:36" ht="141.75" x14ac:dyDescent="0.25">
      <c r="A28" s="5">
        <f t="shared" si="7"/>
        <v>25</v>
      </c>
      <c r="B28" s="70">
        <v>128987</v>
      </c>
      <c r="C28" s="6">
        <v>649</v>
      </c>
      <c r="D28" s="41" t="s">
        <v>1981</v>
      </c>
      <c r="E28" s="81" t="s">
        <v>1246</v>
      </c>
      <c r="F28" s="56" t="s">
        <v>1276</v>
      </c>
      <c r="G28" s="5" t="s">
        <v>648</v>
      </c>
      <c r="H28" s="6" t="s">
        <v>151</v>
      </c>
      <c r="I28" s="8" t="s">
        <v>1277</v>
      </c>
      <c r="J28" s="2">
        <v>43626</v>
      </c>
      <c r="K28" s="2">
        <v>44540</v>
      </c>
      <c r="L28" s="17">
        <f t="shared" si="0"/>
        <v>85.000000101931988</v>
      </c>
      <c r="M28" s="5">
        <v>3</v>
      </c>
      <c r="N28" s="2" t="s">
        <v>200</v>
      </c>
      <c r="O28" s="2" t="s">
        <v>202</v>
      </c>
      <c r="P28" s="2" t="s">
        <v>174</v>
      </c>
      <c r="Q28" s="5" t="s">
        <v>34</v>
      </c>
      <c r="R28" s="4">
        <f>S28+T28</f>
        <v>2501668.17</v>
      </c>
      <c r="S28" s="9">
        <v>2501668.17</v>
      </c>
      <c r="T28" s="9">
        <v>0</v>
      </c>
      <c r="U28" s="4">
        <f t="shared" si="2"/>
        <v>382608.07</v>
      </c>
      <c r="V28" s="54">
        <v>382608.07</v>
      </c>
      <c r="W28" s="54">
        <v>0</v>
      </c>
      <c r="X28" s="4">
        <f t="shared" si="8"/>
        <v>58862.78</v>
      </c>
      <c r="Y28" s="9">
        <v>58862.78</v>
      </c>
      <c r="Z28" s="9">
        <v>0</v>
      </c>
      <c r="AA28" s="9">
        <f>AB28+AC28</f>
        <v>0</v>
      </c>
      <c r="AB28" s="9">
        <v>0</v>
      </c>
      <c r="AC28" s="9">
        <v>0</v>
      </c>
      <c r="AD28" s="45">
        <f t="shared" si="6"/>
        <v>2943139.0199999996</v>
      </c>
      <c r="AE28" s="82">
        <v>0</v>
      </c>
      <c r="AF28" s="9">
        <f t="shared" si="4"/>
        <v>2943139.0199999996</v>
      </c>
      <c r="AG28" s="60" t="s">
        <v>515</v>
      </c>
      <c r="AH28" s="12" t="s">
        <v>151</v>
      </c>
      <c r="AI28" s="1">
        <f>172108.45+69321.51+212559.13+207716.59+176610.66</f>
        <v>838316.34000000008</v>
      </c>
      <c r="AJ28" s="1">
        <f>26322.47+10602.12+32509.04+31768.42+27011.04</f>
        <v>128213.09</v>
      </c>
    </row>
    <row r="29" spans="1:36" ht="180" x14ac:dyDescent="0.25">
      <c r="A29" s="5">
        <f t="shared" si="7"/>
        <v>26</v>
      </c>
      <c r="B29" s="70">
        <v>135776</v>
      </c>
      <c r="C29" s="6">
        <v>799</v>
      </c>
      <c r="D29" s="41" t="s">
        <v>1981</v>
      </c>
      <c r="E29" s="83" t="s">
        <v>1700</v>
      </c>
      <c r="F29" s="56" t="s">
        <v>1782</v>
      </c>
      <c r="G29" s="5" t="s">
        <v>620</v>
      </c>
      <c r="H29" s="6" t="s">
        <v>151</v>
      </c>
      <c r="I29" s="8" t="s">
        <v>1783</v>
      </c>
      <c r="J29" s="2">
        <v>43969</v>
      </c>
      <c r="K29" s="2">
        <v>44638</v>
      </c>
      <c r="L29" s="17">
        <f t="shared" si="0"/>
        <v>85.000000325618146</v>
      </c>
      <c r="M29" s="5">
        <v>3</v>
      </c>
      <c r="N29" s="2" t="s">
        <v>200</v>
      </c>
      <c r="O29" s="2" t="s">
        <v>202</v>
      </c>
      <c r="P29" s="2" t="s">
        <v>174</v>
      </c>
      <c r="Q29" s="63" t="s">
        <v>34</v>
      </c>
      <c r="R29" s="4">
        <f>S29+T29</f>
        <v>783125.93</v>
      </c>
      <c r="S29" s="9">
        <v>783125.93</v>
      </c>
      <c r="T29" s="9">
        <v>0</v>
      </c>
      <c r="U29" s="4">
        <f t="shared" si="2"/>
        <v>119772.2</v>
      </c>
      <c r="V29" s="54">
        <v>119772.2</v>
      </c>
      <c r="W29" s="54">
        <v>0</v>
      </c>
      <c r="X29" s="4">
        <f t="shared" si="8"/>
        <v>18426.490000000002</v>
      </c>
      <c r="Y29" s="9">
        <v>18426.490000000002</v>
      </c>
      <c r="Z29" s="9">
        <v>0</v>
      </c>
      <c r="AA29" s="9">
        <f>AB29+AC29</f>
        <v>0</v>
      </c>
      <c r="AB29" s="9">
        <v>0</v>
      </c>
      <c r="AC29" s="9">
        <v>0</v>
      </c>
      <c r="AD29" s="45">
        <f t="shared" si="6"/>
        <v>921324.62</v>
      </c>
      <c r="AE29" s="82">
        <v>0</v>
      </c>
      <c r="AF29" s="9">
        <f t="shared" si="4"/>
        <v>921324.62</v>
      </c>
      <c r="AG29" s="60" t="s">
        <v>515</v>
      </c>
      <c r="AH29" s="12" t="s">
        <v>151</v>
      </c>
      <c r="AI29" s="1">
        <f>27777.15+74882.45+3759.55+6011.2+5931.3</f>
        <v>118361.65000000001</v>
      </c>
      <c r="AJ29" s="1">
        <f>4248.27+11452.61+574.99+919.36+907.14</f>
        <v>18102.37</v>
      </c>
    </row>
    <row r="30" spans="1:36" ht="141.75" x14ac:dyDescent="0.25">
      <c r="A30" s="5">
        <f t="shared" si="7"/>
        <v>27</v>
      </c>
      <c r="B30" s="70">
        <v>119613</v>
      </c>
      <c r="C30" s="6">
        <v>461</v>
      </c>
      <c r="D30" s="41" t="s">
        <v>1981</v>
      </c>
      <c r="E30" s="8" t="s">
        <v>474</v>
      </c>
      <c r="F30" s="8" t="s">
        <v>808</v>
      </c>
      <c r="G30" s="5" t="s">
        <v>809</v>
      </c>
      <c r="H30" s="6" t="s">
        <v>151</v>
      </c>
      <c r="I30" s="8" t="s">
        <v>810</v>
      </c>
      <c r="J30" s="2">
        <v>43320</v>
      </c>
      <c r="K30" s="2">
        <v>43646</v>
      </c>
      <c r="L30" s="17">
        <f t="shared" si="0"/>
        <v>85.00000179686964</v>
      </c>
      <c r="M30" s="5">
        <v>1</v>
      </c>
      <c r="N30" s="5" t="s">
        <v>292</v>
      </c>
      <c r="O30" s="5" t="s">
        <v>292</v>
      </c>
      <c r="P30" s="2" t="s">
        <v>174</v>
      </c>
      <c r="Q30" s="5" t="s">
        <v>34</v>
      </c>
      <c r="R30" s="9">
        <f t="shared" ref="R30" si="17">S30+T30</f>
        <v>236522.45</v>
      </c>
      <c r="S30" s="9">
        <v>236522.45</v>
      </c>
      <c r="T30" s="9">
        <v>0</v>
      </c>
      <c r="U30" s="4">
        <f t="shared" si="2"/>
        <v>36174.019999999997</v>
      </c>
      <c r="V30" s="85">
        <v>36174.019999999997</v>
      </c>
      <c r="W30" s="86">
        <v>0</v>
      </c>
      <c r="X30" s="4">
        <f t="shared" si="8"/>
        <v>5565.23</v>
      </c>
      <c r="Y30" s="72">
        <v>5565.23</v>
      </c>
      <c r="Z30" s="87">
        <v>0</v>
      </c>
      <c r="AA30" s="9">
        <v>0</v>
      </c>
      <c r="AB30" s="9">
        <v>0</v>
      </c>
      <c r="AC30" s="9">
        <v>0</v>
      </c>
      <c r="AD30" s="45">
        <f t="shared" si="6"/>
        <v>278261.7</v>
      </c>
      <c r="AE30" s="9">
        <v>37449.300000000003</v>
      </c>
      <c r="AF30" s="9">
        <f t="shared" si="4"/>
        <v>315711</v>
      </c>
      <c r="AG30" s="50" t="s">
        <v>966</v>
      </c>
      <c r="AH30" s="14" t="s">
        <v>1256</v>
      </c>
      <c r="AI30" s="1">
        <v>227036.25</v>
      </c>
      <c r="AJ30" s="1">
        <v>34723.18</v>
      </c>
    </row>
    <row r="31" spans="1:36" ht="283.5" x14ac:dyDescent="0.25">
      <c r="A31" s="5">
        <f t="shared" si="7"/>
        <v>28</v>
      </c>
      <c r="B31" s="70">
        <v>118515</v>
      </c>
      <c r="C31" s="6">
        <v>429</v>
      </c>
      <c r="D31" s="8" t="s">
        <v>1982</v>
      </c>
      <c r="E31" s="8" t="s">
        <v>540</v>
      </c>
      <c r="F31" s="8" t="s">
        <v>858</v>
      </c>
      <c r="G31" s="5" t="s">
        <v>809</v>
      </c>
      <c r="H31" s="6" t="s">
        <v>151</v>
      </c>
      <c r="I31" s="8" t="s">
        <v>859</v>
      </c>
      <c r="J31" s="2">
        <v>43333</v>
      </c>
      <c r="K31" s="2">
        <v>43820</v>
      </c>
      <c r="L31" s="17">
        <f t="shared" si="0"/>
        <v>85</v>
      </c>
      <c r="M31" s="5">
        <v>1</v>
      </c>
      <c r="N31" s="5" t="s">
        <v>292</v>
      </c>
      <c r="O31" s="5" t="s">
        <v>292</v>
      </c>
      <c r="P31" s="2" t="s">
        <v>174</v>
      </c>
      <c r="Q31" s="5" t="s">
        <v>34</v>
      </c>
      <c r="R31" s="9">
        <f t="shared" ref="R31:R32" si="18">S31+T31</f>
        <v>339452.6</v>
      </c>
      <c r="S31" s="1">
        <v>339452.6</v>
      </c>
      <c r="T31" s="1">
        <v>0</v>
      </c>
      <c r="U31" s="4">
        <f t="shared" si="2"/>
        <v>51916.28</v>
      </c>
      <c r="V31" s="74">
        <v>51916.28</v>
      </c>
      <c r="W31" s="71">
        <v>0</v>
      </c>
      <c r="X31" s="4">
        <f t="shared" si="8"/>
        <v>7987.12</v>
      </c>
      <c r="Y31" s="1">
        <v>7987.12</v>
      </c>
      <c r="Z31" s="1">
        <v>0</v>
      </c>
      <c r="AA31" s="9">
        <f t="shared" si="16"/>
        <v>0</v>
      </c>
      <c r="AB31" s="9">
        <v>0</v>
      </c>
      <c r="AC31" s="9">
        <v>0</v>
      </c>
      <c r="AD31" s="45">
        <f t="shared" si="6"/>
        <v>399356</v>
      </c>
      <c r="AE31" s="9">
        <v>58024.99</v>
      </c>
      <c r="AF31" s="9">
        <f t="shared" si="4"/>
        <v>457380.99</v>
      </c>
      <c r="AG31" s="60" t="s">
        <v>966</v>
      </c>
      <c r="AH31" s="14" t="s">
        <v>151</v>
      </c>
      <c r="AI31" s="1">
        <v>321570.08</v>
      </c>
      <c r="AJ31" s="1">
        <v>49181.31</v>
      </c>
    </row>
    <row r="32" spans="1:36" ht="157.5" x14ac:dyDescent="0.25">
      <c r="A32" s="5">
        <f t="shared" si="7"/>
        <v>29</v>
      </c>
      <c r="B32" s="70">
        <v>126161</v>
      </c>
      <c r="C32" s="6">
        <v>571</v>
      </c>
      <c r="D32" s="41" t="s">
        <v>1981</v>
      </c>
      <c r="E32" s="8" t="s">
        <v>1018</v>
      </c>
      <c r="F32" s="8" t="s">
        <v>1048</v>
      </c>
      <c r="G32" s="5" t="s">
        <v>288</v>
      </c>
      <c r="H32" s="6" t="s">
        <v>151</v>
      </c>
      <c r="I32" s="8" t="s">
        <v>1049</v>
      </c>
      <c r="J32" s="2">
        <v>43444</v>
      </c>
      <c r="K32" s="2">
        <v>44479</v>
      </c>
      <c r="L32" s="17">
        <f t="shared" si="0"/>
        <v>84.999999835393808</v>
      </c>
      <c r="M32" s="5">
        <v>1</v>
      </c>
      <c r="N32" s="5" t="s">
        <v>292</v>
      </c>
      <c r="O32" s="5" t="s">
        <v>292</v>
      </c>
      <c r="P32" s="2" t="s">
        <v>174</v>
      </c>
      <c r="Q32" s="5" t="s">
        <v>34</v>
      </c>
      <c r="R32" s="9">
        <f t="shared" si="18"/>
        <v>2323727.9300000002</v>
      </c>
      <c r="S32" s="1">
        <v>2323727.9300000002</v>
      </c>
      <c r="T32" s="1">
        <v>0</v>
      </c>
      <c r="U32" s="4">
        <f t="shared" si="2"/>
        <v>355393.68</v>
      </c>
      <c r="V32" s="74">
        <v>355393.68</v>
      </c>
      <c r="W32" s="71">
        <v>0</v>
      </c>
      <c r="X32" s="4">
        <f t="shared" si="8"/>
        <v>54675.96</v>
      </c>
      <c r="Y32" s="1">
        <v>54675.96</v>
      </c>
      <c r="Z32" s="1">
        <v>0</v>
      </c>
      <c r="AA32" s="9">
        <f t="shared" si="16"/>
        <v>0</v>
      </c>
      <c r="AB32" s="9">
        <v>0</v>
      </c>
      <c r="AC32" s="9">
        <v>0</v>
      </c>
      <c r="AD32" s="45">
        <f t="shared" si="6"/>
        <v>2733797.5700000003</v>
      </c>
      <c r="AE32" s="9">
        <v>80920</v>
      </c>
      <c r="AF32" s="9">
        <f t="shared" si="4"/>
        <v>2814717.5700000003</v>
      </c>
      <c r="AG32" s="60" t="s">
        <v>515</v>
      </c>
      <c r="AH32" s="14" t="s">
        <v>2105</v>
      </c>
      <c r="AI32" s="1">
        <f>250763.77+23449.8+19694.5+1046062.95+19963.1+59091.83+236490.4+39448.5</f>
        <v>1694964.85</v>
      </c>
      <c r="AJ32" s="1">
        <f>38352.11+3586.44+3012.1+159986.1+3053.18+9037.57+36169.12+6033.3</f>
        <v>259229.91999999998</v>
      </c>
    </row>
    <row r="33" spans="1:36" ht="141.75" x14ac:dyDescent="0.25">
      <c r="A33" s="5">
        <f t="shared" si="7"/>
        <v>30</v>
      </c>
      <c r="B33" s="70">
        <v>128880</v>
      </c>
      <c r="C33" s="6">
        <v>652</v>
      </c>
      <c r="D33" s="41" t="s">
        <v>1981</v>
      </c>
      <c r="E33" s="8" t="s">
        <v>1246</v>
      </c>
      <c r="F33" s="8" t="s">
        <v>1320</v>
      </c>
      <c r="G33" s="5" t="s">
        <v>809</v>
      </c>
      <c r="H33" s="6" t="s">
        <v>151</v>
      </c>
      <c r="I33" s="8" t="s">
        <v>1321</v>
      </c>
      <c r="J33" s="2">
        <v>43643</v>
      </c>
      <c r="K33" s="2">
        <v>44557</v>
      </c>
      <c r="L33" s="17">
        <f t="shared" si="0"/>
        <v>85</v>
      </c>
      <c r="M33" s="5">
        <v>1</v>
      </c>
      <c r="N33" s="5" t="s">
        <v>292</v>
      </c>
      <c r="O33" s="5" t="s">
        <v>292</v>
      </c>
      <c r="P33" s="2" t="s">
        <v>174</v>
      </c>
      <c r="Q33" s="5" t="s">
        <v>34</v>
      </c>
      <c r="R33" s="9">
        <f>S33+T33</f>
        <v>2545487.35</v>
      </c>
      <c r="S33" s="1">
        <v>2545487.35</v>
      </c>
      <c r="T33" s="1">
        <v>0</v>
      </c>
      <c r="U33" s="4">
        <f t="shared" si="2"/>
        <v>389309.83</v>
      </c>
      <c r="V33" s="74">
        <v>389309.83</v>
      </c>
      <c r="W33" s="74">
        <v>0</v>
      </c>
      <c r="X33" s="4">
        <f t="shared" si="8"/>
        <v>59893.82</v>
      </c>
      <c r="Y33" s="1">
        <v>59893.82</v>
      </c>
      <c r="Z33" s="1">
        <v>0</v>
      </c>
      <c r="AA33" s="9">
        <f>AB33+AC33</f>
        <v>0</v>
      </c>
      <c r="AB33" s="4">
        <v>0</v>
      </c>
      <c r="AC33" s="4">
        <v>0</v>
      </c>
      <c r="AD33" s="45">
        <f t="shared" si="6"/>
        <v>2994691</v>
      </c>
      <c r="AE33" s="9">
        <v>0</v>
      </c>
      <c r="AF33" s="9">
        <f t="shared" si="4"/>
        <v>2994691</v>
      </c>
      <c r="AG33" s="60" t="s">
        <v>515</v>
      </c>
      <c r="AH33" s="14" t="s">
        <v>2051</v>
      </c>
      <c r="AI33" s="1">
        <v>1923767.25</v>
      </c>
      <c r="AJ33" s="1">
        <v>294223.21999999997</v>
      </c>
    </row>
    <row r="34" spans="1:36" ht="141.75" x14ac:dyDescent="0.25">
      <c r="A34" s="5">
        <f t="shared" si="7"/>
        <v>31</v>
      </c>
      <c r="B34" s="16">
        <v>120769</v>
      </c>
      <c r="C34" s="6">
        <v>96</v>
      </c>
      <c r="D34" s="41" t="s">
        <v>1981</v>
      </c>
      <c r="E34" s="18" t="s">
        <v>278</v>
      </c>
      <c r="F34" s="8" t="s">
        <v>289</v>
      </c>
      <c r="G34" s="5" t="s">
        <v>288</v>
      </c>
      <c r="H34" s="5" t="s">
        <v>290</v>
      </c>
      <c r="I34" s="88" t="s">
        <v>291</v>
      </c>
      <c r="J34" s="2">
        <v>43186</v>
      </c>
      <c r="K34" s="2">
        <v>43673</v>
      </c>
      <c r="L34" s="17">
        <f t="shared" si="0"/>
        <v>84.154097257132506</v>
      </c>
      <c r="M34" s="5">
        <v>1</v>
      </c>
      <c r="N34" s="5" t="s">
        <v>292</v>
      </c>
      <c r="O34" s="5" t="s">
        <v>292</v>
      </c>
      <c r="P34" s="3" t="s">
        <v>174</v>
      </c>
      <c r="Q34" s="5" t="s">
        <v>34</v>
      </c>
      <c r="R34" s="9">
        <f t="shared" ref="R34:R38" si="19">S34+T34</f>
        <v>357519.4</v>
      </c>
      <c r="S34" s="9">
        <v>357519.4</v>
      </c>
      <c r="T34" s="9">
        <v>0</v>
      </c>
      <c r="U34" s="4">
        <f t="shared" si="2"/>
        <v>58822.79</v>
      </c>
      <c r="V34" s="54">
        <v>58822.79</v>
      </c>
      <c r="W34" s="54">
        <v>0</v>
      </c>
      <c r="X34" s="4">
        <f t="shared" si="8"/>
        <v>8496.7800000000007</v>
      </c>
      <c r="Y34" s="9">
        <v>8496.7800000000007</v>
      </c>
      <c r="Z34" s="9">
        <v>0</v>
      </c>
      <c r="AA34" s="9">
        <f t="shared" ref="AA34" si="20">AB34+AC34</f>
        <v>0</v>
      </c>
      <c r="AB34" s="9">
        <v>0</v>
      </c>
      <c r="AC34" s="9">
        <v>0</v>
      </c>
      <c r="AD34" s="45">
        <f t="shared" si="6"/>
        <v>424838.97000000003</v>
      </c>
      <c r="AE34" s="9">
        <v>0</v>
      </c>
      <c r="AF34" s="9">
        <f t="shared" si="4"/>
        <v>424838.97000000003</v>
      </c>
      <c r="AG34" s="50" t="s">
        <v>966</v>
      </c>
      <c r="AH34" s="14" t="s">
        <v>151</v>
      </c>
      <c r="AI34" s="1">
        <v>328987.4200000001</v>
      </c>
      <c r="AJ34" s="1">
        <v>54146.78</v>
      </c>
    </row>
    <row r="35" spans="1:36" ht="267.75" x14ac:dyDescent="0.25">
      <c r="A35" s="5">
        <f t="shared" si="7"/>
        <v>32</v>
      </c>
      <c r="B35" s="16">
        <v>128863</v>
      </c>
      <c r="C35" s="6">
        <v>638</v>
      </c>
      <c r="D35" s="41" t="s">
        <v>1981</v>
      </c>
      <c r="E35" s="18" t="s">
        <v>1246</v>
      </c>
      <c r="F35" s="8" t="s">
        <v>1402</v>
      </c>
      <c r="G35" s="5" t="s">
        <v>1403</v>
      </c>
      <c r="H35" s="5" t="s">
        <v>362</v>
      </c>
      <c r="I35" s="88" t="s">
        <v>1405</v>
      </c>
      <c r="J35" s="2">
        <v>43679</v>
      </c>
      <c r="K35" s="2">
        <v>44471</v>
      </c>
      <c r="L35" s="17">
        <f t="shared" si="0"/>
        <v>84.99999967540424</v>
      </c>
      <c r="M35" s="5">
        <v>1</v>
      </c>
      <c r="N35" s="5" t="s">
        <v>292</v>
      </c>
      <c r="O35" s="5" t="s">
        <v>1404</v>
      </c>
      <c r="P35" s="3" t="s">
        <v>174</v>
      </c>
      <c r="Q35" s="5" t="s">
        <v>34</v>
      </c>
      <c r="R35" s="9">
        <f t="shared" si="19"/>
        <v>2356777.4300000002</v>
      </c>
      <c r="S35" s="9">
        <v>2356777.4300000002</v>
      </c>
      <c r="T35" s="9">
        <v>0</v>
      </c>
      <c r="U35" s="4">
        <f t="shared" si="2"/>
        <v>360448.32</v>
      </c>
      <c r="V35" s="54">
        <v>360448.32</v>
      </c>
      <c r="W35" s="54">
        <v>0</v>
      </c>
      <c r="X35" s="4">
        <f t="shared" si="8"/>
        <v>55453.59</v>
      </c>
      <c r="Y35" s="9">
        <v>55453.59</v>
      </c>
      <c r="Z35" s="9">
        <v>0</v>
      </c>
      <c r="AA35" s="9">
        <v>0</v>
      </c>
      <c r="AB35" s="9">
        <v>0</v>
      </c>
      <c r="AC35" s="9">
        <v>0</v>
      </c>
      <c r="AD35" s="45">
        <f t="shared" si="6"/>
        <v>2772679.34</v>
      </c>
      <c r="AE35" s="9">
        <v>0</v>
      </c>
      <c r="AF35" s="9">
        <f t="shared" si="4"/>
        <v>2772679.34</v>
      </c>
      <c r="AG35" s="60" t="s">
        <v>515</v>
      </c>
      <c r="AH35" s="14" t="s">
        <v>2113</v>
      </c>
      <c r="AI35" s="1">
        <f>2811.97+97537.5+36969.05+997291.46+249334.75+469958.2+472269.35</f>
        <v>2326172.2799999998</v>
      </c>
      <c r="AJ35" s="1">
        <f>430.07+14917.5+5654.09+152526.93+38133.55+71875.96+72229.43</f>
        <v>355767.53</v>
      </c>
    </row>
    <row r="36" spans="1:36" ht="283.5" x14ac:dyDescent="0.25">
      <c r="A36" s="5">
        <f t="shared" si="7"/>
        <v>33</v>
      </c>
      <c r="B36" s="16">
        <v>135485</v>
      </c>
      <c r="C36" s="6">
        <v>790</v>
      </c>
      <c r="D36" s="41" t="s">
        <v>1981</v>
      </c>
      <c r="E36" s="18" t="s">
        <v>1700</v>
      </c>
      <c r="F36" s="8" t="s">
        <v>1711</v>
      </c>
      <c r="G36" s="5" t="s">
        <v>1403</v>
      </c>
      <c r="H36" s="5" t="s">
        <v>362</v>
      </c>
      <c r="I36" s="42" t="s">
        <v>1712</v>
      </c>
      <c r="J36" s="2">
        <v>43949</v>
      </c>
      <c r="K36" s="2">
        <v>44589</v>
      </c>
      <c r="L36" s="17">
        <f t="shared" si="0"/>
        <v>85.000000553699934</v>
      </c>
      <c r="M36" s="5">
        <v>1</v>
      </c>
      <c r="N36" s="5" t="s">
        <v>292</v>
      </c>
      <c r="O36" s="5" t="s">
        <v>1404</v>
      </c>
      <c r="P36" s="3" t="s">
        <v>174</v>
      </c>
      <c r="Q36" s="5" t="s">
        <v>1713</v>
      </c>
      <c r="R36" s="9">
        <f t="shared" si="19"/>
        <v>2302691.2400000002</v>
      </c>
      <c r="S36" s="9">
        <v>2302691.2400000002</v>
      </c>
      <c r="T36" s="9">
        <v>0</v>
      </c>
      <c r="U36" s="4">
        <f t="shared" si="2"/>
        <v>352176.29</v>
      </c>
      <c r="V36" s="54">
        <v>352176.29</v>
      </c>
      <c r="W36" s="54">
        <v>0</v>
      </c>
      <c r="X36" s="4">
        <f t="shared" si="8"/>
        <v>54180.969999999994</v>
      </c>
      <c r="Y36" s="9">
        <v>54180.969999999994</v>
      </c>
      <c r="Z36" s="9">
        <v>0</v>
      </c>
      <c r="AA36" s="9">
        <v>0</v>
      </c>
      <c r="AB36" s="9">
        <v>0</v>
      </c>
      <c r="AC36" s="9">
        <v>0</v>
      </c>
      <c r="AD36" s="45">
        <f t="shared" si="6"/>
        <v>2709048.5000000005</v>
      </c>
      <c r="AE36" s="9">
        <v>0</v>
      </c>
      <c r="AF36" s="9">
        <f t="shared" si="4"/>
        <v>2709048.5000000005</v>
      </c>
      <c r="AG36" s="60" t="s">
        <v>515</v>
      </c>
      <c r="AH36" s="14" t="s">
        <v>2041</v>
      </c>
      <c r="AI36" s="1">
        <f>24515.7+74707.79+52395.7</f>
        <v>151619.19</v>
      </c>
      <c r="AJ36" s="1">
        <f>3749.46+11425.9+8013.46</f>
        <v>23188.82</v>
      </c>
    </row>
    <row r="37" spans="1:36" ht="283.5" x14ac:dyDescent="0.25">
      <c r="A37" s="5">
        <f t="shared" si="7"/>
        <v>34</v>
      </c>
      <c r="B37" s="16">
        <v>136322</v>
      </c>
      <c r="C37" s="5">
        <v>833</v>
      </c>
      <c r="D37" s="41" t="s">
        <v>1981</v>
      </c>
      <c r="E37" s="18" t="s">
        <v>1700</v>
      </c>
      <c r="F37" s="8" t="s">
        <v>1716</v>
      </c>
      <c r="G37" s="5" t="s">
        <v>288</v>
      </c>
      <c r="H37" s="5" t="s">
        <v>362</v>
      </c>
      <c r="I37" s="42" t="s">
        <v>1717</v>
      </c>
      <c r="J37" s="2">
        <v>43957</v>
      </c>
      <c r="K37" s="2">
        <v>44506</v>
      </c>
      <c r="L37" s="17">
        <f t="shared" si="0"/>
        <v>85</v>
      </c>
      <c r="M37" s="5">
        <v>1</v>
      </c>
      <c r="N37" s="5" t="s">
        <v>292</v>
      </c>
      <c r="O37" s="5" t="s">
        <v>292</v>
      </c>
      <c r="P37" s="3" t="s">
        <v>174</v>
      </c>
      <c r="Q37" s="5" t="s">
        <v>1713</v>
      </c>
      <c r="R37" s="9">
        <f t="shared" si="19"/>
        <v>813366.19</v>
      </c>
      <c r="S37" s="9">
        <v>813366.19</v>
      </c>
      <c r="T37" s="9">
        <v>0</v>
      </c>
      <c r="U37" s="4">
        <f t="shared" si="2"/>
        <v>124397.18</v>
      </c>
      <c r="V37" s="54">
        <v>124397.18</v>
      </c>
      <c r="W37" s="54">
        <v>0</v>
      </c>
      <c r="X37" s="4">
        <f t="shared" si="8"/>
        <v>19138.03</v>
      </c>
      <c r="Y37" s="9">
        <v>19138.03</v>
      </c>
      <c r="Z37" s="9">
        <v>0</v>
      </c>
      <c r="AA37" s="9">
        <v>0</v>
      </c>
      <c r="AB37" s="9">
        <v>0</v>
      </c>
      <c r="AC37" s="9">
        <v>0</v>
      </c>
      <c r="AD37" s="45">
        <f t="shared" si="6"/>
        <v>956901.39999999991</v>
      </c>
      <c r="AE37" s="9">
        <v>0</v>
      </c>
      <c r="AF37" s="9">
        <f t="shared" si="4"/>
        <v>956901.39999999991</v>
      </c>
      <c r="AG37" s="60" t="s">
        <v>515</v>
      </c>
      <c r="AH37" s="14" t="s">
        <v>151</v>
      </c>
      <c r="AI37" s="1">
        <f>35884.37+50135.18+9778.4+63310.55+10298.6+24197.63</f>
        <v>193604.73</v>
      </c>
      <c r="AJ37" s="1">
        <f>5488.19+7667.73+1495.52+9682.79+1575.08+3700.81</f>
        <v>29610.12</v>
      </c>
    </row>
    <row r="38" spans="1:36" ht="283.5" x14ac:dyDescent="0.25">
      <c r="A38" s="5">
        <f t="shared" si="7"/>
        <v>35</v>
      </c>
      <c r="B38" s="16">
        <v>136013</v>
      </c>
      <c r="C38" s="5">
        <v>808</v>
      </c>
      <c r="D38" s="41" t="s">
        <v>1981</v>
      </c>
      <c r="E38" s="18" t="s">
        <v>1700</v>
      </c>
      <c r="F38" s="8" t="s">
        <v>1858</v>
      </c>
      <c r="G38" s="5" t="s">
        <v>809</v>
      </c>
      <c r="H38" s="5" t="s">
        <v>362</v>
      </c>
      <c r="I38" s="42" t="s">
        <v>1859</v>
      </c>
      <c r="J38" s="2">
        <v>44011</v>
      </c>
      <c r="K38" s="2">
        <v>44924</v>
      </c>
      <c r="L38" s="17">
        <f t="shared" si="0"/>
        <v>85.000000296794198</v>
      </c>
      <c r="M38" s="5">
        <v>1</v>
      </c>
      <c r="N38" s="5" t="s">
        <v>292</v>
      </c>
      <c r="O38" s="5" t="s">
        <v>292</v>
      </c>
      <c r="P38" s="3" t="s">
        <v>174</v>
      </c>
      <c r="Q38" s="5" t="s">
        <v>1713</v>
      </c>
      <c r="R38" s="9">
        <f t="shared" si="19"/>
        <v>2863937.31</v>
      </c>
      <c r="S38" s="9">
        <v>2863937.31</v>
      </c>
      <c r="T38" s="9">
        <v>0</v>
      </c>
      <c r="U38" s="4">
        <f t="shared" si="2"/>
        <v>438012.95</v>
      </c>
      <c r="V38" s="54">
        <v>438012.95</v>
      </c>
      <c r="W38" s="54">
        <v>0</v>
      </c>
      <c r="X38" s="4">
        <f t="shared" si="8"/>
        <v>67387.740000000005</v>
      </c>
      <c r="Y38" s="9">
        <v>67387.740000000005</v>
      </c>
      <c r="Z38" s="9">
        <v>0</v>
      </c>
      <c r="AA38" s="9">
        <v>0</v>
      </c>
      <c r="AB38" s="9">
        <v>0</v>
      </c>
      <c r="AC38" s="9">
        <v>0</v>
      </c>
      <c r="AD38" s="45">
        <f t="shared" si="6"/>
        <v>3369338.0000000005</v>
      </c>
      <c r="AE38" s="9">
        <v>0</v>
      </c>
      <c r="AF38" s="9">
        <f t="shared" si="4"/>
        <v>3369338.0000000005</v>
      </c>
      <c r="AG38" s="60" t="s">
        <v>515</v>
      </c>
      <c r="AH38" s="14" t="s">
        <v>151</v>
      </c>
      <c r="AI38" s="1">
        <f>164751.47+35609.9+75630.45+54146.7</f>
        <v>330138.52</v>
      </c>
      <c r="AJ38" s="1">
        <f>25196.79+5446.22+11567.01+8281.26</f>
        <v>50491.280000000006</v>
      </c>
    </row>
    <row r="39" spans="1:36" ht="186" customHeight="1" x14ac:dyDescent="0.25">
      <c r="A39" s="5">
        <f t="shared" si="7"/>
        <v>36</v>
      </c>
      <c r="B39" s="16">
        <v>122823</v>
      </c>
      <c r="C39" s="5">
        <v>71</v>
      </c>
      <c r="D39" s="41" t="s">
        <v>1981</v>
      </c>
      <c r="E39" s="18" t="s">
        <v>278</v>
      </c>
      <c r="F39" s="19" t="s">
        <v>435</v>
      </c>
      <c r="G39" s="5" t="s">
        <v>433</v>
      </c>
      <c r="H39" s="5" t="s">
        <v>151</v>
      </c>
      <c r="I39" s="42" t="s">
        <v>434</v>
      </c>
      <c r="J39" s="2">
        <v>43244</v>
      </c>
      <c r="K39" s="2">
        <v>43823</v>
      </c>
      <c r="L39" s="17">
        <f t="shared" si="0"/>
        <v>85.000001791562255</v>
      </c>
      <c r="M39" s="5">
        <v>6</v>
      </c>
      <c r="N39" s="8" t="s">
        <v>431</v>
      </c>
      <c r="O39" s="8" t="s">
        <v>432</v>
      </c>
      <c r="P39" s="19" t="s">
        <v>174</v>
      </c>
      <c r="Q39" s="8" t="s">
        <v>34</v>
      </c>
      <c r="R39" s="9">
        <f t="shared" ref="R39:R44" si="21">S39+T39</f>
        <v>355834.7</v>
      </c>
      <c r="S39" s="1">
        <v>355834.7</v>
      </c>
      <c r="T39" s="9">
        <v>0</v>
      </c>
      <c r="U39" s="4">
        <f t="shared" si="2"/>
        <v>54421.769999999982</v>
      </c>
      <c r="V39" s="74">
        <v>54421.769999999982</v>
      </c>
      <c r="W39" s="86">
        <v>0</v>
      </c>
      <c r="X39" s="4">
        <f t="shared" si="8"/>
        <v>8372.58</v>
      </c>
      <c r="Y39" s="72">
        <v>8372.58</v>
      </c>
      <c r="Z39" s="87">
        <v>0</v>
      </c>
      <c r="AA39" s="9">
        <v>0</v>
      </c>
      <c r="AB39" s="9">
        <v>0</v>
      </c>
      <c r="AC39" s="9">
        <v>0</v>
      </c>
      <c r="AD39" s="45">
        <f t="shared" si="6"/>
        <v>418629.05</v>
      </c>
      <c r="AE39" s="9">
        <v>0</v>
      </c>
      <c r="AF39" s="9">
        <f t="shared" si="4"/>
        <v>418629.05</v>
      </c>
      <c r="AG39" s="60" t="s">
        <v>966</v>
      </c>
      <c r="AH39" s="14" t="s">
        <v>1424</v>
      </c>
      <c r="AI39" s="1">
        <v>317160.34000000008</v>
      </c>
      <c r="AJ39" s="1">
        <f>32329.21+5317.87+5421.22+5438.54</f>
        <v>48506.840000000004</v>
      </c>
    </row>
    <row r="40" spans="1:36" ht="141.75" x14ac:dyDescent="0.25">
      <c r="A40" s="5">
        <f t="shared" si="7"/>
        <v>37</v>
      </c>
      <c r="B40" s="18">
        <v>119767</v>
      </c>
      <c r="C40" s="18">
        <v>475</v>
      </c>
      <c r="D40" s="41" t="s">
        <v>1981</v>
      </c>
      <c r="E40" s="8" t="s">
        <v>474</v>
      </c>
      <c r="F40" s="19" t="s">
        <v>746</v>
      </c>
      <c r="G40" s="3" t="s">
        <v>747</v>
      </c>
      <c r="H40" s="5" t="s">
        <v>151</v>
      </c>
      <c r="I40" s="42" t="s">
        <v>748</v>
      </c>
      <c r="J40" s="2">
        <v>43306</v>
      </c>
      <c r="K40" s="2">
        <v>43976</v>
      </c>
      <c r="L40" s="17">
        <f t="shared" si="0"/>
        <v>85.000000000000014</v>
      </c>
      <c r="M40" s="5">
        <v>6</v>
      </c>
      <c r="N40" s="2" t="s">
        <v>431</v>
      </c>
      <c r="O40" s="2" t="s">
        <v>749</v>
      </c>
      <c r="P40" s="2" t="s">
        <v>174</v>
      </c>
      <c r="Q40" s="5" t="s">
        <v>34</v>
      </c>
      <c r="R40" s="9">
        <f t="shared" si="21"/>
        <v>518392.9</v>
      </c>
      <c r="S40" s="9">
        <v>518392.9</v>
      </c>
      <c r="T40" s="9">
        <v>0</v>
      </c>
      <c r="U40" s="4">
        <f t="shared" si="2"/>
        <v>79283.62</v>
      </c>
      <c r="V40" s="74">
        <v>79283.62</v>
      </c>
      <c r="W40" s="86">
        <v>0</v>
      </c>
      <c r="X40" s="4">
        <f t="shared" si="8"/>
        <v>12197.48</v>
      </c>
      <c r="Y40" s="89">
        <v>12197.48</v>
      </c>
      <c r="Z40" s="87">
        <v>0</v>
      </c>
      <c r="AA40" s="9">
        <f t="shared" si="16"/>
        <v>0</v>
      </c>
      <c r="AB40" s="9">
        <v>0</v>
      </c>
      <c r="AC40" s="9">
        <v>0</v>
      </c>
      <c r="AD40" s="45">
        <f t="shared" si="6"/>
        <v>609874</v>
      </c>
      <c r="AE40" s="9">
        <v>0</v>
      </c>
      <c r="AF40" s="9">
        <f t="shared" si="4"/>
        <v>609874</v>
      </c>
      <c r="AG40" s="60" t="s">
        <v>966</v>
      </c>
      <c r="AH40" s="14" t="s">
        <v>1522</v>
      </c>
      <c r="AI40" s="1">
        <f>446121.14+44941.37</f>
        <v>491062.51</v>
      </c>
      <c r="AJ40" s="1">
        <f>68230.29+6873.39</f>
        <v>75103.679999999993</v>
      </c>
    </row>
    <row r="41" spans="1:36" ht="269.25" customHeight="1" x14ac:dyDescent="0.25">
      <c r="A41" s="5">
        <f t="shared" si="7"/>
        <v>38</v>
      </c>
      <c r="B41" s="18">
        <v>129383</v>
      </c>
      <c r="C41" s="18">
        <v>685</v>
      </c>
      <c r="D41" s="41" t="s">
        <v>1981</v>
      </c>
      <c r="E41" s="8" t="s">
        <v>1246</v>
      </c>
      <c r="F41" s="19" t="s">
        <v>1355</v>
      </c>
      <c r="G41" s="3" t="s">
        <v>1508</v>
      </c>
      <c r="H41" s="5" t="s">
        <v>362</v>
      </c>
      <c r="I41" s="42" t="s">
        <v>1354</v>
      </c>
      <c r="J41" s="2">
        <v>43657</v>
      </c>
      <c r="K41" s="2">
        <v>44572</v>
      </c>
      <c r="L41" s="17">
        <f t="shared" si="0"/>
        <v>85.000000150473397</v>
      </c>
      <c r="M41" s="5">
        <v>6</v>
      </c>
      <c r="N41" s="2" t="s">
        <v>431</v>
      </c>
      <c r="O41" s="2" t="s">
        <v>1353</v>
      </c>
      <c r="P41" s="2" t="s">
        <v>174</v>
      </c>
      <c r="Q41" s="5" t="s">
        <v>34</v>
      </c>
      <c r="R41" s="9">
        <f t="shared" si="21"/>
        <v>2541977.39</v>
      </c>
      <c r="S41" s="9">
        <v>2541977.39</v>
      </c>
      <c r="T41" s="9">
        <v>0</v>
      </c>
      <c r="U41" s="4">
        <f t="shared" si="2"/>
        <v>388773.02</v>
      </c>
      <c r="V41" s="74">
        <v>388773.02</v>
      </c>
      <c r="W41" s="86">
        <v>0</v>
      </c>
      <c r="X41" s="4">
        <f t="shared" si="8"/>
        <v>59811.22</v>
      </c>
      <c r="Y41" s="89">
        <v>59811.22</v>
      </c>
      <c r="Z41" s="87">
        <v>0</v>
      </c>
      <c r="AA41" s="9">
        <v>0</v>
      </c>
      <c r="AB41" s="9">
        <v>0</v>
      </c>
      <c r="AC41" s="9">
        <v>0</v>
      </c>
      <c r="AD41" s="45">
        <f t="shared" si="6"/>
        <v>2990561.6300000004</v>
      </c>
      <c r="AE41" s="9">
        <v>0</v>
      </c>
      <c r="AF41" s="9">
        <f t="shared" si="4"/>
        <v>2990561.6300000004</v>
      </c>
      <c r="AG41" s="60" t="s">
        <v>515</v>
      </c>
      <c r="AH41" s="14" t="s">
        <v>2085</v>
      </c>
      <c r="AI41" s="1">
        <f>130989.25+2398.77</f>
        <v>133388.01999999999</v>
      </c>
      <c r="AJ41" s="1">
        <f>20033.65+366.87</f>
        <v>20400.52</v>
      </c>
    </row>
    <row r="42" spans="1:36" ht="269.25" customHeight="1" x14ac:dyDescent="0.25">
      <c r="A42" s="5">
        <f t="shared" si="7"/>
        <v>39</v>
      </c>
      <c r="B42" s="18">
        <v>129525</v>
      </c>
      <c r="C42" s="18">
        <v>678</v>
      </c>
      <c r="D42" s="41" t="s">
        <v>1981</v>
      </c>
      <c r="E42" s="90" t="s">
        <v>1246</v>
      </c>
      <c r="F42" s="19" t="s">
        <v>1507</v>
      </c>
      <c r="G42" s="3" t="s">
        <v>747</v>
      </c>
      <c r="H42" s="5" t="s">
        <v>151</v>
      </c>
      <c r="I42" s="42" t="s">
        <v>1509</v>
      </c>
      <c r="J42" s="2">
        <v>43724</v>
      </c>
      <c r="K42" s="2">
        <v>44636</v>
      </c>
      <c r="L42" s="17">
        <f t="shared" si="0"/>
        <v>85.000000715914808</v>
      </c>
      <c r="M42" s="5">
        <v>6</v>
      </c>
      <c r="N42" s="2" t="s">
        <v>431</v>
      </c>
      <c r="O42" s="2" t="s">
        <v>1353</v>
      </c>
      <c r="P42" s="2" t="s">
        <v>174</v>
      </c>
      <c r="Q42" s="5" t="s">
        <v>34</v>
      </c>
      <c r="R42" s="9">
        <f t="shared" si="21"/>
        <v>2255855.02</v>
      </c>
      <c r="S42" s="9">
        <v>2255855.02</v>
      </c>
      <c r="T42" s="9">
        <v>0</v>
      </c>
      <c r="U42" s="4">
        <f t="shared" si="2"/>
        <v>345013.09</v>
      </c>
      <c r="V42" s="74">
        <v>345013.09</v>
      </c>
      <c r="W42" s="86">
        <v>0</v>
      </c>
      <c r="X42" s="4">
        <f t="shared" si="8"/>
        <v>53078.95</v>
      </c>
      <c r="Y42" s="89">
        <v>53078.95</v>
      </c>
      <c r="Z42" s="87">
        <v>0</v>
      </c>
      <c r="AA42" s="9">
        <v>0</v>
      </c>
      <c r="AB42" s="9">
        <v>0</v>
      </c>
      <c r="AC42" s="9">
        <v>0</v>
      </c>
      <c r="AD42" s="45">
        <f t="shared" si="6"/>
        <v>2653947.06</v>
      </c>
      <c r="AE42" s="9">
        <v>0</v>
      </c>
      <c r="AF42" s="9">
        <f t="shared" si="4"/>
        <v>2653947.06</v>
      </c>
      <c r="AG42" s="60" t="s">
        <v>515</v>
      </c>
      <c r="AH42" s="14" t="s">
        <v>362</v>
      </c>
      <c r="AI42" s="1">
        <f>210000-16810.94-18.2+12969.09+32363.75</f>
        <v>238503.69999999998</v>
      </c>
      <c r="AJ42" s="1">
        <f>16810.94+18.2+14698.15+4949.75</f>
        <v>36477.040000000001</v>
      </c>
    </row>
    <row r="43" spans="1:36" ht="255" x14ac:dyDescent="0.25">
      <c r="A43" s="5">
        <f t="shared" si="7"/>
        <v>40</v>
      </c>
      <c r="B43" s="91">
        <v>135923</v>
      </c>
      <c r="C43" s="92">
        <v>789</v>
      </c>
      <c r="D43" s="41" t="s">
        <v>1981</v>
      </c>
      <c r="E43" s="93" t="s">
        <v>1700</v>
      </c>
      <c r="F43" s="94" t="s">
        <v>1749</v>
      </c>
      <c r="G43" s="94" t="s">
        <v>1750</v>
      </c>
      <c r="H43" s="95" t="s">
        <v>362</v>
      </c>
      <c r="I43" s="96" t="s">
        <v>1751</v>
      </c>
      <c r="J43" s="97">
        <v>43969</v>
      </c>
      <c r="K43" s="97">
        <v>44548</v>
      </c>
      <c r="L43" s="17">
        <f t="shared" si="0"/>
        <v>85.000001598813043</v>
      </c>
      <c r="M43" s="94">
        <v>6</v>
      </c>
      <c r="N43" s="94" t="s">
        <v>431</v>
      </c>
      <c r="O43" s="94" t="s">
        <v>1752</v>
      </c>
      <c r="P43" s="98" t="s">
        <v>174</v>
      </c>
      <c r="Q43" s="95" t="s">
        <v>1713</v>
      </c>
      <c r="R43" s="9">
        <f t="shared" si="21"/>
        <v>531644.41</v>
      </c>
      <c r="S43" s="99">
        <v>531644.41</v>
      </c>
      <c r="T43" s="99">
        <v>0</v>
      </c>
      <c r="U43" s="4">
        <f t="shared" si="2"/>
        <v>81310.31</v>
      </c>
      <c r="V43" s="100">
        <v>81310.31</v>
      </c>
      <c r="W43" s="100">
        <v>0</v>
      </c>
      <c r="X43" s="4">
        <f t="shared" si="8"/>
        <v>12509.28</v>
      </c>
      <c r="Y43" s="99">
        <v>12509.28</v>
      </c>
      <c r="Z43" s="99">
        <v>0</v>
      </c>
      <c r="AA43" s="9">
        <v>0</v>
      </c>
      <c r="AB43" s="9">
        <v>0</v>
      </c>
      <c r="AC43" s="9">
        <v>0</v>
      </c>
      <c r="AD43" s="45">
        <f t="shared" si="6"/>
        <v>625464</v>
      </c>
      <c r="AE43" s="9">
        <v>0</v>
      </c>
      <c r="AF43" s="9">
        <f t="shared" si="4"/>
        <v>625464</v>
      </c>
      <c r="AG43" s="60" t="s">
        <v>515</v>
      </c>
      <c r="AH43" s="14" t="s">
        <v>2143</v>
      </c>
      <c r="AI43" s="1">
        <v>12749.15</v>
      </c>
      <c r="AJ43" s="1">
        <v>1949.87</v>
      </c>
    </row>
    <row r="44" spans="1:36" ht="255" x14ac:dyDescent="0.25">
      <c r="A44" s="5">
        <f t="shared" si="7"/>
        <v>41</v>
      </c>
      <c r="B44" s="91">
        <v>135973</v>
      </c>
      <c r="C44" s="92">
        <v>820</v>
      </c>
      <c r="D44" s="41" t="s">
        <v>1981</v>
      </c>
      <c r="E44" s="101" t="s">
        <v>1700</v>
      </c>
      <c r="F44" s="94" t="s">
        <v>1846</v>
      </c>
      <c r="G44" s="94" t="s">
        <v>1508</v>
      </c>
      <c r="H44" s="95" t="s">
        <v>362</v>
      </c>
      <c r="I44" s="96" t="s">
        <v>1847</v>
      </c>
      <c r="J44" s="97">
        <v>44001</v>
      </c>
      <c r="K44" s="97">
        <v>44914</v>
      </c>
      <c r="L44" s="17">
        <f t="shared" si="0"/>
        <v>84.999999931972425</v>
      </c>
      <c r="M44" s="94">
        <v>6</v>
      </c>
      <c r="N44" s="94" t="s">
        <v>431</v>
      </c>
      <c r="O44" s="94" t="s">
        <v>1508</v>
      </c>
      <c r="P44" s="98" t="s">
        <v>174</v>
      </c>
      <c r="Q44" s="95" t="s">
        <v>1713</v>
      </c>
      <c r="R44" s="9">
        <f t="shared" si="21"/>
        <v>3123733.72</v>
      </c>
      <c r="S44" s="99">
        <v>3123733.72</v>
      </c>
      <c r="T44" s="99">
        <v>0</v>
      </c>
      <c r="U44" s="4">
        <f t="shared" si="2"/>
        <v>477747.51</v>
      </c>
      <c r="V44" s="100">
        <v>477747.51</v>
      </c>
      <c r="W44" s="100">
        <v>0</v>
      </c>
      <c r="X44" s="4">
        <f t="shared" si="8"/>
        <v>73499.62</v>
      </c>
      <c r="Y44" s="99">
        <v>73499.62</v>
      </c>
      <c r="Z44" s="99">
        <v>0</v>
      </c>
      <c r="AA44" s="9">
        <v>0</v>
      </c>
      <c r="AB44" s="9">
        <v>0</v>
      </c>
      <c r="AC44" s="9">
        <v>0</v>
      </c>
      <c r="AD44" s="45">
        <f t="shared" si="6"/>
        <v>3674980.8500000006</v>
      </c>
      <c r="AE44" s="9">
        <v>0</v>
      </c>
      <c r="AF44" s="9">
        <f t="shared" si="4"/>
        <v>3674980.8500000006</v>
      </c>
      <c r="AG44" s="60" t="s">
        <v>515</v>
      </c>
      <c r="AH44" s="14" t="s">
        <v>362</v>
      </c>
      <c r="AI44" s="1">
        <v>2528.75</v>
      </c>
      <c r="AJ44" s="1">
        <v>386.75</v>
      </c>
    </row>
    <row r="45" spans="1:36" s="102" customFormat="1" ht="141.75" x14ac:dyDescent="0.25">
      <c r="A45" s="5">
        <f t="shared" si="7"/>
        <v>42</v>
      </c>
      <c r="B45" s="16">
        <v>120599</v>
      </c>
      <c r="C45" s="5">
        <v>75</v>
      </c>
      <c r="D45" s="41" t="s">
        <v>1981</v>
      </c>
      <c r="E45" s="18" t="s">
        <v>278</v>
      </c>
      <c r="F45" s="19" t="s">
        <v>204</v>
      </c>
      <c r="G45" s="5" t="s">
        <v>205</v>
      </c>
      <c r="H45" s="5" t="s">
        <v>151</v>
      </c>
      <c r="I45" s="19" t="s">
        <v>750</v>
      </c>
      <c r="J45" s="2">
        <v>43145</v>
      </c>
      <c r="K45" s="2">
        <v>43813</v>
      </c>
      <c r="L45" s="17">
        <f t="shared" si="0"/>
        <v>84.999998786570643</v>
      </c>
      <c r="M45" s="5">
        <v>6</v>
      </c>
      <c r="N45" s="8" t="s">
        <v>219</v>
      </c>
      <c r="O45" s="8" t="s">
        <v>206</v>
      </c>
      <c r="P45" s="19" t="s">
        <v>174</v>
      </c>
      <c r="Q45" s="8" t="s">
        <v>34</v>
      </c>
      <c r="R45" s="9">
        <f t="shared" ref="R45:R50" si="22">S45+T45</f>
        <v>350247</v>
      </c>
      <c r="S45" s="9">
        <v>350247</v>
      </c>
      <c r="T45" s="9">
        <v>0</v>
      </c>
      <c r="U45" s="4">
        <f t="shared" si="2"/>
        <v>53567.19</v>
      </c>
      <c r="V45" s="74">
        <v>53567.19</v>
      </c>
      <c r="W45" s="86">
        <v>0</v>
      </c>
      <c r="X45" s="4">
        <f t="shared" si="8"/>
        <v>8241.11</v>
      </c>
      <c r="Y45" s="89">
        <v>8241.11</v>
      </c>
      <c r="Z45" s="4">
        <v>0</v>
      </c>
      <c r="AA45" s="9">
        <v>0</v>
      </c>
      <c r="AB45" s="9">
        <v>0</v>
      </c>
      <c r="AC45" s="9">
        <v>0</v>
      </c>
      <c r="AD45" s="45">
        <f t="shared" si="6"/>
        <v>412055.3</v>
      </c>
      <c r="AE45" s="9">
        <v>0</v>
      </c>
      <c r="AF45" s="9">
        <f t="shared" ref="AF45:AF48" si="23">AD45+AE45</f>
        <v>412055.3</v>
      </c>
      <c r="AG45" s="50" t="s">
        <v>966</v>
      </c>
      <c r="AH45" s="14" t="s">
        <v>1290</v>
      </c>
      <c r="AI45" s="1">
        <v>299284.74</v>
      </c>
      <c r="AJ45" s="1">
        <v>45772.95</v>
      </c>
    </row>
    <row r="46" spans="1:36" s="102" customFormat="1" ht="141.75" x14ac:dyDescent="0.25">
      <c r="A46" s="5">
        <f t="shared" si="7"/>
        <v>43</v>
      </c>
      <c r="B46" s="16">
        <v>128636</v>
      </c>
      <c r="C46" s="5">
        <v>687</v>
      </c>
      <c r="D46" s="41" t="s">
        <v>1981</v>
      </c>
      <c r="E46" s="18" t="s">
        <v>1246</v>
      </c>
      <c r="F46" s="7" t="s">
        <v>1539</v>
      </c>
      <c r="G46" s="5" t="s">
        <v>205</v>
      </c>
      <c r="H46" s="5" t="s">
        <v>151</v>
      </c>
      <c r="I46" s="19" t="s">
        <v>1540</v>
      </c>
      <c r="J46" s="2">
        <v>43739</v>
      </c>
      <c r="K46" s="2">
        <v>44287</v>
      </c>
      <c r="L46" s="17">
        <f t="shared" si="0"/>
        <v>85</v>
      </c>
      <c r="M46" s="5">
        <v>6</v>
      </c>
      <c r="N46" s="8" t="s">
        <v>219</v>
      </c>
      <c r="O46" s="8" t="s">
        <v>206</v>
      </c>
      <c r="P46" s="19" t="s">
        <v>174</v>
      </c>
      <c r="Q46" s="8" t="s">
        <v>34</v>
      </c>
      <c r="R46" s="9">
        <f t="shared" si="22"/>
        <v>1364282.3</v>
      </c>
      <c r="S46" s="9">
        <v>1364282.3</v>
      </c>
      <c r="T46" s="9">
        <v>0</v>
      </c>
      <c r="U46" s="4">
        <f t="shared" si="2"/>
        <v>208654.94</v>
      </c>
      <c r="V46" s="74">
        <v>208654.94</v>
      </c>
      <c r="W46" s="86">
        <v>0</v>
      </c>
      <c r="X46" s="4">
        <f t="shared" si="8"/>
        <v>32100.76</v>
      </c>
      <c r="Y46" s="89">
        <v>32100.76</v>
      </c>
      <c r="Z46" s="4">
        <v>0</v>
      </c>
      <c r="AA46" s="9">
        <v>0</v>
      </c>
      <c r="AB46" s="9">
        <v>0</v>
      </c>
      <c r="AC46" s="9">
        <v>0</v>
      </c>
      <c r="AD46" s="45">
        <f t="shared" si="6"/>
        <v>1605038</v>
      </c>
      <c r="AE46" s="9">
        <v>0</v>
      </c>
      <c r="AF46" s="9">
        <f t="shared" si="23"/>
        <v>1605038</v>
      </c>
      <c r="AG46" s="60" t="s">
        <v>966</v>
      </c>
      <c r="AH46" s="14" t="s">
        <v>2085</v>
      </c>
      <c r="AI46" s="1">
        <f>50302.83+49799.8+40727.75+36651.15+171566.55+974297.03</f>
        <v>1323345.1099999999</v>
      </c>
      <c r="AJ46" s="1">
        <f>7693.37+7616.44+6228.95+5605.47+26239.59+149010.13</f>
        <v>202393.95</v>
      </c>
    </row>
    <row r="47" spans="1:36" s="102" customFormat="1" ht="204.75" x14ac:dyDescent="0.25">
      <c r="A47" s="5">
        <f t="shared" si="7"/>
        <v>44</v>
      </c>
      <c r="B47" s="16">
        <v>129687</v>
      </c>
      <c r="C47" s="5">
        <v>667</v>
      </c>
      <c r="D47" s="41" t="s">
        <v>1981</v>
      </c>
      <c r="E47" s="90" t="s">
        <v>1246</v>
      </c>
      <c r="F47" s="7" t="s">
        <v>1340</v>
      </c>
      <c r="G47" s="5" t="s">
        <v>1341</v>
      </c>
      <c r="H47" s="5" t="str">
        <f>$H$45</f>
        <v>n.a</v>
      </c>
      <c r="I47" s="19" t="s">
        <v>1339</v>
      </c>
      <c r="J47" s="2">
        <v>43654</v>
      </c>
      <c r="K47" s="2">
        <v>44508</v>
      </c>
      <c r="L47" s="17">
        <f t="shared" si="0"/>
        <v>85</v>
      </c>
      <c r="M47" s="5">
        <f>$M$45</f>
        <v>6</v>
      </c>
      <c r="N47" s="8" t="str">
        <f t="shared" ref="N47" si="24">N45</f>
        <v>Bistrița-Năsăud</v>
      </c>
      <c r="O47" s="8" t="str">
        <f>O45</f>
        <v>Bistrița</v>
      </c>
      <c r="P47" s="19" t="s">
        <v>174</v>
      </c>
      <c r="Q47" s="8" t="s">
        <v>34</v>
      </c>
      <c r="R47" s="9">
        <f t="shared" si="22"/>
        <v>2626630.9</v>
      </c>
      <c r="S47" s="9">
        <v>2626630.9</v>
      </c>
      <c r="T47" s="9">
        <v>0</v>
      </c>
      <c r="U47" s="4">
        <f t="shared" si="2"/>
        <v>401720.02</v>
      </c>
      <c r="V47" s="74">
        <v>401720.02</v>
      </c>
      <c r="W47" s="86">
        <v>0</v>
      </c>
      <c r="X47" s="4">
        <f t="shared" si="8"/>
        <v>61803.08</v>
      </c>
      <c r="Y47" s="89">
        <v>61803.08</v>
      </c>
      <c r="Z47" s="4">
        <v>0</v>
      </c>
      <c r="AA47" s="9">
        <v>0</v>
      </c>
      <c r="AB47" s="9">
        <v>0</v>
      </c>
      <c r="AC47" s="9">
        <v>0</v>
      </c>
      <c r="AD47" s="45">
        <f t="shared" si="6"/>
        <v>3090154</v>
      </c>
      <c r="AE47" s="9">
        <v>0</v>
      </c>
      <c r="AF47" s="9">
        <f t="shared" si="23"/>
        <v>3090154</v>
      </c>
      <c r="AG47" s="50" t="s">
        <v>1689</v>
      </c>
      <c r="AH47" s="14" t="s">
        <v>2178</v>
      </c>
      <c r="AI47" s="1">
        <f>71886.37+17000+26602.45+30668.85+392844.76+327144.99</f>
        <v>866147.41999999993</v>
      </c>
      <c r="AJ47" s="1">
        <f>10994.39+2600+4068.61+4690.53+60082.13+50033.94</f>
        <v>132469.6</v>
      </c>
    </row>
    <row r="48" spans="1:36" s="102" customFormat="1" ht="180" x14ac:dyDescent="0.25">
      <c r="A48" s="5">
        <f t="shared" si="7"/>
        <v>45</v>
      </c>
      <c r="B48" s="62">
        <v>135977</v>
      </c>
      <c r="C48" s="63">
        <v>766</v>
      </c>
      <c r="D48" s="41" t="s">
        <v>1981</v>
      </c>
      <c r="E48" s="83" t="s">
        <v>1700</v>
      </c>
      <c r="F48" s="63" t="s">
        <v>1784</v>
      </c>
      <c r="G48" s="5" t="s">
        <v>205</v>
      </c>
      <c r="H48" s="63" t="s">
        <v>151</v>
      </c>
      <c r="I48" s="103" t="s">
        <v>1785</v>
      </c>
      <c r="J48" s="64">
        <v>43973</v>
      </c>
      <c r="K48" s="64">
        <v>44826</v>
      </c>
      <c r="L48" s="17">
        <f t="shared" si="0"/>
        <v>84.99999942527073</v>
      </c>
      <c r="M48" s="63">
        <v>6</v>
      </c>
      <c r="N48" s="63" t="s">
        <v>1786</v>
      </c>
      <c r="O48" s="63" t="s">
        <v>1787</v>
      </c>
      <c r="P48" s="66" t="s">
        <v>174</v>
      </c>
      <c r="Q48" s="63" t="s">
        <v>34</v>
      </c>
      <c r="R48" s="9">
        <f t="shared" si="22"/>
        <v>665530.76</v>
      </c>
      <c r="S48" s="67">
        <v>665530.76</v>
      </c>
      <c r="T48" s="67">
        <v>0</v>
      </c>
      <c r="U48" s="4">
        <f t="shared" si="2"/>
        <v>101787.06</v>
      </c>
      <c r="V48" s="69">
        <v>101787.06</v>
      </c>
      <c r="W48" s="69">
        <v>0</v>
      </c>
      <c r="X48" s="4">
        <f t="shared" si="8"/>
        <v>15659.55</v>
      </c>
      <c r="Y48" s="67">
        <v>15659.55</v>
      </c>
      <c r="Z48" s="67">
        <v>0</v>
      </c>
      <c r="AA48" s="9">
        <v>0</v>
      </c>
      <c r="AB48" s="9">
        <v>0</v>
      </c>
      <c r="AC48" s="9">
        <v>0</v>
      </c>
      <c r="AD48" s="45">
        <f t="shared" si="6"/>
        <v>782977.37000000011</v>
      </c>
      <c r="AE48" s="9">
        <v>0</v>
      </c>
      <c r="AF48" s="9">
        <f t="shared" si="23"/>
        <v>782977.37000000011</v>
      </c>
      <c r="AG48" s="50" t="s">
        <v>1689</v>
      </c>
      <c r="AH48" s="14" t="s">
        <v>2199</v>
      </c>
      <c r="AI48" s="1">
        <f>35945.1+78297.73-9685.65</f>
        <v>104557.18</v>
      </c>
      <c r="AJ48" s="1">
        <f>5497.48+9685.65</f>
        <v>15183.13</v>
      </c>
    </row>
    <row r="49" spans="1:37" ht="291" customHeight="1" x14ac:dyDescent="0.25">
      <c r="A49" s="5">
        <f t="shared" si="7"/>
        <v>46</v>
      </c>
      <c r="B49" s="70">
        <v>119593</v>
      </c>
      <c r="C49" s="6">
        <v>467</v>
      </c>
      <c r="D49" s="41" t="s">
        <v>1981</v>
      </c>
      <c r="E49" s="8" t="s">
        <v>474</v>
      </c>
      <c r="F49" s="8" t="s">
        <v>691</v>
      </c>
      <c r="G49" s="5" t="s">
        <v>692</v>
      </c>
      <c r="H49" s="6" t="s">
        <v>284</v>
      </c>
      <c r="I49" s="8" t="s">
        <v>693</v>
      </c>
      <c r="J49" s="2">
        <v>43293</v>
      </c>
      <c r="K49" s="2">
        <v>43811</v>
      </c>
      <c r="L49" s="17">
        <f t="shared" si="0"/>
        <v>84.262029230668674</v>
      </c>
      <c r="M49" s="5">
        <v>1</v>
      </c>
      <c r="N49" s="5" t="s">
        <v>482</v>
      </c>
      <c r="O49" s="5" t="s">
        <v>694</v>
      </c>
      <c r="P49" s="5" t="s">
        <v>174</v>
      </c>
      <c r="Q49" s="5" t="s">
        <v>34</v>
      </c>
      <c r="R49" s="4">
        <f t="shared" ref="R49" si="25">S49+T49</f>
        <v>349239.24</v>
      </c>
      <c r="S49" s="1">
        <v>349239.24</v>
      </c>
      <c r="T49" s="9">
        <v>0</v>
      </c>
      <c r="U49" s="4">
        <f t="shared" si="2"/>
        <v>56939.5</v>
      </c>
      <c r="V49" s="74">
        <v>56939.5</v>
      </c>
      <c r="W49" s="54">
        <v>0</v>
      </c>
      <c r="X49" s="4">
        <f t="shared" si="8"/>
        <v>4690.93</v>
      </c>
      <c r="Y49" s="1">
        <v>4690.93</v>
      </c>
      <c r="Z49" s="1">
        <v>0</v>
      </c>
      <c r="AA49" s="9">
        <f t="shared" ref="AA49" si="26">AB49+AC49</f>
        <v>3598.44</v>
      </c>
      <c r="AB49" s="9">
        <v>3598.44</v>
      </c>
      <c r="AC49" s="9">
        <v>0</v>
      </c>
      <c r="AD49" s="45">
        <f t="shared" si="6"/>
        <v>414468.11</v>
      </c>
      <c r="AE49" s="12"/>
      <c r="AF49" s="9">
        <f t="shared" ref="AF49" si="27">AD49+AE49</f>
        <v>414468.11</v>
      </c>
      <c r="AG49" s="50" t="s">
        <v>966</v>
      </c>
      <c r="AH49" s="12"/>
      <c r="AI49" s="1">
        <v>304992.26</v>
      </c>
      <c r="AJ49" s="1">
        <v>49408.55</v>
      </c>
    </row>
    <row r="50" spans="1:37" ht="215.25" customHeight="1" x14ac:dyDescent="0.25">
      <c r="A50" s="5">
        <f t="shared" si="7"/>
        <v>47</v>
      </c>
      <c r="B50" s="16">
        <v>118690</v>
      </c>
      <c r="C50" s="5">
        <v>433</v>
      </c>
      <c r="D50" s="8" t="s">
        <v>1982</v>
      </c>
      <c r="E50" s="8" t="s">
        <v>540</v>
      </c>
      <c r="F50" s="8" t="s">
        <v>867</v>
      </c>
      <c r="G50" s="5" t="s">
        <v>692</v>
      </c>
      <c r="H50" s="5" t="s">
        <v>876</v>
      </c>
      <c r="I50" s="8" t="s">
        <v>868</v>
      </c>
      <c r="J50" s="2">
        <v>43333</v>
      </c>
      <c r="K50" s="2">
        <v>43790</v>
      </c>
      <c r="L50" s="17">
        <f t="shared" si="0"/>
        <v>84.169367233766351</v>
      </c>
      <c r="M50" s="5">
        <v>1</v>
      </c>
      <c r="N50" s="5" t="s">
        <v>694</v>
      </c>
      <c r="O50" s="5" t="s">
        <v>694</v>
      </c>
      <c r="P50" s="5" t="s">
        <v>174</v>
      </c>
      <c r="Q50" s="5" t="s">
        <v>869</v>
      </c>
      <c r="R50" s="9">
        <f t="shared" si="22"/>
        <v>242198.44</v>
      </c>
      <c r="S50" s="1">
        <v>242198.44</v>
      </c>
      <c r="T50" s="11">
        <v>0</v>
      </c>
      <c r="U50" s="4">
        <f t="shared" si="2"/>
        <v>39797.81</v>
      </c>
      <c r="V50" s="74">
        <v>39797.81</v>
      </c>
      <c r="W50" s="74">
        <v>0</v>
      </c>
      <c r="X50" s="4">
        <f t="shared" si="8"/>
        <v>5755.04</v>
      </c>
      <c r="Y50" s="1">
        <v>5755.04</v>
      </c>
      <c r="Z50" s="1">
        <v>0</v>
      </c>
      <c r="AA50" s="9">
        <v>0</v>
      </c>
      <c r="AB50" s="11">
        <v>0</v>
      </c>
      <c r="AC50" s="11">
        <v>0</v>
      </c>
      <c r="AD50" s="45">
        <f t="shared" si="6"/>
        <v>287751.28999999998</v>
      </c>
      <c r="AE50" s="12"/>
      <c r="AF50" s="9">
        <f t="shared" ref="AF50" si="28">AD50+AE50</f>
        <v>287751.28999999998</v>
      </c>
      <c r="AG50" s="50" t="s">
        <v>966</v>
      </c>
      <c r="AH50" s="12"/>
      <c r="AI50" s="1">
        <v>204673.28999999998</v>
      </c>
      <c r="AJ50" s="1">
        <v>33582.770000000004</v>
      </c>
    </row>
    <row r="51" spans="1:37" ht="141.75" x14ac:dyDescent="0.25">
      <c r="A51" s="5">
        <f t="shared" si="7"/>
        <v>48</v>
      </c>
      <c r="B51" s="70">
        <v>126412</v>
      </c>
      <c r="C51" s="6">
        <v>553</v>
      </c>
      <c r="D51" s="41" t="s">
        <v>1981</v>
      </c>
      <c r="E51" s="8" t="s">
        <v>1018</v>
      </c>
      <c r="F51" s="8" t="s">
        <v>1199</v>
      </c>
      <c r="G51" s="5" t="s">
        <v>1200</v>
      </c>
      <c r="H51" s="6" t="s">
        <v>299</v>
      </c>
      <c r="I51" s="8" t="s">
        <v>1201</v>
      </c>
      <c r="J51" s="2">
        <v>43564</v>
      </c>
      <c r="K51" s="2">
        <v>44386</v>
      </c>
      <c r="L51" s="17">
        <f t="shared" si="0"/>
        <v>85.000000068999867</v>
      </c>
      <c r="M51" s="6">
        <v>1</v>
      </c>
      <c r="N51" s="5" t="s">
        <v>694</v>
      </c>
      <c r="O51" s="5" t="s">
        <v>694</v>
      </c>
      <c r="P51" s="5" t="s">
        <v>174</v>
      </c>
      <c r="Q51" s="5" t="s">
        <v>34</v>
      </c>
      <c r="R51" s="9">
        <f>S51+T51</f>
        <v>2463772.67</v>
      </c>
      <c r="S51" s="1">
        <v>2463772.67</v>
      </c>
      <c r="T51" s="11">
        <v>0</v>
      </c>
      <c r="U51" s="4">
        <f t="shared" si="2"/>
        <v>376812.29</v>
      </c>
      <c r="V51" s="74">
        <v>376812.29</v>
      </c>
      <c r="W51" s="74">
        <v>0</v>
      </c>
      <c r="X51" s="4">
        <f t="shared" si="8"/>
        <v>57971.12</v>
      </c>
      <c r="Y51" s="1">
        <v>57971.12</v>
      </c>
      <c r="Z51" s="1">
        <v>0</v>
      </c>
      <c r="AA51" s="9">
        <v>0</v>
      </c>
      <c r="AB51" s="11">
        <v>0</v>
      </c>
      <c r="AC51" s="11">
        <v>0</v>
      </c>
      <c r="AD51" s="45">
        <f t="shared" si="6"/>
        <v>2898556.08</v>
      </c>
      <c r="AE51" s="12"/>
      <c r="AF51" s="9">
        <f>AD51+AE51</f>
        <v>2898556.08</v>
      </c>
      <c r="AG51" s="50" t="s">
        <v>966</v>
      </c>
      <c r="AH51" s="60" t="s">
        <v>2146</v>
      </c>
      <c r="AI51" s="1">
        <f>154953.36+31847.8+249699.67+1140494.35+32440.25+355467.67+474477.07</f>
        <v>2439380.17</v>
      </c>
      <c r="AJ51" s="1">
        <f>23698.73+4870.84+38189.36+174428.55+4961.45+54365.65+72567.08</f>
        <v>373081.66000000003</v>
      </c>
    </row>
    <row r="52" spans="1:37" ht="239.25" customHeight="1" x14ac:dyDescent="0.25">
      <c r="A52" s="5">
        <f t="shared" si="7"/>
        <v>49</v>
      </c>
      <c r="B52" s="16">
        <v>128790</v>
      </c>
      <c r="C52" s="70">
        <v>644</v>
      </c>
      <c r="D52" s="41" t="s">
        <v>1981</v>
      </c>
      <c r="E52" s="18" t="s">
        <v>1246</v>
      </c>
      <c r="F52" s="32" t="s">
        <v>1284</v>
      </c>
      <c r="G52" s="5" t="s">
        <v>692</v>
      </c>
      <c r="H52" s="6" t="s">
        <v>151</v>
      </c>
      <c r="I52" s="42" t="s">
        <v>1288</v>
      </c>
      <c r="J52" s="2">
        <v>43629</v>
      </c>
      <c r="K52" s="2">
        <v>44482</v>
      </c>
      <c r="L52" s="17">
        <f t="shared" si="0"/>
        <v>85.000000118502641</v>
      </c>
      <c r="M52" s="3">
        <v>1</v>
      </c>
      <c r="N52" s="5" t="s">
        <v>1286</v>
      </c>
      <c r="O52" s="5" t="s">
        <v>694</v>
      </c>
      <c r="P52" s="28" t="s">
        <v>174</v>
      </c>
      <c r="Q52" s="5" t="s">
        <v>34</v>
      </c>
      <c r="R52" s="9">
        <f>S52+T52</f>
        <v>2510492.42</v>
      </c>
      <c r="S52" s="1">
        <v>2510492.42</v>
      </c>
      <c r="T52" s="11">
        <v>0</v>
      </c>
      <c r="U52" s="4">
        <f t="shared" si="2"/>
        <v>383957.66</v>
      </c>
      <c r="V52" s="74">
        <v>383957.66</v>
      </c>
      <c r="W52" s="74">
        <v>0</v>
      </c>
      <c r="X52" s="4">
        <f t="shared" si="8"/>
        <v>59070.41</v>
      </c>
      <c r="Y52" s="1">
        <v>59070.41</v>
      </c>
      <c r="Z52" s="1">
        <v>0</v>
      </c>
      <c r="AA52" s="9">
        <v>0</v>
      </c>
      <c r="AB52" s="11">
        <v>0</v>
      </c>
      <c r="AC52" s="11">
        <v>0</v>
      </c>
      <c r="AD52" s="45">
        <f t="shared" si="6"/>
        <v>2953520.49</v>
      </c>
      <c r="AE52" s="11">
        <v>0</v>
      </c>
      <c r="AF52" s="9">
        <f>AD52+AE52</f>
        <v>2953520.49</v>
      </c>
      <c r="AG52" s="60" t="s">
        <v>515</v>
      </c>
      <c r="AH52" s="14"/>
      <c r="AI52" s="1">
        <f>25513.52+216514.86-3202.29-3349.26-3120.39+21498.34</f>
        <v>253854.77999999994</v>
      </c>
      <c r="AJ52" s="1">
        <f>3202.29+3349.26+3120.39+29152.92</f>
        <v>38824.86</v>
      </c>
    </row>
    <row r="53" spans="1:37" ht="239.25" customHeight="1" x14ac:dyDescent="0.25">
      <c r="A53" s="5">
        <f t="shared" si="7"/>
        <v>50</v>
      </c>
      <c r="B53" s="16">
        <v>136104</v>
      </c>
      <c r="C53" s="70">
        <v>848</v>
      </c>
      <c r="D53" s="41" t="s">
        <v>1981</v>
      </c>
      <c r="E53" s="18" t="s">
        <v>1700</v>
      </c>
      <c r="F53" s="32" t="s">
        <v>1835</v>
      </c>
      <c r="G53" s="5" t="s">
        <v>1836</v>
      </c>
      <c r="H53" s="6" t="s">
        <v>1837</v>
      </c>
      <c r="I53" s="42" t="s">
        <v>1838</v>
      </c>
      <c r="J53" s="2">
        <v>43998</v>
      </c>
      <c r="K53" s="2">
        <v>44850</v>
      </c>
      <c r="L53" s="17">
        <f t="shared" si="0"/>
        <v>84.490458053736376</v>
      </c>
      <c r="M53" s="3">
        <v>1</v>
      </c>
      <c r="N53" s="5" t="s">
        <v>1286</v>
      </c>
      <c r="O53" s="5" t="s">
        <v>1839</v>
      </c>
      <c r="P53" s="28" t="s">
        <v>174</v>
      </c>
      <c r="Q53" s="5" t="s">
        <v>34</v>
      </c>
      <c r="R53" s="9">
        <f>S53+T53</f>
        <v>3017836.94</v>
      </c>
      <c r="S53" s="1">
        <v>3017836.94</v>
      </c>
      <c r="T53" s="11">
        <v>0</v>
      </c>
      <c r="U53" s="4">
        <f t="shared" si="2"/>
        <v>482534.9</v>
      </c>
      <c r="V53" s="74">
        <v>482534.9</v>
      </c>
      <c r="W53" s="74">
        <v>0</v>
      </c>
      <c r="X53" s="4">
        <f t="shared" si="8"/>
        <v>50024.56</v>
      </c>
      <c r="Y53" s="1">
        <v>50024.56</v>
      </c>
      <c r="Z53" s="1">
        <v>0</v>
      </c>
      <c r="AA53" s="9">
        <f>AB53+AC53</f>
        <v>21411.599999999999</v>
      </c>
      <c r="AB53" s="11">
        <v>21411.599999999999</v>
      </c>
      <c r="AC53" s="11">
        <v>0</v>
      </c>
      <c r="AD53" s="45">
        <f t="shared" si="6"/>
        <v>3571808</v>
      </c>
      <c r="AE53" s="11">
        <v>0</v>
      </c>
      <c r="AF53" s="9">
        <f>AD53+AE53</f>
        <v>3571808</v>
      </c>
      <c r="AG53" s="60" t="s">
        <v>515</v>
      </c>
      <c r="AH53" s="14"/>
      <c r="AI53" s="1">
        <f>107058-9939.36+357180.79+4714.77+107058</f>
        <v>566072.19999999995</v>
      </c>
      <c r="AJ53" s="1">
        <f>17138.58+19724.61</f>
        <v>36863.19</v>
      </c>
    </row>
    <row r="54" spans="1:37" ht="187.5" customHeight="1" x14ac:dyDescent="0.25">
      <c r="A54" s="5">
        <f t="shared" si="7"/>
        <v>51</v>
      </c>
      <c r="B54" s="16">
        <v>135796</v>
      </c>
      <c r="C54" s="70">
        <v>830</v>
      </c>
      <c r="D54" s="41" t="s">
        <v>1981</v>
      </c>
      <c r="E54" s="18" t="s">
        <v>1700</v>
      </c>
      <c r="F54" s="32" t="s">
        <v>1848</v>
      </c>
      <c r="G54" s="5" t="s">
        <v>692</v>
      </c>
      <c r="H54" s="6" t="s">
        <v>362</v>
      </c>
      <c r="I54" s="42" t="s">
        <v>1849</v>
      </c>
      <c r="J54" s="2">
        <v>44001</v>
      </c>
      <c r="K54" s="2">
        <v>44853</v>
      </c>
      <c r="L54" s="17">
        <f t="shared" si="0"/>
        <v>85.000000085834074</v>
      </c>
      <c r="M54" s="3">
        <v>1</v>
      </c>
      <c r="N54" s="5" t="s">
        <v>1286</v>
      </c>
      <c r="O54" s="5" t="s">
        <v>692</v>
      </c>
      <c r="P54" s="28" t="s">
        <v>174</v>
      </c>
      <c r="Q54" s="5" t="s">
        <v>34</v>
      </c>
      <c r="R54" s="9">
        <f>S54+T54</f>
        <v>2475707.2400000002</v>
      </c>
      <c r="S54" s="1">
        <v>2475707.2400000002</v>
      </c>
      <c r="T54" s="11">
        <v>0</v>
      </c>
      <c r="U54" s="4">
        <f t="shared" si="2"/>
        <v>378637.57</v>
      </c>
      <c r="V54" s="74">
        <v>378637.57</v>
      </c>
      <c r="W54" s="74">
        <v>0</v>
      </c>
      <c r="X54" s="4">
        <f t="shared" si="8"/>
        <v>58251.94</v>
      </c>
      <c r="Y54" s="1">
        <v>58251.94</v>
      </c>
      <c r="Z54" s="1">
        <v>0</v>
      </c>
      <c r="AA54" s="9">
        <f>AB54+AC54</f>
        <v>0</v>
      </c>
      <c r="AB54" s="11">
        <v>0</v>
      </c>
      <c r="AC54" s="11">
        <v>0</v>
      </c>
      <c r="AD54" s="45">
        <f t="shared" si="6"/>
        <v>2912596.75</v>
      </c>
      <c r="AE54" s="11">
        <v>0</v>
      </c>
      <c r="AF54" s="9">
        <f>AD54+AE54</f>
        <v>2912596.75</v>
      </c>
      <c r="AG54" s="60" t="s">
        <v>515</v>
      </c>
      <c r="AH54" s="14"/>
      <c r="AI54" s="1">
        <f>30000-3959.41</f>
        <v>26040.59</v>
      </c>
      <c r="AJ54" s="1">
        <v>3959.41</v>
      </c>
    </row>
    <row r="55" spans="1:37" ht="173.25" x14ac:dyDescent="0.25">
      <c r="A55" s="5">
        <f t="shared" si="7"/>
        <v>52</v>
      </c>
      <c r="B55" s="5">
        <v>120555</v>
      </c>
      <c r="C55" s="6">
        <v>93</v>
      </c>
      <c r="D55" s="41" t="s">
        <v>1981</v>
      </c>
      <c r="E55" s="18" t="s">
        <v>278</v>
      </c>
      <c r="F55" s="18" t="s">
        <v>345</v>
      </c>
      <c r="G55" s="5" t="s">
        <v>344</v>
      </c>
      <c r="H55" s="3" t="s">
        <v>346</v>
      </c>
      <c r="I55" s="42" t="s">
        <v>347</v>
      </c>
      <c r="J55" s="2">
        <v>43208</v>
      </c>
      <c r="K55" s="2">
        <v>43817</v>
      </c>
      <c r="L55" s="17">
        <f t="shared" si="0"/>
        <v>84.163181877958579</v>
      </c>
      <c r="M55" s="5">
        <v>2</v>
      </c>
      <c r="N55" s="5" t="s">
        <v>367</v>
      </c>
      <c r="O55" s="5" t="s">
        <v>367</v>
      </c>
      <c r="P55" s="3" t="s">
        <v>174</v>
      </c>
      <c r="Q55" s="5" t="s">
        <v>34</v>
      </c>
      <c r="R55" s="4">
        <f t="shared" ref="R55:R59" si="29">S55+T55</f>
        <v>356789.4</v>
      </c>
      <c r="S55" s="9">
        <v>356789.4</v>
      </c>
      <c r="T55" s="9">
        <v>0</v>
      </c>
      <c r="U55" s="4">
        <f t="shared" si="2"/>
        <v>58657.85</v>
      </c>
      <c r="V55" s="54">
        <v>58657.85</v>
      </c>
      <c r="W55" s="54">
        <v>0</v>
      </c>
      <c r="X55" s="4">
        <f t="shared" si="8"/>
        <v>4304.97</v>
      </c>
      <c r="Y55" s="9">
        <v>4304.97</v>
      </c>
      <c r="Z55" s="9">
        <v>0</v>
      </c>
      <c r="AA55" s="9">
        <f t="shared" ref="AA55:AA57" si="30">AB55+AC55</f>
        <v>4173.53</v>
      </c>
      <c r="AB55" s="9">
        <v>4173.53</v>
      </c>
      <c r="AC55" s="9">
        <v>0</v>
      </c>
      <c r="AD55" s="45">
        <f t="shared" si="6"/>
        <v>423925.75</v>
      </c>
      <c r="AE55" s="9">
        <v>0</v>
      </c>
      <c r="AF55" s="9">
        <f t="shared" ref="AF55:AF57" si="31">AD55+AE55</f>
        <v>423925.75</v>
      </c>
      <c r="AG55" s="60" t="s">
        <v>966</v>
      </c>
      <c r="AH55" s="60" t="s">
        <v>1587</v>
      </c>
      <c r="AI55" s="1">
        <v>331987.39999999997</v>
      </c>
      <c r="AJ55" s="1">
        <v>54793.37</v>
      </c>
    </row>
    <row r="56" spans="1:37" ht="141.75" x14ac:dyDescent="0.25">
      <c r="A56" s="5">
        <f t="shared" si="7"/>
        <v>53</v>
      </c>
      <c r="B56" s="5">
        <v>119189</v>
      </c>
      <c r="C56" s="6">
        <v>466</v>
      </c>
      <c r="D56" s="41" t="s">
        <v>1981</v>
      </c>
      <c r="E56" s="5" t="s">
        <v>474</v>
      </c>
      <c r="F56" s="5" t="s">
        <v>607</v>
      </c>
      <c r="G56" s="5" t="s">
        <v>711</v>
      </c>
      <c r="H56" s="5" t="s">
        <v>151</v>
      </c>
      <c r="I56" s="42" t="s">
        <v>710</v>
      </c>
      <c r="J56" s="2">
        <v>43278</v>
      </c>
      <c r="K56" s="2">
        <v>43765</v>
      </c>
      <c r="L56" s="17">
        <f t="shared" si="0"/>
        <v>85.000000991333039</v>
      </c>
      <c r="M56" s="5">
        <v>2</v>
      </c>
      <c r="N56" s="5" t="s">
        <v>367</v>
      </c>
      <c r="O56" s="5" t="s">
        <v>367</v>
      </c>
      <c r="P56" s="3" t="s">
        <v>174</v>
      </c>
      <c r="Q56" s="5" t="s">
        <v>34</v>
      </c>
      <c r="R56" s="4">
        <f t="shared" si="29"/>
        <v>514458.8</v>
      </c>
      <c r="S56" s="9">
        <v>514458.8</v>
      </c>
      <c r="T56" s="9">
        <v>0</v>
      </c>
      <c r="U56" s="4">
        <f t="shared" si="2"/>
        <v>78681.929999999978</v>
      </c>
      <c r="V56" s="54">
        <v>78681.929999999978</v>
      </c>
      <c r="W56" s="54">
        <v>0</v>
      </c>
      <c r="X56" s="4">
        <f t="shared" si="8"/>
        <v>12104.91</v>
      </c>
      <c r="Y56" s="9">
        <v>12104.91</v>
      </c>
      <c r="Z56" s="9">
        <v>0</v>
      </c>
      <c r="AA56" s="9">
        <f t="shared" si="30"/>
        <v>0</v>
      </c>
      <c r="AB56" s="9">
        <v>0</v>
      </c>
      <c r="AC56" s="9">
        <v>0</v>
      </c>
      <c r="AD56" s="45">
        <f t="shared" si="6"/>
        <v>605245.64</v>
      </c>
      <c r="AE56" s="9"/>
      <c r="AF56" s="9">
        <f t="shared" si="31"/>
        <v>605245.64</v>
      </c>
      <c r="AG56" s="50" t="s">
        <v>966</v>
      </c>
      <c r="AH56" s="14" t="s">
        <v>151</v>
      </c>
      <c r="AI56" s="1">
        <v>360382.24999999994</v>
      </c>
      <c r="AJ56" s="1">
        <v>55117.29</v>
      </c>
    </row>
    <row r="57" spans="1:37" ht="151.5" customHeight="1" x14ac:dyDescent="0.25">
      <c r="A57" s="5">
        <f t="shared" si="7"/>
        <v>54</v>
      </c>
      <c r="B57" s="5">
        <v>125782</v>
      </c>
      <c r="C57" s="6">
        <v>520</v>
      </c>
      <c r="D57" s="41" t="s">
        <v>1981</v>
      </c>
      <c r="E57" s="8" t="s">
        <v>1018</v>
      </c>
      <c r="F57" s="5" t="s">
        <v>1055</v>
      </c>
      <c r="G57" s="5" t="s">
        <v>711</v>
      </c>
      <c r="H57" s="5" t="s">
        <v>151</v>
      </c>
      <c r="I57" s="42" t="s">
        <v>1056</v>
      </c>
      <c r="J57" s="2">
        <v>43445</v>
      </c>
      <c r="K57" s="2">
        <v>44450</v>
      </c>
      <c r="L57" s="17">
        <f t="shared" si="0"/>
        <v>84.999999737203865</v>
      </c>
      <c r="M57" s="5">
        <v>2</v>
      </c>
      <c r="N57" s="5" t="s">
        <v>367</v>
      </c>
      <c r="O57" s="5" t="s">
        <v>367</v>
      </c>
      <c r="P57" s="3" t="s">
        <v>174</v>
      </c>
      <c r="Q57" s="5" t="s">
        <v>34</v>
      </c>
      <c r="R57" s="4">
        <f t="shared" si="29"/>
        <v>1132056.27</v>
      </c>
      <c r="S57" s="9">
        <v>1132056.27</v>
      </c>
      <c r="T57" s="9">
        <v>0</v>
      </c>
      <c r="U57" s="4">
        <f t="shared" si="2"/>
        <v>173138.02</v>
      </c>
      <c r="V57" s="54">
        <v>173138.02</v>
      </c>
      <c r="W57" s="54">
        <v>0</v>
      </c>
      <c r="X57" s="4">
        <f t="shared" si="8"/>
        <v>26636.62</v>
      </c>
      <c r="Y57" s="9">
        <v>26636.62</v>
      </c>
      <c r="Z57" s="1">
        <v>0</v>
      </c>
      <c r="AA57" s="9">
        <f t="shared" si="30"/>
        <v>0</v>
      </c>
      <c r="AB57" s="9">
        <v>0</v>
      </c>
      <c r="AC57" s="9">
        <v>0</v>
      </c>
      <c r="AD57" s="45">
        <f t="shared" si="6"/>
        <v>1331830.9100000001</v>
      </c>
      <c r="AE57" s="12"/>
      <c r="AF57" s="9">
        <f t="shared" si="31"/>
        <v>1331830.9100000001</v>
      </c>
      <c r="AG57" s="60" t="s">
        <v>515</v>
      </c>
      <c r="AH57" s="60" t="s">
        <v>2101</v>
      </c>
      <c r="AI57" s="1">
        <f>239963.16+228953.11</f>
        <v>468916.27</v>
      </c>
      <c r="AJ57" s="1">
        <f>36700.24+35016.36</f>
        <v>71716.600000000006</v>
      </c>
    </row>
    <row r="58" spans="1:37" ht="151.5" customHeight="1" x14ac:dyDescent="0.25">
      <c r="A58" s="5">
        <f t="shared" si="7"/>
        <v>55</v>
      </c>
      <c r="B58" s="5">
        <v>129167</v>
      </c>
      <c r="C58" s="6">
        <v>662</v>
      </c>
      <c r="D58" s="41" t="s">
        <v>1981</v>
      </c>
      <c r="E58" s="104" t="s">
        <v>1246</v>
      </c>
      <c r="F58" s="5" t="s">
        <v>1367</v>
      </c>
      <c r="G58" s="5" t="s">
        <v>344</v>
      </c>
      <c r="H58" s="5" t="s">
        <v>362</v>
      </c>
      <c r="I58" s="42" t="s">
        <v>1368</v>
      </c>
      <c r="J58" s="2">
        <v>43662</v>
      </c>
      <c r="K58" s="2">
        <v>44577</v>
      </c>
      <c r="L58" s="17">
        <f t="shared" si="0"/>
        <v>85.000000251461756</v>
      </c>
      <c r="M58" s="5">
        <v>2</v>
      </c>
      <c r="N58" s="5" t="s">
        <v>367</v>
      </c>
      <c r="O58" s="5" t="s">
        <v>367</v>
      </c>
      <c r="P58" s="3" t="s">
        <v>174</v>
      </c>
      <c r="Q58" s="5" t="s">
        <v>34</v>
      </c>
      <c r="R58" s="4">
        <f t="shared" si="29"/>
        <v>3211223.96</v>
      </c>
      <c r="S58" s="4">
        <v>3211223.96</v>
      </c>
      <c r="T58" s="9">
        <v>0</v>
      </c>
      <c r="U58" s="4">
        <f t="shared" si="2"/>
        <v>491128.16</v>
      </c>
      <c r="V58" s="54">
        <v>491128.16</v>
      </c>
      <c r="W58" s="54">
        <v>0</v>
      </c>
      <c r="X58" s="4">
        <f t="shared" si="8"/>
        <v>75558.41</v>
      </c>
      <c r="Y58" s="9">
        <v>75558.41</v>
      </c>
      <c r="Z58" s="1">
        <v>0</v>
      </c>
      <c r="AA58" s="9">
        <v>0</v>
      </c>
      <c r="AB58" s="9">
        <v>0</v>
      </c>
      <c r="AC58" s="9">
        <v>0</v>
      </c>
      <c r="AD58" s="45">
        <f t="shared" si="6"/>
        <v>3777910.5300000003</v>
      </c>
      <c r="AE58" s="12">
        <v>0</v>
      </c>
      <c r="AF58" s="9">
        <f>AD58+AE58</f>
        <v>3777910.5300000003</v>
      </c>
      <c r="AG58" s="60" t="s">
        <v>515</v>
      </c>
      <c r="AH58" s="60" t="s">
        <v>1921</v>
      </c>
      <c r="AI58" s="1">
        <f>7795.35+11297.44+29831.01+34402.13+65919.46</f>
        <v>149245.39000000001</v>
      </c>
      <c r="AJ58" s="1">
        <f>1192.23+1727.85+4562.37+5261.5+10081.79</f>
        <v>22825.74</v>
      </c>
    </row>
    <row r="59" spans="1:37" ht="151.5" customHeight="1" x14ac:dyDescent="0.25">
      <c r="A59" s="5">
        <f t="shared" si="7"/>
        <v>56</v>
      </c>
      <c r="B59" s="5">
        <v>135233</v>
      </c>
      <c r="C59" s="6">
        <v>825</v>
      </c>
      <c r="D59" s="41" t="s">
        <v>1981</v>
      </c>
      <c r="E59" s="83" t="s">
        <v>1700</v>
      </c>
      <c r="F59" s="5" t="s">
        <v>1873</v>
      </c>
      <c r="G59" s="5" t="s">
        <v>711</v>
      </c>
      <c r="H59" s="5" t="s">
        <v>362</v>
      </c>
      <c r="I59" s="42" t="s">
        <v>1874</v>
      </c>
      <c r="J59" s="2">
        <v>44014</v>
      </c>
      <c r="K59" s="2">
        <v>44744</v>
      </c>
      <c r="L59" s="17">
        <f t="shared" si="0"/>
        <v>85.000000166955815</v>
      </c>
      <c r="M59" s="5">
        <v>2</v>
      </c>
      <c r="N59" s="5" t="s">
        <v>367</v>
      </c>
      <c r="O59" s="5" t="s">
        <v>367</v>
      </c>
      <c r="P59" s="3" t="s">
        <v>174</v>
      </c>
      <c r="Q59" s="5" t="s">
        <v>34</v>
      </c>
      <c r="R59" s="4">
        <f t="shared" si="29"/>
        <v>2545583.83</v>
      </c>
      <c r="S59" s="4">
        <v>2545583.83</v>
      </c>
      <c r="T59" s="9">
        <v>0</v>
      </c>
      <c r="U59" s="4">
        <f t="shared" si="2"/>
        <v>389324.58</v>
      </c>
      <c r="V59" s="54">
        <v>389324.58</v>
      </c>
      <c r="W59" s="54">
        <v>0</v>
      </c>
      <c r="X59" s="4">
        <f t="shared" si="8"/>
        <v>59896.09</v>
      </c>
      <c r="Y59" s="9">
        <v>59896.09</v>
      </c>
      <c r="Z59" s="1">
        <v>0</v>
      </c>
      <c r="AA59" s="9">
        <v>0</v>
      </c>
      <c r="AB59" s="9">
        <v>0</v>
      </c>
      <c r="AC59" s="9">
        <v>0</v>
      </c>
      <c r="AD59" s="45">
        <f t="shared" si="6"/>
        <v>2994804.5</v>
      </c>
      <c r="AE59" s="12">
        <v>0</v>
      </c>
      <c r="AF59" s="9">
        <f>AD59+AE59</f>
        <v>2994804.5</v>
      </c>
      <c r="AG59" s="60" t="s">
        <v>515</v>
      </c>
      <c r="AH59" s="12"/>
      <c r="AI59" s="1">
        <v>64682.3</v>
      </c>
      <c r="AJ59" s="1">
        <v>9892.58</v>
      </c>
    </row>
    <row r="60" spans="1:37" ht="393.75" x14ac:dyDescent="0.25">
      <c r="A60" s="5">
        <f t="shared" si="7"/>
        <v>57</v>
      </c>
      <c r="B60" s="16">
        <v>111300</v>
      </c>
      <c r="C60" s="6">
        <v>123</v>
      </c>
      <c r="D60" s="41" t="s">
        <v>1981</v>
      </c>
      <c r="E60" s="18" t="s">
        <v>278</v>
      </c>
      <c r="F60" s="8" t="s">
        <v>224</v>
      </c>
      <c r="G60" s="5" t="s">
        <v>225</v>
      </c>
      <c r="H60" s="5" t="s">
        <v>151</v>
      </c>
      <c r="I60" s="61" t="s">
        <v>226</v>
      </c>
      <c r="J60" s="2">
        <v>43145</v>
      </c>
      <c r="K60" s="2">
        <v>43630</v>
      </c>
      <c r="L60" s="17">
        <f t="shared" si="0"/>
        <v>84.999999881712782</v>
      </c>
      <c r="M60" s="5">
        <v>7</v>
      </c>
      <c r="N60" s="5" t="s">
        <v>227</v>
      </c>
      <c r="O60" s="5" t="s">
        <v>228</v>
      </c>
      <c r="P60" s="3" t="s">
        <v>174</v>
      </c>
      <c r="Q60" s="5" t="s">
        <v>34</v>
      </c>
      <c r="R60" s="4">
        <f>S60+T60</f>
        <v>359294.94</v>
      </c>
      <c r="S60" s="72">
        <v>359294.94</v>
      </c>
      <c r="T60" s="4">
        <v>0</v>
      </c>
      <c r="U60" s="4">
        <f t="shared" si="2"/>
        <v>54950.99</v>
      </c>
      <c r="V60" s="85">
        <v>54950.99</v>
      </c>
      <c r="W60" s="54">
        <v>0</v>
      </c>
      <c r="X60" s="4">
        <f t="shared" si="8"/>
        <v>8454</v>
      </c>
      <c r="Y60" s="9">
        <v>8454</v>
      </c>
      <c r="Z60" s="9">
        <v>0</v>
      </c>
      <c r="AA60" s="9">
        <f t="shared" ref="AA60:AA73" si="32">AB60+AC60</f>
        <v>0</v>
      </c>
      <c r="AB60" s="105">
        <v>0</v>
      </c>
      <c r="AC60" s="105">
        <v>0</v>
      </c>
      <c r="AD60" s="45">
        <f t="shared" si="6"/>
        <v>422699.93</v>
      </c>
      <c r="AE60" s="9">
        <v>0</v>
      </c>
      <c r="AF60" s="9">
        <f>AD60+AE60</f>
        <v>422699.93</v>
      </c>
      <c r="AG60" s="50" t="s">
        <v>966</v>
      </c>
      <c r="AH60" s="14" t="s">
        <v>151</v>
      </c>
      <c r="AI60" s="1">
        <v>330029.05000000005</v>
      </c>
      <c r="AJ60" s="1">
        <v>50475.040000000001</v>
      </c>
      <c r="AK60" s="52"/>
    </row>
    <row r="61" spans="1:37" ht="166.5" customHeight="1" x14ac:dyDescent="0.25">
      <c r="A61" s="5">
        <f t="shared" si="7"/>
        <v>58</v>
      </c>
      <c r="B61" s="16">
        <v>110505</v>
      </c>
      <c r="C61" s="6">
        <v>125</v>
      </c>
      <c r="D61" s="41" t="s">
        <v>1981</v>
      </c>
      <c r="E61" s="18" t="s">
        <v>278</v>
      </c>
      <c r="F61" s="8" t="s">
        <v>263</v>
      </c>
      <c r="G61" s="5" t="s">
        <v>1490</v>
      </c>
      <c r="H61" s="5" t="s">
        <v>151</v>
      </c>
      <c r="I61" s="42" t="s">
        <v>266</v>
      </c>
      <c r="J61" s="2">
        <v>43173</v>
      </c>
      <c r="K61" s="2">
        <v>43660</v>
      </c>
      <c r="L61" s="17">
        <f t="shared" si="0"/>
        <v>84.99999981945335</v>
      </c>
      <c r="M61" s="5">
        <v>7</v>
      </c>
      <c r="N61" s="5" t="s">
        <v>227</v>
      </c>
      <c r="O61" s="5" t="s">
        <v>227</v>
      </c>
      <c r="P61" s="3" t="s">
        <v>174</v>
      </c>
      <c r="Q61" s="5" t="s">
        <v>34</v>
      </c>
      <c r="R61" s="4">
        <f>S61+T61</f>
        <v>470792.44</v>
      </c>
      <c r="S61" s="9">
        <v>470792.44</v>
      </c>
      <c r="T61" s="9">
        <v>0</v>
      </c>
      <c r="U61" s="4">
        <f t="shared" si="2"/>
        <v>72003.55</v>
      </c>
      <c r="V61" s="54">
        <v>72003.55</v>
      </c>
      <c r="W61" s="54">
        <v>0</v>
      </c>
      <c r="X61" s="4">
        <f t="shared" si="8"/>
        <v>11077.47</v>
      </c>
      <c r="Y61" s="9">
        <v>11077.47</v>
      </c>
      <c r="Z61" s="9">
        <v>0</v>
      </c>
      <c r="AA61" s="9">
        <f t="shared" si="32"/>
        <v>0</v>
      </c>
      <c r="AB61" s="105">
        <v>0</v>
      </c>
      <c r="AC61" s="105">
        <v>0</v>
      </c>
      <c r="AD61" s="45">
        <f t="shared" si="6"/>
        <v>553873.46</v>
      </c>
      <c r="AE61" s="9">
        <v>0</v>
      </c>
      <c r="AF61" s="9">
        <f t="shared" ref="AF61:AF73" si="33">AD61+AE61</f>
        <v>553873.46</v>
      </c>
      <c r="AG61" s="50" t="s">
        <v>966</v>
      </c>
      <c r="AH61" s="14" t="s">
        <v>151</v>
      </c>
      <c r="AI61" s="1">
        <v>369783.92</v>
      </c>
      <c r="AJ61" s="1">
        <v>56555.21</v>
      </c>
    </row>
    <row r="62" spans="1:37" ht="318.75" customHeight="1" x14ac:dyDescent="0.25">
      <c r="A62" s="5">
        <f t="shared" si="7"/>
        <v>59</v>
      </c>
      <c r="B62" s="16">
        <v>119450</v>
      </c>
      <c r="C62" s="6">
        <v>485</v>
      </c>
      <c r="D62" s="41" t="s">
        <v>1981</v>
      </c>
      <c r="E62" s="18" t="s">
        <v>474</v>
      </c>
      <c r="F62" s="8" t="s">
        <v>716</v>
      </c>
      <c r="G62" s="5" t="s">
        <v>1993</v>
      </c>
      <c r="H62" s="5" t="s">
        <v>151</v>
      </c>
      <c r="I62" s="42" t="s">
        <v>717</v>
      </c>
      <c r="J62" s="2">
        <v>43298</v>
      </c>
      <c r="K62" s="2">
        <v>43786</v>
      </c>
      <c r="L62" s="17">
        <f t="shared" si="0"/>
        <v>85.000002578269815</v>
      </c>
      <c r="M62" s="5">
        <v>7</v>
      </c>
      <c r="N62" s="5" t="s">
        <v>227</v>
      </c>
      <c r="O62" s="5" t="s">
        <v>923</v>
      </c>
      <c r="P62" s="3" t="s">
        <v>174</v>
      </c>
      <c r="Q62" s="5" t="s">
        <v>34</v>
      </c>
      <c r="R62" s="4">
        <f t="shared" ref="R62:R63" si="34">S62+T62</f>
        <v>329678.46000000002</v>
      </c>
      <c r="S62" s="9">
        <v>329678.46000000002</v>
      </c>
      <c r="T62" s="9">
        <v>0</v>
      </c>
      <c r="U62" s="4">
        <f t="shared" si="2"/>
        <v>50421.4</v>
      </c>
      <c r="V62" s="54">
        <v>50421.4</v>
      </c>
      <c r="W62" s="54">
        <v>0</v>
      </c>
      <c r="X62" s="4">
        <f t="shared" si="8"/>
        <v>7757.14</v>
      </c>
      <c r="Y62" s="9">
        <v>7757.14</v>
      </c>
      <c r="Z62" s="9">
        <v>0</v>
      </c>
      <c r="AA62" s="9">
        <f t="shared" si="32"/>
        <v>0</v>
      </c>
      <c r="AB62" s="105">
        <v>0</v>
      </c>
      <c r="AC62" s="105">
        <v>0</v>
      </c>
      <c r="AD62" s="45">
        <f t="shared" si="6"/>
        <v>387857.00000000006</v>
      </c>
      <c r="AE62" s="9">
        <v>0</v>
      </c>
      <c r="AF62" s="9">
        <f t="shared" si="33"/>
        <v>387857.00000000006</v>
      </c>
      <c r="AG62" s="50" t="s">
        <v>966</v>
      </c>
      <c r="AH62" s="14" t="s">
        <v>151</v>
      </c>
      <c r="AI62" s="1">
        <v>321577.40000000002</v>
      </c>
      <c r="AJ62" s="1">
        <v>49182.460000000006</v>
      </c>
    </row>
    <row r="63" spans="1:37" ht="409.5" x14ac:dyDescent="0.25">
      <c r="A63" s="5">
        <f t="shared" si="7"/>
        <v>60</v>
      </c>
      <c r="B63" s="16">
        <v>118753</v>
      </c>
      <c r="C63" s="5">
        <v>438</v>
      </c>
      <c r="D63" s="8" t="s">
        <v>1982</v>
      </c>
      <c r="E63" s="18" t="s">
        <v>540</v>
      </c>
      <c r="F63" s="8" t="s">
        <v>922</v>
      </c>
      <c r="G63" s="5" t="s">
        <v>1993</v>
      </c>
      <c r="H63" s="5" t="s">
        <v>151</v>
      </c>
      <c r="I63" s="8" t="s">
        <v>924</v>
      </c>
      <c r="J63" s="2">
        <v>43348</v>
      </c>
      <c r="K63" s="2">
        <v>43651</v>
      </c>
      <c r="L63" s="17">
        <f t="shared" si="0"/>
        <v>85.000001668065067</v>
      </c>
      <c r="M63" s="5">
        <v>7</v>
      </c>
      <c r="N63" s="5" t="s">
        <v>227</v>
      </c>
      <c r="O63" s="5" t="s">
        <v>923</v>
      </c>
      <c r="P63" s="3" t="s">
        <v>174</v>
      </c>
      <c r="Q63" s="5" t="s">
        <v>34</v>
      </c>
      <c r="R63" s="4">
        <f t="shared" si="34"/>
        <v>254786.23</v>
      </c>
      <c r="S63" s="1">
        <v>254786.23</v>
      </c>
      <c r="T63" s="9">
        <v>0</v>
      </c>
      <c r="U63" s="4">
        <f t="shared" si="2"/>
        <v>38967.300000000003</v>
      </c>
      <c r="V63" s="74">
        <v>38967.300000000003</v>
      </c>
      <c r="W63" s="54">
        <v>0</v>
      </c>
      <c r="X63" s="4">
        <f t="shared" si="8"/>
        <v>5994.97</v>
      </c>
      <c r="Y63" s="1">
        <v>5994.97</v>
      </c>
      <c r="Z63" s="1">
        <v>0</v>
      </c>
      <c r="AA63" s="9">
        <f t="shared" si="32"/>
        <v>0</v>
      </c>
      <c r="AB63" s="73">
        <v>0</v>
      </c>
      <c r="AC63" s="73">
        <v>0</v>
      </c>
      <c r="AD63" s="45">
        <f t="shared" si="6"/>
        <v>299748.5</v>
      </c>
      <c r="AE63" s="60">
        <v>0</v>
      </c>
      <c r="AF63" s="9">
        <f t="shared" si="33"/>
        <v>299748.5</v>
      </c>
      <c r="AG63" s="50" t="s">
        <v>966</v>
      </c>
      <c r="AH63" s="14" t="s">
        <v>151</v>
      </c>
      <c r="AI63" s="1">
        <v>238361.69</v>
      </c>
      <c r="AJ63" s="1">
        <v>36455.329999999994</v>
      </c>
      <c r="AK63" s="75"/>
    </row>
    <row r="64" spans="1:37" ht="141.75" x14ac:dyDescent="0.25">
      <c r="A64" s="5">
        <f t="shared" si="7"/>
        <v>61</v>
      </c>
      <c r="B64" s="16">
        <v>126380</v>
      </c>
      <c r="C64" s="5">
        <v>567</v>
      </c>
      <c r="D64" s="41" t="s">
        <v>1981</v>
      </c>
      <c r="E64" s="84" t="s">
        <v>1018</v>
      </c>
      <c r="F64" s="106" t="s">
        <v>1045</v>
      </c>
      <c r="G64" s="5" t="s">
        <v>1047</v>
      </c>
      <c r="H64" s="5" t="s">
        <v>151</v>
      </c>
      <c r="I64" s="8" t="s">
        <v>1046</v>
      </c>
      <c r="J64" s="2">
        <v>43440</v>
      </c>
      <c r="K64" s="2">
        <v>44475</v>
      </c>
      <c r="L64" s="17">
        <f t="shared" si="0"/>
        <v>85.00000001812522</v>
      </c>
      <c r="M64" s="5">
        <v>7</v>
      </c>
      <c r="N64" s="5" t="s">
        <v>227</v>
      </c>
      <c r="O64" s="5" t="s">
        <v>227</v>
      </c>
      <c r="P64" s="3" t="s">
        <v>174</v>
      </c>
      <c r="Q64" s="5" t="s">
        <v>34</v>
      </c>
      <c r="R64" s="4">
        <f>S64+T64</f>
        <v>2344798.5</v>
      </c>
      <c r="S64" s="1">
        <v>2344798.5</v>
      </c>
      <c r="T64" s="9">
        <v>0</v>
      </c>
      <c r="U64" s="4">
        <f t="shared" si="2"/>
        <v>358616.24</v>
      </c>
      <c r="V64" s="74">
        <v>358616.24</v>
      </c>
      <c r="W64" s="54">
        <v>0</v>
      </c>
      <c r="X64" s="4">
        <f t="shared" si="8"/>
        <v>55171.73</v>
      </c>
      <c r="Y64" s="1">
        <v>55171.73</v>
      </c>
      <c r="Z64" s="1">
        <v>0</v>
      </c>
      <c r="AA64" s="9">
        <f>AB64+AC64</f>
        <v>0</v>
      </c>
      <c r="AB64" s="73">
        <v>0</v>
      </c>
      <c r="AC64" s="73">
        <v>0</v>
      </c>
      <c r="AD64" s="45">
        <f t="shared" si="6"/>
        <v>2758586.47</v>
      </c>
      <c r="AE64" s="60">
        <v>78540</v>
      </c>
      <c r="AF64" s="9">
        <f>AD64+AE64+AB64</f>
        <v>2837126.47</v>
      </c>
      <c r="AG64" s="60" t="s">
        <v>515</v>
      </c>
      <c r="AH64" s="14" t="s">
        <v>2050</v>
      </c>
      <c r="AI64" s="1">
        <f>93072.41+133593.65+14946.4+380697.25+26616.05+16173.8+9198.7</f>
        <v>674298.26</v>
      </c>
      <c r="AJ64" s="1">
        <f>14234.6+20431.97+2285.92+58224.28+4070.69+2473.64+1406.86</f>
        <v>103127.95999999999</v>
      </c>
    </row>
    <row r="65" spans="1:36" ht="173.25" x14ac:dyDescent="0.25">
      <c r="A65" s="5">
        <f t="shared" si="7"/>
        <v>62</v>
      </c>
      <c r="B65" s="16">
        <v>126524</v>
      </c>
      <c r="C65" s="5">
        <v>552</v>
      </c>
      <c r="D65" s="41" t="s">
        <v>1981</v>
      </c>
      <c r="E65" s="84" t="s">
        <v>1018</v>
      </c>
      <c r="F65" s="8" t="s">
        <v>1101</v>
      </c>
      <c r="G65" s="5" t="s">
        <v>1102</v>
      </c>
      <c r="H65" s="5" t="s">
        <v>151</v>
      </c>
      <c r="I65" s="8" t="s">
        <v>1103</v>
      </c>
      <c r="J65" s="2">
        <v>43480</v>
      </c>
      <c r="K65" s="2">
        <v>44180</v>
      </c>
      <c r="L65" s="17">
        <f t="shared" si="0"/>
        <v>84.99999981002415</v>
      </c>
      <c r="M65" s="5">
        <v>7</v>
      </c>
      <c r="N65" s="5" t="s">
        <v>227</v>
      </c>
      <c r="O65" s="5" t="s">
        <v>264</v>
      </c>
      <c r="P65" s="3" t="s">
        <v>174</v>
      </c>
      <c r="Q65" s="5" t="s">
        <v>34</v>
      </c>
      <c r="R65" s="4">
        <f t="shared" ref="R65:R66" si="35">S65+T65</f>
        <v>2460839.27</v>
      </c>
      <c r="S65" s="1">
        <v>2460839.27</v>
      </c>
      <c r="T65" s="9">
        <v>0</v>
      </c>
      <c r="U65" s="4">
        <f t="shared" si="2"/>
        <v>376363.66</v>
      </c>
      <c r="V65" s="74">
        <v>376363.66</v>
      </c>
      <c r="W65" s="54"/>
      <c r="X65" s="4">
        <f t="shared" si="8"/>
        <v>57902.1</v>
      </c>
      <c r="Y65" s="1">
        <v>57902.1</v>
      </c>
      <c r="Z65" s="1">
        <v>0</v>
      </c>
      <c r="AA65" s="9">
        <f t="shared" ref="AA65:AA66" si="36">AB65+AC65</f>
        <v>0</v>
      </c>
      <c r="AB65" s="73">
        <v>0</v>
      </c>
      <c r="AC65" s="73">
        <v>0</v>
      </c>
      <c r="AD65" s="45">
        <f t="shared" si="6"/>
        <v>2895105.0300000003</v>
      </c>
      <c r="AE65" s="60">
        <v>0</v>
      </c>
      <c r="AF65" s="9">
        <f>AD65+AE65</f>
        <v>2895105.0300000003</v>
      </c>
      <c r="AG65" s="60" t="s">
        <v>966</v>
      </c>
      <c r="AH65" s="14" t="s">
        <v>1991</v>
      </c>
      <c r="AI65" s="1">
        <f>132379.54+23465.1+1059324.47+12491.6+792382.73</f>
        <v>2020043.44</v>
      </c>
      <c r="AJ65" s="1">
        <f>20246.28+3588.78+162014.32+1910.48+121187.95</f>
        <v>308947.81</v>
      </c>
    </row>
    <row r="66" spans="1:36" ht="242.25" customHeight="1" x14ac:dyDescent="0.25">
      <c r="A66" s="5">
        <f t="shared" si="7"/>
        <v>63</v>
      </c>
      <c r="B66" s="16">
        <v>126332</v>
      </c>
      <c r="C66" s="5">
        <v>565</v>
      </c>
      <c r="D66" s="41" t="s">
        <v>1981</v>
      </c>
      <c r="E66" s="84" t="s">
        <v>1018</v>
      </c>
      <c r="F66" s="8" t="s">
        <v>1231</v>
      </c>
      <c r="G66" s="5" t="s">
        <v>1232</v>
      </c>
      <c r="H66" s="5" t="s">
        <v>151</v>
      </c>
      <c r="I66" s="61" t="s">
        <v>1233</v>
      </c>
      <c r="J66" s="2">
        <v>43601</v>
      </c>
      <c r="K66" s="2">
        <v>44516</v>
      </c>
      <c r="L66" s="17">
        <f t="shared" si="0"/>
        <v>85.000000553635857</v>
      </c>
      <c r="M66" s="5">
        <v>7</v>
      </c>
      <c r="N66" s="5" t="s">
        <v>227</v>
      </c>
      <c r="O66" s="5" t="s">
        <v>227</v>
      </c>
      <c r="P66" s="3" t="s">
        <v>174</v>
      </c>
      <c r="Q66" s="5" t="s">
        <v>34</v>
      </c>
      <c r="R66" s="4">
        <f t="shared" si="35"/>
        <v>1919131.5</v>
      </c>
      <c r="S66" s="1">
        <v>1919131.5</v>
      </c>
      <c r="T66" s="9">
        <v>0</v>
      </c>
      <c r="U66" s="4">
        <f t="shared" si="2"/>
        <v>293514.21000000002</v>
      </c>
      <c r="V66" s="74">
        <v>293514.21000000002</v>
      </c>
      <c r="W66" s="54">
        <v>0</v>
      </c>
      <c r="X66" s="4">
        <f t="shared" si="8"/>
        <v>45156.04</v>
      </c>
      <c r="Y66" s="1">
        <v>45156.04</v>
      </c>
      <c r="Z66" s="1">
        <v>0</v>
      </c>
      <c r="AA66" s="9">
        <f t="shared" si="36"/>
        <v>0</v>
      </c>
      <c r="AB66" s="73">
        <v>0</v>
      </c>
      <c r="AC66" s="73">
        <v>0</v>
      </c>
      <c r="AD66" s="45">
        <f t="shared" si="6"/>
        <v>2257801.75</v>
      </c>
      <c r="AE66" s="60">
        <v>0</v>
      </c>
      <c r="AF66" s="9">
        <f>AD66+AE66</f>
        <v>2257801.75</v>
      </c>
      <c r="AG66" s="60" t="s">
        <v>515</v>
      </c>
      <c r="AH66" s="14"/>
      <c r="AI66" s="1">
        <f>110380.85+341720.62-27335.1+206064.6-8265.27</f>
        <v>622565.69999999995</v>
      </c>
      <c r="AJ66" s="1">
        <f>9619.15+25878.71+27335.1+8265.27</f>
        <v>71098.23</v>
      </c>
    </row>
    <row r="67" spans="1:36" ht="242.25" customHeight="1" x14ac:dyDescent="0.25">
      <c r="A67" s="5">
        <f t="shared" si="7"/>
        <v>64</v>
      </c>
      <c r="B67" s="16">
        <v>128663</v>
      </c>
      <c r="C67" s="5">
        <v>681</v>
      </c>
      <c r="D67" s="41" t="s">
        <v>1981</v>
      </c>
      <c r="E67" s="8" t="s">
        <v>1246</v>
      </c>
      <c r="F67" s="8" t="s">
        <v>1489</v>
      </c>
      <c r="G67" s="5" t="s">
        <v>1490</v>
      </c>
      <c r="H67" s="5" t="s">
        <v>1491</v>
      </c>
      <c r="I67" s="61" t="s">
        <v>1492</v>
      </c>
      <c r="J67" s="2">
        <v>43683</v>
      </c>
      <c r="K67" s="2">
        <v>44626</v>
      </c>
      <c r="L67" s="17">
        <f t="shared" si="0"/>
        <v>84.604864390882867</v>
      </c>
      <c r="M67" s="5">
        <v>7</v>
      </c>
      <c r="N67" s="5" t="s">
        <v>227</v>
      </c>
      <c r="O67" s="5" t="s">
        <v>227</v>
      </c>
      <c r="P67" s="3" t="s">
        <v>174</v>
      </c>
      <c r="Q67" s="5" t="s">
        <v>34</v>
      </c>
      <c r="R67" s="4">
        <f>S67+T67</f>
        <v>3173338.5</v>
      </c>
      <c r="S67" s="1">
        <v>3173338.5</v>
      </c>
      <c r="T67" s="9">
        <v>0</v>
      </c>
      <c r="U67" s="4">
        <f>V67+W67</f>
        <v>502421.46</v>
      </c>
      <c r="V67" s="74">
        <v>502421.46</v>
      </c>
      <c r="W67" s="54">
        <v>0</v>
      </c>
      <c r="X67" s="4">
        <f t="shared" si="8"/>
        <v>57579.43</v>
      </c>
      <c r="Y67" s="1">
        <v>57579.43</v>
      </c>
      <c r="Z67" s="1"/>
      <c r="AA67" s="9">
        <f>AB67+AC67</f>
        <v>17436.080000000002</v>
      </c>
      <c r="AB67" s="73">
        <v>17436.080000000002</v>
      </c>
      <c r="AC67" s="73">
        <v>0</v>
      </c>
      <c r="AD67" s="45">
        <f t="shared" si="6"/>
        <v>3750775.47</v>
      </c>
      <c r="AE67" s="60">
        <v>0</v>
      </c>
      <c r="AF67" s="9">
        <f>AD67+AE67</f>
        <v>3750775.47</v>
      </c>
      <c r="AG67" s="60" t="s">
        <v>515</v>
      </c>
      <c r="AH67" s="14" t="s">
        <v>1916</v>
      </c>
      <c r="AI67" s="1">
        <f>29936.15+58571.7+142260.5+208810.2+151593.51+1032937.68+179659.48+165163.03+35595.96</f>
        <v>2004528.2100000002</v>
      </c>
      <c r="AJ67" s="1">
        <f>4578.47+10336.18+24340.57+34536.75+25937.21+157978.7+31092.75+28549.9+5705.16</f>
        <v>323055.69</v>
      </c>
    </row>
    <row r="68" spans="1:36" ht="242.25" customHeight="1" x14ac:dyDescent="0.25">
      <c r="A68" s="5">
        <f t="shared" si="7"/>
        <v>65</v>
      </c>
      <c r="B68" s="16">
        <v>135887</v>
      </c>
      <c r="C68" s="5">
        <v>771</v>
      </c>
      <c r="D68" s="41" t="s">
        <v>1981</v>
      </c>
      <c r="E68" s="83" t="s">
        <v>1700</v>
      </c>
      <c r="F68" s="8" t="s">
        <v>1790</v>
      </c>
      <c r="G68" s="5" t="s">
        <v>1490</v>
      </c>
      <c r="H68" s="5" t="s">
        <v>1791</v>
      </c>
      <c r="I68" s="61" t="s">
        <v>1792</v>
      </c>
      <c r="J68" s="2">
        <v>43973</v>
      </c>
      <c r="K68" s="2">
        <v>44887</v>
      </c>
      <c r="L68" s="17">
        <f t="shared" si="0"/>
        <v>85.000000472330711</v>
      </c>
      <c r="M68" s="5">
        <v>7</v>
      </c>
      <c r="N68" s="5" t="s">
        <v>227</v>
      </c>
      <c r="O68" s="5" t="s">
        <v>264</v>
      </c>
      <c r="P68" s="3" t="s">
        <v>174</v>
      </c>
      <c r="Q68" s="63" t="s">
        <v>34</v>
      </c>
      <c r="R68" s="4">
        <f>S68+T68</f>
        <v>2519421.23</v>
      </c>
      <c r="S68" s="1">
        <v>2519421.23</v>
      </c>
      <c r="T68" s="9">
        <v>0</v>
      </c>
      <c r="U68" s="4">
        <f>V68+W68</f>
        <v>385323.23</v>
      </c>
      <c r="V68" s="74">
        <v>385323.23</v>
      </c>
      <c r="W68" s="54">
        <v>0</v>
      </c>
      <c r="X68" s="4">
        <f t="shared" si="8"/>
        <v>59280.5</v>
      </c>
      <c r="Y68" s="1">
        <v>59280.5</v>
      </c>
      <c r="Z68" s="1">
        <v>0</v>
      </c>
      <c r="AA68" s="9">
        <f>AB68+AC68</f>
        <v>0</v>
      </c>
      <c r="AB68" s="1">
        <v>0</v>
      </c>
      <c r="AC68" s="1">
        <v>0</v>
      </c>
      <c r="AD68" s="45">
        <f t="shared" si="6"/>
        <v>2964024.96</v>
      </c>
      <c r="AE68" s="60">
        <v>0</v>
      </c>
      <c r="AF68" s="9">
        <f>AD68+AE68</f>
        <v>2964024.96</v>
      </c>
      <c r="AG68" s="60" t="s">
        <v>515</v>
      </c>
      <c r="AH68" s="14"/>
      <c r="AI68" s="1">
        <f>28723.2+29070.01+32287.08+27169.4+29666.87</f>
        <v>146916.56</v>
      </c>
      <c r="AJ68" s="1">
        <f>4392.96+4446+4938.02+4155.32+4537.29</f>
        <v>22469.59</v>
      </c>
    </row>
    <row r="69" spans="1:36" ht="242.25" customHeight="1" x14ac:dyDescent="0.25">
      <c r="A69" s="5">
        <f t="shared" si="7"/>
        <v>66</v>
      </c>
      <c r="B69" s="16">
        <v>136330</v>
      </c>
      <c r="C69" s="5">
        <v>840</v>
      </c>
      <c r="D69" s="41" t="s">
        <v>1981</v>
      </c>
      <c r="E69" s="83" t="s">
        <v>1700</v>
      </c>
      <c r="F69" s="8" t="s">
        <v>1833</v>
      </c>
      <c r="G69" s="5" t="s">
        <v>1102</v>
      </c>
      <c r="H69" s="5" t="s">
        <v>151</v>
      </c>
      <c r="I69" s="61" t="s">
        <v>1834</v>
      </c>
      <c r="J69" s="2">
        <v>43998</v>
      </c>
      <c r="K69" s="2">
        <v>44728</v>
      </c>
      <c r="L69" s="17">
        <f t="shared" si="0"/>
        <v>85.000000132234348</v>
      </c>
      <c r="M69" s="5">
        <v>7</v>
      </c>
      <c r="N69" s="5" t="s">
        <v>227</v>
      </c>
      <c r="O69" s="5" t="s">
        <v>923</v>
      </c>
      <c r="P69" s="3" t="s">
        <v>174</v>
      </c>
      <c r="Q69" s="63" t="s">
        <v>34</v>
      </c>
      <c r="R69" s="4">
        <f>S69+T69</f>
        <v>3213990.68</v>
      </c>
      <c r="S69" s="1">
        <v>3213990.68</v>
      </c>
      <c r="T69" s="9">
        <v>0</v>
      </c>
      <c r="U69" s="4">
        <f>V69+W69</f>
        <v>491551.51</v>
      </c>
      <c r="V69" s="74">
        <v>491551.51</v>
      </c>
      <c r="W69" s="54">
        <v>0</v>
      </c>
      <c r="X69" s="4">
        <f t="shared" si="8"/>
        <v>75623.31</v>
      </c>
      <c r="Y69" s="1">
        <v>75623.31</v>
      </c>
      <c r="Z69" s="1">
        <v>0</v>
      </c>
      <c r="AA69" s="9">
        <f>AB69+AC69</f>
        <v>0</v>
      </c>
      <c r="AB69" s="1">
        <v>0</v>
      </c>
      <c r="AC69" s="1">
        <v>0</v>
      </c>
      <c r="AD69" s="45">
        <f t="shared" ref="AD69:AD132" si="37">R69+U69+X69+AA69</f>
        <v>3781165.5000000005</v>
      </c>
      <c r="AE69" s="60">
        <v>0</v>
      </c>
      <c r="AF69" s="9">
        <f>AD69+AE69</f>
        <v>3781165.5000000005</v>
      </c>
      <c r="AG69" s="60" t="s">
        <v>515</v>
      </c>
      <c r="AH69" s="14"/>
      <c r="AI69" s="1">
        <f>18452.65+114508.06+21333.3+28721.86</f>
        <v>183015.87</v>
      </c>
      <c r="AJ69" s="1">
        <f>2822.17+17513+3262.74+4392.75</f>
        <v>27990.659999999996</v>
      </c>
    </row>
    <row r="70" spans="1:36" ht="236.25" x14ac:dyDescent="0.25">
      <c r="A70" s="5">
        <f t="shared" ref="A70:A133" si="38">A69+1</f>
        <v>67</v>
      </c>
      <c r="B70" s="16">
        <v>120503</v>
      </c>
      <c r="C70" s="6">
        <v>80</v>
      </c>
      <c r="D70" s="41" t="s">
        <v>1981</v>
      </c>
      <c r="E70" s="18" t="s">
        <v>277</v>
      </c>
      <c r="F70" s="106" t="s">
        <v>261</v>
      </c>
      <c r="G70" s="5" t="s">
        <v>1027</v>
      </c>
      <c r="H70" s="5" t="s">
        <v>151</v>
      </c>
      <c r="I70" s="42" t="s">
        <v>265</v>
      </c>
      <c r="J70" s="2">
        <v>43173</v>
      </c>
      <c r="K70" s="2">
        <v>43599</v>
      </c>
      <c r="L70" s="17">
        <f t="shared" si="0"/>
        <v>79.999997969650394</v>
      </c>
      <c r="M70" s="5">
        <v>8</v>
      </c>
      <c r="N70" s="5" t="s">
        <v>262</v>
      </c>
      <c r="O70" s="5" t="s">
        <v>262</v>
      </c>
      <c r="P70" s="3" t="s">
        <v>174</v>
      </c>
      <c r="Q70" s="5" t="s">
        <v>34</v>
      </c>
      <c r="R70" s="4">
        <f t="shared" ref="R70:R73" si="39">S70+T70</f>
        <v>315216.64000000001</v>
      </c>
      <c r="S70" s="9">
        <v>0</v>
      </c>
      <c r="T70" s="9">
        <v>315216.64000000001</v>
      </c>
      <c r="U70" s="4">
        <f t="shared" si="2"/>
        <v>70923.75</v>
      </c>
      <c r="V70" s="54">
        <v>0</v>
      </c>
      <c r="W70" s="54">
        <v>70923.75</v>
      </c>
      <c r="X70" s="4">
        <f t="shared" si="8"/>
        <v>7880.42</v>
      </c>
      <c r="Y70" s="9">
        <v>0</v>
      </c>
      <c r="Z70" s="9">
        <v>7880.42</v>
      </c>
      <c r="AA70" s="9">
        <f t="shared" si="32"/>
        <v>0</v>
      </c>
      <c r="AB70" s="105">
        <v>0</v>
      </c>
      <c r="AC70" s="105">
        <v>0</v>
      </c>
      <c r="AD70" s="45">
        <f t="shared" si="37"/>
        <v>394020.81</v>
      </c>
      <c r="AE70" s="9">
        <v>0</v>
      </c>
      <c r="AF70" s="9">
        <f t="shared" si="33"/>
        <v>394020.81</v>
      </c>
      <c r="AG70" s="50" t="s">
        <v>966</v>
      </c>
      <c r="AH70" s="14" t="s">
        <v>151</v>
      </c>
      <c r="AI70" s="1">
        <v>238501.38</v>
      </c>
      <c r="AJ70" s="1">
        <v>53662.82</v>
      </c>
    </row>
    <row r="71" spans="1:36" ht="252" x14ac:dyDescent="0.25">
      <c r="A71" s="5">
        <f t="shared" si="38"/>
        <v>68</v>
      </c>
      <c r="B71" s="70">
        <v>120710</v>
      </c>
      <c r="C71" s="6">
        <v>103</v>
      </c>
      <c r="D71" s="41" t="s">
        <v>1981</v>
      </c>
      <c r="E71" s="104" t="s">
        <v>277</v>
      </c>
      <c r="F71" s="3" t="s">
        <v>390</v>
      </c>
      <c r="G71" s="5" t="s">
        <v>1994</v>
      </c>
      <c r="H71" s="6" t="s">
        <v>151</v>
      </c>
      <c r="I71" s="88" t="s">
        <v>391</v>
      </c>
      <c r="J71" s="2">
        <v>43227</v>
      </c>
      <c r="K71" s="2">
        <v>43776</v>
      </c>
      <c r="L71" s="17">
        <f t="shared" si="0"/>
        <v>79.999999056893557</v>
      </c>
      <c r="M71" s="5">
        <v>8</v>
      </c>
      <c r="N71" s="5" t="s">
        <v>262</v>
      </c>
      <c r="O71" s="5" t="s">
        <v>262</v>
      </c>
      <c r="P71" s="5" t="s">
        <v>174</v>
      </c>
      <c r="Q71" s="5" t="s">
        <v>34</v>
      </c>
      <c r="R71" s="4">
        <f t="shared" si="39"/>
        <v>339304.22</v>
      </c>
      <c r="S71" s="73">
        <v>0</v>
      </c>
      <c r="T71" s="108">
        <v>339304.22</v>
      </c>
      <c r="U71" s="4">
        <f t="shared" si="2"/>
        <v>76343.45</v>
      </c>
      <c r="V71" s="74">
        <v>0</v>
      </c>
      <c r="W71" s="109">
        <v>76343.45</v>
      </c>
      <c r="X71" s="4">
        <f t="shared" si="8"/>
        <v>8482.61</v>
      </c>
      <c r="Y71" s="1">
        <v>0</v>
      </c>
      <c r="Z71" s="9">
        <v>8482.61</v>
      </c>
      <c r="AA71" s="9">
        <f t="shared" si="32"/>
        <v>0</v>
      </c>
      <c r="AB71" s="1">
        <v>0</v>
      </c>
      <c r="AC71" s="1">
        <v>0</v>
      </c>
      <c r="AD71" s="45">
        <f t="shared" si="37"/>
        <v>424130.27999999997</v>
      </c>
      <c r="AE71" s="12">
        <v>0</v>
      </c>
      <c r="AF71" s="9">
        <f t="shared" si="33"/>
        <v>424130.27999999997</v>
      </c>
      <c r="AG71" s="50" t="s">
        <v>966</v>
      </c>
      <c r="AH71" s="110" t="s">
        <v>1488</v>
      </c>
      <c r="AI71" s="1">
        <f>52550.4+283857.46</f>
        <v>336407.86000000004</v>
      </c>
      <c r="AJ71" s="1">
        <f>11823.84+63867.93</f>
        <v>75691.77</v>
      </c>
    </row>
    <row r="72" spans="1:36" ht="157.5" x14ac:dyDescent="0.25">
      <c r="A72" s="5">
        <f t="shared" si="38"/>
        <v>69</v>
      </c>
      <c r="B72" s="70">
        <v>117665</v>
      </c>
      <c r="C72" s="6">
        <v>413</v>
      </c>
      <c r="D72" s="8" t="s">
        <v>1982</v>
      </c>
      <c r="E72" s="8" t="s">
        <v>541</v>
      </c>
      <c r="F72" s="3" t="s">
        <v>673</v>
      </c>
      <c r="G72" s="5" t="s">
        <v>1027</v>
      </c>
      <c r="H72" s="6" t="s">
        <v>151</v>
      </c>
      <c r="I72" s="88" t="s">
        <v>674</v>
      </c>
      <c r="J72" s="2">
        <v>43290</v>
      </c>
      <c r="K72" s="2">
        <v>43625</v>
      </c>
      <c r="L72" s="17">
        <f t="shared" si="0"/>
        <v>80</v>
      </c>
      <c r="M72" s="5">
        <v>8</v>
      </c>
      <c r="N72" s="5" t="s">
        <v>262</v>
      </c>
      <c r="O72" s="5" t="s">
        <v>262</v>
      </c>
      <c r="P72" s="5" t="s">
        <v>174</v>
      </c>
      <c r="Q72" s="5" t="s">
        <v>34</v>
      </c>
      <c r="R72" s="4">
        <f t="shared" si="39"/>
        <v>224534.64</v>
      </c>
      <c r="S72" s="73">
        <v>0</v>
      </c>
      <c r="T72" s="9">
        <v>224534.64</v>
      </c>
      <c r="U72" s="4">
        <f t="shared" si="2"/>
        <v>50520.29</v>
      </c>
      <c r="V72" s="74">
        <v>0</v>
      </c>
      <c r="W72" s="54">
        <v>50520.29</v>
      </c>
      <c r="X72" s="4">
        <f t="shared" si="8"/>
        <v>5613.37</v>
      </c>
      <c r="Y72" s="1">
        <v>0</v>
      </c>
      <c r="Z72" s="9">
        <v>5613.37</v>
      </c>
      <c r="AA72" s="9">
        <f t="shared" si="32"/>
        <v>0</v>
      </c>
      <c r="AB72" s="1">
        <v>0</v>
      </c>
      <c r="AC72" s="1">
        <v>0</v>
      </c>
      <c r="AD72" s="45">
        <f t="shared" si="37"/>
        <v>280668.3</v>
      </c>
      <c r="AE72" s="12">
        <v>0</v>
      </c>
      <c r="AF72" s="9">
        <f t="shared" si="33"/>
        <v>280668.3</v>
      </c>
      <c r="AG72" s="50" t="s">
        <v>966</v>
      </c>
      <c r="AH72" s="110" t="s">
        <v>1213</v>
      </c>
      <c r="AI72" s="1">
        <f>174905.44</f>
        <v>174905.44</v>
      </c>
      <c r="AJ72" s="1">
        <v>39353.72</v>
      </c>
    </row>
    <row r="73" spans="1:36" ht="60" customHeight="1" x14ac:dyDescent="0.25">
      <c r="A73" s="5">
        <f t="shared" si="38"/>
        <v>70</v>
      </c>
      <c r="B73" s="70">
        <v>117676</v>
      </c>
      <c r="C73" s="6">
        <v>414</v>
      </c>
      <c r="D73" s="8" t="s">
        <v>1982</v>
      </c>
      <c r="E73" s="18" t="s">
        <v>541</v>
      </c>
      <c r="F73" s="3" t="s">
        <v>925</v>
      </c>
      <c r="G73" s="5" t="s">
        <v>1053</v>
      </c>
      <c r="H73" s="6" t="s">
        <v>151</v>
      </c>
      <c r="I73" s="88" t="s">
        <v>926</v>
      </c>
      <c r="J73" s="2">
        <v>43348</v>
      </c>
      <c r="K73" s="2">
        <v>43713</v>
      </c>
      <c r="L73" s="17">
        <f t="shared" si="0"/>
        <v>80.000002000969275</v>
      </c>
      <c r="M73" s="5">
        <v>8</v>
      </c>
      <c r="N73" s="5" t="s">
        <v>262</v>
      </c>
      <c r="O73" s="5" t="s">
        <v>262</v>
      </c>
      <c r="P73" s="5" t="s">
        <v>174</v>
      </c>
      <c r="Q73" s="5" t="s">
        <v>34</v>
      </c>
      <c r="R73" s="4">
        <f t="shared" si="39"/>
        <v>239883.75</v>
      </c>
      <c r="S73" s="1">
        <v>0</v>
      </c>
      <c r="T73" s="9">
        <v>239883.75</v>
      </c>
      <c r="U73" s="4">
        <f t="shared" si="2"/>
        <v>53973.85</v>
      </c>
      <c r="V73" s="74">
        <v>0</v>
      </c>
      <c r="W73" s="54">
        <v>53973.85</v>
      </c>
      <c r="X73" s="4">
        <f t="shared" si="8"/>
        <v>5997.08</v>
      </c>
      <c r="Y73" s="1">
        <v>0</v>
      </c>
      <c r="Z73" s="9">
        <v>5997.08</v>
      </c>
      <c r="AA73" s="9">
        <f t="shared" si="32"/>
        <v>0</v>
      </c>
      <c r="AB73" s="57">
        <v>0</v>
      </c>
      <c r="AC73" s="57">
        <v>0</v>
      </c>
      <c r="AD73" s="45">
        <f t="shared" si="37"/>
        <v>299854.68</v>
      </c>
      <c r="AE73" s="12">
        <v>0</v>
      </c>
      <c r="AF73" s="9">
        <f t="shared" si="33"/>
        <v>299854.68</v>
      </c>
      <c r="AG73" s="50" t="s">
        <v>966</v>
      </c>
      <c r="AH73" s="12"/>
      <c r="AI73" s="1">
        <f>102261.61+121535.79</f>
        <v>223797.4</v>
      </c>
      <c r="AJ73" s="1">
        <f>23008.85+27345.55</f>
        <v>50354.399999999994</v>
      </c>
    </row>
    <row r="74" spans="1:36" ht="120" customHeight="1" x14ac:dyDescent="0.25">
      <c r="A74" s="5">
        <f t="shared" si="38"/>
        <v>71</v>
      </c>
      <c r="B74" s="16">
        <v>126477</v>
      </c>
      <c r="C74" s="5">
        <v>507</v>
      </c>
      <c r="D74" s="41" t="s">
        <v>1981</v>
      </c>
      <c r="E74" s="18" t="s">
        <v>1025</v>
      </c>
      <c r="F74" s="3" t="s">
        <v>1026</v>
      </c>
      <c r="G74" s="5" t="s">
        <v>1027</v>
      </c>
      <c r="H74" s="6" t="s">
        <v>362</v>
      </c>
      <c r="I74" s="88" t="s">
        <v>1028</v>
      </c>
      <c r="J74" s="2">
        <v>43433</v>
      </c>
      <c r="K74" s="2">
        <v>44225</v>
      </c>
      <c r="L74" s="17">
        <f t="shared" si="0"/>
        <v>79.999999581986273</v>
      </c>
      <c r="M74" s="5">
        <v>8</v>
      </c>
      <c r="N74" s="5" t="s">
        <v>262</v>
      </c>
      <c r="O74" s="5" t="s">
        <v>262</v>
      </c>
      <c r="P74" s="5" t="s">
        <v>174</v>
      </c>
      <c r="Q74" s="5" t="s">
        <v>34</v>
      </c>
      <c r="R74" s="4">
        <f>S74+T74</f>
        <v>3062100.2800000007</v>
      </c>
      <c r="S74" s="1">
        <v>0</v>
      </c>
      <c r="T74" s="9">
        <v>3062100.2800000007</v>
      </c>
      <c r="U74" s="4">
        <f t="shared" si="2"/>
        <v>688972.58</v>
      </c>
      <c r="V74" s="74">
        <v>0</v>
      </c>
      <c r="W74" s="54">
        <v>688972.58</v>
      </c>
      <c r="X74" s="4">
        <f t="shared" si="8"/>
        <v>76552.509999999995</v>
      </c>
      <c r="Y74" s="1">
        <v>0</v>
      </c>
      <c r="Z74" s="9">
        <v>76552.509999999995</v>
      </c>
      <c r="AA74" s="9">
        <f>AB74+AC74</f>
        <v>0</v>
      </c>
      <c r="AB74" s="9">
        <v>0</v>
      </c>
      <c r="AC74" s="9">
        <v>0</v>
      </c>
      <c r="AD74" s="45">
        <f t="shared" si="37"/>
        <v>3827625.3700000006</v>
      </c>
      <c r="AE74" s="12"/>
      <c r="AF74" s="9">
        <f>AD74+AE74</f>
        <v>3827625.3700000006</v>
      </c>
      <c r="AG74" s="60" t="s">
        <v>966</v>
      </c>
      <c r="AH74" s="60" t="s">
        <v>2030</v>
      </c>
      <c r="AI74" s="1">
        <f>858447.12+515278.43+1129072+185548</f>
        <v>2688345.55</v>
      </c>
      <c r="AJ74" s="1">
        <f>193150.61+115937.65+254041.2+41748.3</f>
        <v>604877.76</v>
      </c>
    </row>
    <row r="75" spans="1:36" ht="141.75" x14ac:dyDescent="0.25">
      <c r="A75" s="5">
        <f t="shared" si="38"/>
        <v>72</v>
      </c>
      <c r="B75" s="16">
        <v>126372</v>
      </c>
      <c r="C75" s="5">
        <v>510</v>
      </c>
      <c r="D75" s="41" t="s">
        <v>1981</v>
      </c>
      <c r="E75" s="18" t="s">
        <v>1025</v>
      </c>
      <c r="F75" s="3" t="s">
        <v>1052</v>
      </c>
      <c r="G75" s="5" t="s">
        <v>1053</v>
      </c>
      <c r="H75" s="6" t="s">
        <v>362</v>
      </c>
      <c r="I75" s="88" t="s">
        <v>1054</v>
      </c>
      <c r="J75" s="2">
        <v>43445</v>
      </c>
      <c r="K75" s="2">
        <v>44996</v>
      </c>
      <c r="L75" s="17">
        <f t="shared" si="0"/>
        <v>80</v>
      </c>
      <c r="M75" s="5">
        <v>8</v>
      </c>
      <c r="N75" s="5" t="s">
        <v>262</v>
      </c>
      <c r="O75" s="5" t="s">
        <v>262</v>
      </c>
      <c r="P75" s="5" t="s">
        <v>174</v>
      </c>
      <c r="Q75" s="5" t="s">
        <v>34</v>
      </c>
      <c r="R75" s="4">
        <f t="shared" ref="R75:R76" si="40">S75+T75</f>
        <v>2932376.8</v>
      </c>
      <c r="S75" s="1">
        <v>0</v>
      </c>
      <c r="T75" s="9">
        <v>2932376.8</v>
      </c>
      <c r="U75" s="4">
        <f t="shared" ref="U75:U76" si="41">V75+W75</f>
        <v>659784.78</v>
      </c>
      <c r="V75" s="74">
        <v>0</v>
      </c>
      <c r="W75" s="54">
        <v>659784.78</v>
      </c>
      <c r="X75" s="4">
        <f t="shared" si="8"/>
        <v>73309.42</v>
      </c>
      <c r="Y75" s="1">
        <v>0</v>
      </c>
      <c r="Z75" s="9">
        <v>73309.42</v>
      </c>
      <c r="AA75" s="9">
        <f>AB75+AC75</f>
        <v>0</v>
      </c>
      <c r="AB75" s="1">
        <v>0</v>
      </c>
      <c r="AC75" s="1">
        <v>0</v>
      </c>
      <c r="AD75" s="45">
        <f t="shared" si="37"/>
        <v>3665471</v>
      </c>
      <c r="AE75" s="11">
        <v>127687</v>
      </c>
      <c r="AF75" s="9">
        <f>AD75+AE75</f>
        <v>3793158</v>
      </c>
      <c r="AG75" s="60" t="s">
        <v>515</v>
      </c>
      <c r="AH75" s="60" t="s">
        <v>2177</v>
      </c>
      <c r="AI75" s="1">
        <f>368006.54+73168+58748.88+33607.94</f>
        <v>533531.36</v>
      </c>
      <c r="AJ75" s="1">
        <f>82801.48+16462.8+13218.5+7561.78</f>
        <v>120044.56</v>
      </c>
    </row>
    <row r="76" spans="1:36" ht="141.75" x14ac:dyDescent="0.25">
      <c r="A76" s="5">
        <f t="shared" si="38"/>
        <v>73</v>
      </c>
      <c r="B76" s="16">
        <v>128825</v>
      </c>
      <c r="C76" s="5">
        <v>661</v>
      </c>
      <c r="D76" s="41" t="s">
        <v>1981</v>
      </c>
      <c r="E76" s="18" t="s">
        <v>1303</v>
      </c>
      <c r="F76" s="3" t="s">
        <v>1304</v>
      </c>
      <c r="G76" s="5" t="s">
        <v>1995</v>
      </c>
      <c r="H76" s="6" t="s">
        <v>1092</v>
      </c>
      <c r="I76" s="88" t="s">
        <v>1307</v>
      </c>
      <c r="J76" s="2">
        <v>43635</v>
      </c>
      <c r="K76" s="2">
        <v>44670</v>
      </c>
      <c r="L76" s="17">
        <f t="shared" si="0"/>
        <v>79.493002830992353</v>
      </c>
      <c r="M76" s="5">
        <v>8</v>
      </c>
      <c r="N76" s="5" t="s">
        <v>262</v>
      </c>
      <c r="O76" s="5" t="s">
        <v>262</v>
      </c>
      <c r="P76" s="5" t="s">
        <v>174</v>
      </c>
      <c r="Q76" s="5" t="s">
        <v>34</v>
      </c>
      <c r="R76" s="4">
        <f t="shared" si="40"/>
        <v>3436600.48</v>
      </c>
      <c r="S76" s="1">
        <v>0</v>
      </c>
      <c r="T76" s="9">
        <v>3436600.48</v>
      </c>
      <c r="U76" s="4">
        <f t="shared" si="41"/>
        <v>800084.95</v>
      </c>
      <c r="V76" s="74">
        <v>0</v>
      </c>
      <c r="W76" s="54">
        <v>800084.95</v>
      </c>
      <c r="X76" s="4">
        <f t="shared" si="8"/>
        <v>59065.17</v>
      </c>
      <c r="Y76" s="1">
        <v>0</v>
      </c>
      <c r="Z76" s="9">
        <v>59065.17</v>
      </c>
      <c r="AA76" s="9">
        <f t="shared" ref="AA76" si="42">AB76+AC76</f>
        <v>27397.8</v>
      </c>
      <c r="AB76" s="1">
        <v>0</v>
      </c>
      <c r="AC76" s="1">
        <v>27397.8</v>
      </c>
      <c r="AD76" s="45">
        <f t="shared" si="37"/>
        <v>4323148.3999999994</v>
      </c>
      <c r="AE76" s="11">
        <v>29750</v>
      </c>
      <c r="AF76" s="9">
        <f t="shared" ref="AF76" si="43">AD76+AE76</f>
        <v>4352898.3999999994</v>
      </c>
      <c r="AG76" s="60" t="s">
        <v>515</v>
      </c>
      <c r="AH76" s="60" t="s">
        <v>2227</v>
      </c>
      <c r="AI76" s="1">
        <f>494098.74+416251.27+88138+199995.28-7123.5+0+108947.36-19637.43+136989</f>
        <v>1417658.7200000002</v>
      </c>
      <c r="AJ76" s="1">
        <f>69892.46+9032.04+34415.41+52771.3+14876.87+7123.5+14629.74+28041.64+36800.47</f>
        <v>267583.43000000005</v>
      </c>
    </row>
    <row r="77" spans="1:36" ht="141.75" x14ac:dyDescent="0.25">
      <c r="A77" s="5">
        <f t="shared" si="38"/>
        <v>74</v>
      </c>
      <c r="B77" s="16">
        <v>129668</v>
      </c>
      <c r="C77" s="16">
        <v>673</v>
      </c>
      <c r="D77" s="41" t="s">
        <v>1981</v>
      </c>
      <c r="E77" s="18" t="s">
        <v>1303</v>
      </c>
      <c r="F77" s="32" t="s">
        <v>1305</v>
      </c>
      <c r="G77" s="5" t="s">
        <v>1994</v>
      </c>
      <c r="H77" s="6" t="s">
        <v>151</v>
      </c>
      <c r="I77" s="88" t="s">
        <v>1308</v>
      </c>
      <c r="J77" s="2">
        <v>43635</v>
      </c>
      <c r="K77" s="2">
        <v>44731</v>
      </c>
      <c r="L77" s="17">
        <f>R77/AD77*100</f>
        <v>80.000000100149578</v>
      </c>
      <c r="M77" s="5">
        <v>8</v>
      </c>
      <c r="N77" s="5" t="s">
        <v>262</v>
      </c>
      <c r="O77" s="5" t="s">
        <v>262</v>
      </c>
      <c r="P77" s="5" t="s">
        <v>174</v>
      </c>
      <c r="Q77" s="5" t="s">
        <v>34</v>
      </c>
      <c r="R77" s="4">
        <f>S77+T77</f>
        <v>3195221.02</v>
      </c>
      <c r="S77" s="1">
        <v>0</v>
      </c>
      <c r="T77" s="9">
        <v>3195221.02</v>
      </c>
      <c r="U77" s="4">
        <f>V77+W77</f>
        <v>718924.72</v>
      </c>
      <c r="V77" s="74">
        <v>0</v>
      </c>
      <c r="W77" s="54">
        <v>718924.72</v>
      </c>
      <c r="X77" s="4">
        <f>Y77+Z77</f>
        <v>79880.53</v>
      </c>
      <c r="Y77" s="1">
        <v>0</v>
      </c>
      <c r="Z77" s="9">
        <v>79880.53</v>
      </c>
      <c r="AA77" s="9">
        <f>AB77+AC77</f>
        <v>0</v>
      </c>
      <c r="AB77" s="9">
        <v>0</v>
      </c>
      <c r="AC77" s="9">
        <v>0</v>
      </c>
      <c r="AD77" s="45">
        <f t="shared" si="37"/>
        <v>3994026.27</v>
      </c>
      <c r="AE77" s="11">
        <v>0</v>
      </c>
      <c r="AF77" s="9">
        <f>AD77+AE77</f>
        <v>3994026.27</v>
      </c>
      <c r="AG77" s="60" t="s">
        <v>515</v>
      </c>
      <c r="AH77" s="60" t="s">
        <v>2204</v>
      </c>
      <c r="AI77" s="1">
        <f>246108.94+233815.2</f>
        <v>479924.14</v>
      </c>
      <c r="AJ77" s="1">
        <f>23472.39+31902.12+52608.42</f>
        <v>107982.93</v>
      </c>
    </row>
    <row r="78" spans="1:36" ht="195.75" customHeight="1" x14ac:dyDescent="0.25">
      <c r="A78" s="5">
        <f t="shared" si="38"/>
        <v>75</v>
      </c>
      <c r="B78" s="16">
        <v>128335</v>
      </c>
      <c r="C78" s="5">
        <v>634</v>
      </c>
      <c r="D78" s="41" t="s">
        <v>1981</v>
      </c>
      <c r="E78" s="18" t="s">
        <v>1303</v>
      </c>
      <c r="F78" s="3" t="s">
        <v>1329</v>
      </c>
      <c r="G78" s="5" t="s">
        <v>1996</v>
      </c>
      <c r="H78" s="6" t="s">
        <v>1330</v>
      </c>
      <c r="I78" s="88" t="s">
        <v>1331</v>
      </c>
      <c r="J78" s="2">
        <v>43647</v>
      </c>
      <c r="K78" s="2">
        <v>44562</v>
      </c>
      <c r="L78" s="17">
        <f t="shared" ref="L78:L82" si="44">R78/AD78*100</f>
        <v>79.99999994861092</v>
      </c>
      <c r="M78" s="5">
        <v>8</v>
      </c>
      <c r="N78" s="5" t="s">
        <v>262</v>
      </c>
      <c r="O78" s="5" t="s">
        <v>262</v>
      </c>
      <c r="P78" s="5" t="s">
        <v>174</v>
      </c>
      <c r="Q78" s="5" t="s">
        <v>34</v>
      </c>
      <c r="R78" s="4">
        <f t="shared" ref="R78:R82" si="45">S78+T78</f>
        <v>3113501.31</v>
      </c>
      <c r="S78" s="1">
        <v>0</v>
      </c>
      <c r="T78" s="9">
        <v>3113501.31</v>
      </c>
      <c r="U78" s="4">
        <f t="shared" ref="U78:U92" si="46">V78+W78</f>
        <v>700537.78</v>
      </c>
      <c r="V78" s="74">
        <v>0</v>
      </c>
      <c r="W78" s="54">
        <v>700537.78</v>
      </c>
      <c r="X78" s="4">
        <f t="shared" ref="X78:X92" si="47">Y78+Z78</f>
        <v>77837.55</v>
      </c>
      <c r="Y78" s="1">
        <v>0</v>
      </c>
      <c r="Z78" s="9">
        <v>77837.55</v>
      </c>
      <c r="AA78" s="9">
        <v>0</v>
      </c>
      <c r="AB78" s="1">
        <v>0</v>
      </c>
      <c r="AC78" s="1">
        <v>0</v>
      </c>
      <c r="AD78" s="45">
        <f t="shared" si="37"/>
        <v>3891876.6399999997</v>
      </c>
      <c r="AE78" s="11">
        <v>0</v>
      </c>
      <c r="AF78" s="9">
        <f t="shared" ref="AF78:AF82" si="48">AD78+AE78</f>
        <v>3891876.6399999997</v>
      </c>
      <c r="AG78" s="60" t="s">
        <v>515</v>
      </c>
      <c r="AH78" s="12" t="s">
        <v>151</v>
      </c>
      <c r="AI78" s="1">
        <f>55820.78+402496.8+116946.4+62282.4</f>
        <v>637546.38</v>
      </c>
      <c r="AJ78" s="1">
        <f>12559.67+90561.78+26312.94+14013.54</f>
        <v>143447.93</v>
      </c>
    </row>
    <row r="79" spans="1:36" ht="96.75" customHeight="1" x14ac:dyDescent="0.25">
      <c r="A79" s="5">
        <f t="shared" si="38"/>
        <v>76</v>
      </c>
      <c r="B79" s="16">
        <v>129694</v>
      </c>
      <c r="C79" s="5">
        <v>694</v>
      </c>
      <c r="D79" s="41" t="s">
        <v>1981</v>
      </c>
      <c r="E79" s="18" t="s">
        <v>1303</v>
      </c>
      <c r="F79" s="3" t="s">
        <v>1306</v>
      </c>
      <c r="G79" s="5" t="s">
        <v>1997</v>
      </c>
      <c r="H79" s="6" t="s">
        <v>1092</v>
      </c>
      <c r="I79" s="8" t="s">
        <v>1309</v>
      </c>
      <c r="J79" s="2">
        <v>43635</v>
      </c>
      <c r="K79" s="2">
        <v>44458</v>
      </c>
      <c r="L79" s="17">
        <f t="shared" si="44"/>
        <v>79.559234452662935</v>
      </c>
      <c r="M79" s="5">
        <v>8</v>
      </c>
      <c r="N79" s="5" t="s">
        <v>262</v>
      </c>
      <c r="O79" s="5" t="s">
        <v>262</v>
      </c>
      <c r="P79" s="5" t="s">
        <v>174</v>
      </c>
      <c r="Q79" s="5" t="s">
        <v>34</v>
      </c>
      <c r="R79" s="4">
        <f t="shared" si="45"/>
        <v>3495320.83</v>
      </c>
      <c r="S79" s="1">
        <v>0</v>
      </c>
      <c r="T79" s="9">
        <v>3495320.83</v>
      </c>
      <c r="U79" s="4">
        <f t="shared" si="46"/>
        <v>810168.58</v>
      </c>
      <c r="V79" s="74">
        <v>0</v>
      </c>
      <c r="W79" s="54">
        <v>810168.58</v>
      </c>
      <c r="X79" s="4">
        <f t="shared" si="47"/>
        <v>63661.63</v>
      </c>
      <c r="Y79" s="1">
        <v>0</v>
      </c>
      <c r="Z79" s="9">
        <v>63661.63</v>
      </c>
      <c r="AA79" s="9">
        <f>AB79+AC79</f>
        <v>24205.5</v>
      </c>
      <c r="AB79" s="1">
        <v>0</v>
      </c>
      <c r="AC79" s="1">
        <v>24205.5</v>
      </c>
      <c r="AD79" s="45">
        <f t="shared" si="37"/>
        <v>4393356.54</v>
      </c>
      <c r="AE79" s="11">
        <v>0</v>
      </c>
      <c r="AF79" s="9">
        <f t="shared" si="48"/>
        <v>4393356.54</v>
      </c>
      <c r="AG79" s="60" t="s">
        <v>515</v>
      </c>
      <c r="AH79" s="12" t="s">
        <v>151</v>
      </c>
      <c r="AI79" s="1">
        <f>275886.09+348793.51+185829.79+143853.56</f>
        <v>954362.95000000019</v>
      </c>
      <c r="AJ79" s="1">
        <f>37362.62+81124.65+44853.88+35420.78</f>
        <v>198761.93</v>
      </c>
    </row>
    <row r="80" spans="1:36" ht="216.75" customHeight="1" x14ac:dyDescent="0.25">
      <c r="A80" s="5">
        <f t="shared" si="38"/>
        <v>77</v>
      </c>
      <c r="B80" s="16">
        <v>129016</v>
      </c>
      <c r="C80" s="5">
        <v>693</v>
      </c>
      <c r="D80" s="41" t="s">
        <v>1981</v>
      </c>
      <c r="E80" s="18" t="s">
        <v>1303</v>
      </c>
      <c r="F80" s="3" t="s">
        <v>1332</v>
      </c>
      <c r="G80" s="5" t="s">
        <v>1053</v>
      </c>
      <c r="H80" s="6" t="s">
        <v>151</v>
      </c>
      <c r="I80" s="8" t="s">
        <v>1333</v>
      </c>
      <c r="J80" s="2">
        <v>43654</v>
      </c>
      <c r="K80" s="2">
        <v>44173</v>
      </c>
      <c r="L80" s="17">
        <f t="shared" si="44"/>
        <v>79.999998958694746</v>
      </c>
      <c r="M80" s="5">
        <v>8</v>
      </c>
      <c r="N80" s="5" t="s">
        <v>262</v>
      </c>
      <c r="O80" s="5" t="s">
        <v>262</v>
      </c>
      <c r="P80" s="5" t="s">
        <v>174</v>
      </c>
      <c r="Q80" s="5" t="s">
        <v>34</v>
      </c>
      <c r="R80" s="4">
        <f t="shared" si="45"/>
        <v>307306.62</v>
      </c>
      <c r="S80" s="1">
        <v>0</v>
      </c>
      <c r="T80" s="9">
        <v>307306.62</v>
      </c>
      <c r="U80" s="4">
        <f t="shared" si="46"/>
        <v>69143.95</v>
      </c>
      <c r="V80" s="74">
        <v>0</v>
      </c>
      <c r="W80" s="54">
        <v>69143.95</v>
      </c>
      <c r="X80" s="4">
        <f t="shared" si="47"/>
        <v>7682.71</v>
      </c>
      <c r="Y80" s="1">
        <v>0</v>
      </c>
      <c r="Z80" s="9">
        <v>7682.71</v>
      </c>
      <c r="AA80" s="9">
        <f>AB80+AC80</f>
        <v>0</v>
      </c>
      <c r="AB80" s="1">
        <v>0</v>
      </c>
      <c r="AC80" s="1">
        <v>0</v>
      </c>
      <c r="AD80" s="45">
        <f t="shared" si="37"/>
        <v>384133.28</v>
      </c>
      <c r="AE80" s="11">
        <v>0</v>
      </c>
      <c r="AF80" s="9">
        <f t="shared" si="48"/>
        <v>384133.28</v>
      </c>
      <c r="AG80" s="60" t="s">
        <v>966</v>
      </c>
      <c r="AH80" s="60" t="s">
        <v>2012</v>
      </c>
      <c r="AI80" s="1">
        <f>110102.97+161350.83</f>
        <v>271453.8</v>
      </c>
      <c r="AJ80" s="1">
        <f>24773.14+36303.93</f>
        <v>61077.07</v>
      </c>
    </row>
    <row r="81" spans="1:36" ht="216.75" customHeight="1" x14ac:dyDescent="0.25">
      <c r="A81" s="5">
        <f t="shared" si="38"/>
        <v>78</v>
      </c>
      <c r="B81" s="16">
        <v>136166</v>
      </c>
      <c r="C81" s="5">
        <v>856</v>
      </c>
      <c r="D81" s="41" t="s">
        <v>1981</v>
      </c>
      <c r="E81" s="18" t="s">
        <v>1691</v>
      </c>
      <c r="F81" s="3" t="s">
        <v>1692</v>
      </c>
      <c r="G81" s="5" t="s">
        <v>1996</v>
      </c>
      <c r="H81" s="6" t="s">
        <v>1693</v>
      </c>
      <c r="I81" s="8" t="s">
        <v>1694</v>
      </c>
      <c r="J81" s="2">
        <v>43900</v>
      </c>
      <c r="K81" s="2">
        <v>44905</v>
      </c>
      <c r="L81" s="17">
        <f t="shared" si="44"/>
        <v>79.999999908763286</v>
      </c>
      <c r="M81" s="5">
        <v>8</v>
      </c>
      <c r="N81" s="5" t="s">
        <v>262</v>
      </c>
      <c r="O81" s="5" t="s">
        <v>262</v>
      </c>
      <c r="P81" s="5" t="s">
        <v>174</v>
      </c>
      <c r="Q81" s="5" t="s">
        <v>34</v>
      </c>
      <c r="R81" s="4">
        <f t="shared" si="45"/>
        <v>1753679.95</v>
      </c>
      <c r="S81" s="1">
        <v>0</v>
      </c>
      <c r="T81" s="9">
        <v>1753679.95</v>
      </c>
      <c r="U81" s="4">
        <f t="shared" si="46"/>
        <v>394577.99</v>
      </c>
      <c r="V81" s="74">
        <v>0</v>
      </c>
      <c r="W81" s="54">
        <v>394577.99</v>
      </c>
      <c r="X81" s="4">
        <f t="shared" si="47"/>
        <v>43842</v>
      </c>
      <c r="Y81" s="1">
        <v>0</v>
      </c>
      <c r="Z81" s="9">
        <v>43842</v>
      </c>
      <c r="AA81" s="9">
        <f>AB81+AC81</f>
        <v>0</v>
      </c>
      <c r="AB81" s="1">
        <v>0</v>
      </c>
      <c r="AC81" s="1">
        <v>0</v>
      </c>
      <c r="AD81" s="45">
        <f t="shared" si="37"/>
        <v>2192099.94</v>
      </c>
      <c r="AE81" s="11">
        <v>0</v>
      </c>
      <c r="AF81" s="9">
        <f t="shared" si="48"/>
        <v>2192099.94</v>
      </c>
      <c r="AG81" s="60" t="s">
        <v>515</v>
      </c>
      <c r="AH81" s="60" t="s">
        <v>2226</v>
      </c>
      <c r="AI81" s="1">
        <f>37692.8+172704.72</f>
        <v>210397.52000000002</v>
      </c>
      <c r="AJ81" s="1">
        <f>8480.88+38858.56</f>
        <v>47339.439999999995</v>
      </c>
    </row>
    <row r="82" spans="1:36" ht="216.75" customHeight="1" x14ac:dyDescent="0.25">
      <c r="A82" s="5">
        <f t="shared" si="38"/>
        <v>79</v>
      </c>
      <c r="B82" s="16">
        <v>135779</v>
      </c>
      <c r="C82" s="5">
        <v>780</v>
      </c>
      <c r="D82" s="41" t="s">
        <v>1981</v>
      </c>
      <c r="E82" s="18" t="s">
        <v>1691</v>
      </c>
      <c r="F82" s="3" t="s">
        <v>1695</v>
      </c>
      <c r="G82" s="5" t="s">
        <v>1997</v>
      </c>
      <c r="H82" s="6" t="s">
        <v>1696</v>
      </c>
      <c r="I82" s="8" t="s">
        <v>2096</v>
      </c>
      <c r="J82" s="2">
        <v>43901</v>
      </c>
      <c r="K82" s="2">
        <v>44631</v>
      </c>
      <c r="L82" s="17">
        <f t="shared" si="44"/>
        <v>80.000000203403673</v>
      </c>
      <c r="M82" s="5">
        <v>8</v>
      </c>
      <c r="N82" s="5" t="s">
        <v>262</v>
      </c>
      <c r="O82" s="5" t="s">
        <v>262</v>
      </c>
      <c r="P82" s="5" t="s">
        <v>174</v>
      </c>
      <c r="Q82" s="5" t="s">
        <v>34</v>
      </c>
      <c r="R82" s="4">
        <f t="shared" si="45"/>
        <v>2359839.4300000002</v>
      </c>
      <c r="S82" s="1">
        <v>0</v>
      </c>
      <c r="T82" s="9">
        <v>2359839.4300000002</v>
      </c>
      <c r="U82" s="4">
        <f t="shared" si="46"/>
        <v>530963.84</v>
      </c>
      <c r="V82" s="74">
        <v>0</v>
      </c>
      <c r="W82" s="54">
        <v>530963.84</v>
      </c>
      <c r="X82" s="4">
        <f t="shared" si="47"/>
        <v>58996.01</v>
      </c>
      <c r="Y82" s="1">
        <v>0</v>
      </c>
      <c r="Z82" s="9">
        <v>58996.01</v>
      </c>
      <c r="AA82" s="9">
        <f>AB82+AC82</f>
        <v>0</v>
      </c>
      <c r="AB82" s="1">
        <v>0</v>
      </c>
      <c r="AC82" s="1">
        <v>0</v>
      </c>
      <c r="AD82" s="45">
        <f t="shared" si="37"/>
        <v>2949799.28</v>
      </c>
      <c r="AE82" s="11"/>
      <c r="AF82" s="9">
        <f t="shared" si="48"/>
        <v>2949799.28</v>
      </c>
      <c r="AG82" s="60" t="s">
        <v>515</v>
      </c>
      <c r="AH82" s="12"/>
      <c r="AI82" s="1">
        <f>46438.4+37616+39314.4</f>
        <v>123368.79999999999</v>
      </c>
      <c r="AJ82" s="1">
        <f>10448.64+8463.6+8845.74</f>
        <v>27757.979999999996</v>
      </c>
    </row>
    <row r="83" spans="1:36" ht="315" x14ac:dyDescent="0.25">
      <c r="A83" s="5">
        <f t="shared" si="38"/>
        <v>80</v>
      </c>
      <c r="B83" s="70">
        <v>118335</v>
      </c>
      <c r="C83" s="70">
        <v>427</v>
      </c>
      <c r="D83" s="8" t="s">
        <v>1982</v>
      </c>
      <c r="E83" s="18" t="s">
        <v>540</v>
      </c>
      <c r="F83" s="18" t="s">
        <v>612</v>
      </c>
      <c r="G83" s="5" t="s">
        <v>613</v>
      </c>
      <c r="H83" s="6" t="s">
        <v>151</v>
      </c>
      <c r="I83" s="88" t="s">
        <v>618</v>
      </c>
      <c r="J83" s="2">
        <v>43284</v>
      </c>
      <c r="K83" s="2">
        <v>43711</v>
      </c>
      <c r="L83" s="17">
        <f t="shared" ref="L83:L92" si="49">R83/AD83*100</f>
        <v>85.000001775483071</v>
      </c>
      <c r="M83" s="5">
        <v>2</v>
      </c>
      <c r="N83" s="5" t="s">
        <v>614</v>
      </c>
      <c r="O83" s="5" t="s">
        <v>614</v>
      </c>
      <c r="P83" s="5" t="s">
        <v>174</v>
      </c>
      <c r="Q83" s="5" t="s">
        <v>34</v>
      </c>
      <c r="R83" s="4">
        <v>239371.48</v>
      </c>
      <c r="S83" s="9">
        <v>239371.48</v>
      </c>
      <c r="T83" s="1">
        <v>0</v>
      </c>
      <c r="U83" s="4">
        <f t="shared" si="46"/>
        <v>36609.75</v>
      </c>
      <c r="V83" s="54">
        <v>36609.75</v>
      </c>
      <c r="W83" s="71">
        <v>0</v>
      </c>
      <c r="X83" s="4">
        <f t="shared" si="47"/>
        <v>5632.27</v>
      </c>
      <c r="Y83" s="9">
        <v>5632.27</v>
      </c>
      <c r="Z83" s="1">
        <v>0</v>
      </c>
      <c r="AA83" s="9">
        <f>AB83+AC83</f>
        <v>0</v>
      </c>
      <c r="AB83" s="1">
        <v>0</v>
      </c>
      <c r="AC83" s="1">
        <v>0</v>
      </c>
      <c r="AD83" s="45">
        <f t="shared" si="37"/>
        <v>281613.5</v>
      </c>
      <c r="AE83" s="12">
        <v>0</v>
      </c>
      <c r="AF83" s="9">
        <f t="shared" ref="AF83:AF92" si="50">AD83+AE83</f>
        <v>281613.5</v>
      </c>
      <c r="AG83" s="50" t="s">
        <v>966</v>
      </c>
      <c r="AH83" s="12" t="s">
        <v>1216</v>
      </c>
      <c r="AI83" s="1">
        <v>238071.21999999997</v>
      </c>
      <c r="AJ83" s="1">
        <v>36410.870000000003</v>
      </c>
    </row>
    <row r="84" spans="1:36" ht="362.25" x14ac:dyDescent="0.25">
      <c r="A84" s="5">
        <f t="shared" si="38"/>
        <v>81</v>
      </c>
      <c r="B84" s="70">
        <v>118396</v>
      </c>
      <c r="C84" s="70">
        <v>428</v>
      </c>
      <c r="D84" s="8" t="s">
        <v>1982</v>
      </c>
      <c r="E84" s="18" t="s">
        <v>540</v>
      </c>
      <c r="F84" s="8" t="s">
        <v>770</v>
      </c>
      <c r="G84" s="5" t="s">
        <v>771</v>
      </c>
      <c r="H84" s="5" t="s">
        <v>723</v>
      </c>
      <c r="I84" s="111" t="s">
        <v>772</v>
      </c>
      <c r="J84" s="2">
        <v>43312</v>
      </c>
      <c r="K84" s="2">
        <v>43861</v>
      </c>
      <c r="L84" s="17">
        <f t="shared" si="49"/>
        <v>84.167393553203468</v>
      </c>
      <c r="M84" s="112">
        <v>2</v>
      </c>
      <c r="N84" s="5" t="s">
        <v>614</v>
      </c>
      <c r="O84" s="5" t="s">
        <v>614</v>
      </c>
      <c r="P84" s="5" t="s">
        <v>174</v>
      </c>
      <c r="Q84" s="5" t="s">
        <v>34</v>
      </c>
      <c r="R84" s="1">
        <f>S84</f>
        <v>326686.85000000009</v>
      </c>
      <c r="S84" s="1">
        <v>326686.85000000009</v>
      </c>
      <c r="T84" s="1">
        <v>0</v>
      </c>
      <c r="U84" s="4">
        <f t="shared" si="46"/>
        <v>53689.799999999996</v>
      </c>
      <c r="V84" s="74">
        <v>53689.799999999996</v>
      </c>
      <c r="W84" s="74">
        <v>0</v>
      </c>
      <c r="X84" s="4">
        <f t="shared" si="47"/>
        <v>3960.82</v>
      </c>
      <c r="Y84" s="1">
        <v>3960.82</v>
      </c>
      <c r="Z84" s="1">
        <v>0</v>
      </c>
      <c r="AA84" s="9">
        <f>AB84+AC84</f>
        <v>3801.97</v>
      </c>
      <c r="AB84" s="1">
        <v>3801.97</v>
      </c>
      <c r="AC84" s="1">
        <v>0</v>
      </c>
      <c r="AD84" s="45">
        <f t="shared" si="37"/>
        <v>388139.44000000006</v>
      </c>
      <c r="AE84" s="12">
        <v>0</v>
      </c>
      <c r="AF84" s="9">
        <f t="shared" si="50"/>
        <v>388139.44000000006</v>
      </c>
      <c r="AG84" s="60" t="s">
        <v>966</v>
      </c>
      <c r="AH84" s="12" t="s">
        <v>1573</v>
      </c>
      <c r="AI84" s="1">
        <v>228534.63999999998</v>
      </c>
      <c r="AJ84" s="1">
        <v>38165.25</v>
      </c>
    </row>
    <row r="85" spans="1:36" ht="189" x14ac:dyDescent="0.25">
      <c r="A85" s="5">
        <f t="shared" si="38"/>
        <v>82</v>
      </c>
      <c r="B85" s="16">
        <v>119892</v>
      </c>
      <c r="C85" s="70">
        <v>480</v>
      </c>
      <c r="D85" s="41" t="s">
        <v>1981</v>
      </c>
      <c r="E85" s="18" t="s">
        <v>474</v>
      </c>
      <c r="F85" s="8" t="s">
        <v>985</v>
      </c>
      <c r="G85" s="5" t="s">
        <v>986</v>
      </c>
      <c r="H85" s="5" t="s">
        <v>362</v>
      </c>
      <c r="I85" s="42" t="s">
        <v>987</v>
      </c>
      <c r="J85" s="113">
        <v>43389</v>
      </c>
      <c r="K85" s="2">
        <v>43906</v>
      </c>
      <c r="L85" s="17">
        <f t="shared" si="49"/>
        <v>85.000001891187381</v>
      </c>
      <c r="M85" s="16">
        <v>2</v>
      </c>
      <c r="N85" s="5" t="s">
        <v>614</v>
      </c>
      <c r="O85" s="5" t="s">
        <v>988</v>
      </c>
      <c r="P85" s="32" t="s">
        <v>174</v>
      </c>
      <c r="Q85" s="5" t="s">
        <v>478</v>
      </c>
      <c r="R85" s="114">
        <f t="shared" ref="R85:R92" si="51">S85+T85</f>
        <v>337089.82</v>
      </c>
      <c r="S85" s="1">
        <v>337089.82</v>
      </c>
      <c r="T85" s="1">
        <v>0</v>
      </c>
      <c r="U85" s="4">
        <f t="shared" si="46"/>
        <v>51554.92</v>
      </c>
      <c r="V85" s="54">
        <v>51554.92</v>
      </c>
      <c r="W85" s="115">
        <v>0</v>
      </c>
      <c r="X85" s="4">
        <f t="shared" si="47"/>
        <v>7931.51</v>
      </c>
      <c r="Y85" s="116">
        <v>7931.51</v>
      </c>
      <c r="Z85" s="1">
        <v>0</v>
      </c>
      <c r="AA85" s="5">
        <v>0</v>
      </c>
      <c r="AB85" s="5">
        <v>0</v>
      </c>
      <c r="AC85" s="1">
        <v>0</v>
      </c>
      <c r="AD85" s="45">
        <f t="shared" si="37"/>
        <v>396576.25</v>
      </c>
      <c r="AE85" s="117">
        <v>2189.6</v>
      </c>
      <c r="AF85" s="9">
        <f t="shared" si="50"/>
        <v>398765.85</v>
      </c>
      <c r="AG85" s="60" t="s">
        <v>966</v>
      </c>
      <c r="AH85" s="12" t="s">
        <v>1366</v>
      </c>
      <c r="AI85" s="1">
        <v>303728.18</v>
      </c>
      <c r="AJ85" s="1">
        <v>46452.54</v>
      </c>
    </row>
    <row r="86" spans="1:36" ht="157.5" x14ac:dyDescent="0.25">
      <c r="A86" s="5">
        <f t="shared" si="38"/>
        <v>83</v>
      </c>
      <c r="B86" s="16">
        <v>126446</v>
      </c>
      <c r="C86" s="70">
        <v>543</v>
      </c>
      <c r="D86" s="41" t="s">
        <v>1981</v>
      </c>
      <c r="E86" s="18" t="s">
        <v>1018</v>
      </c>
      <c r="F86" s="8" t="s">
        <v>1021</v>
      </c>
      <c r="G86" s="5" t="s">
        <v>986</v>
      </c>
      <c r="H86" s="5" t="s">
        <v>362</v>
      </c>
      <c r="I86" s="42" t="s">
        <v>1022</v>
      </c>
      <c r="J86" s="113">
        <v>43430</v>
      </c>
      <c r="K86" s="2">
        <v>44618</v>
      </c>
      <c r="L86" s="17">
        <f t="shared" si="49"/>
        <v>85.000000017455704</v>
      </c>
      <c r="M86" s="16">
        <v>2</v>
      </c>
      <c r="N86" s="5" t="s">
        <v>614</v>
      </c>
      <c r="O86" s="5" t="s">
        <v>988</v>
      </c>
      <c r="P86" s="32" t="s">
        <v>174</v>
      </c>
      <c r="Q86" s="5" t="s">
        <v>478</v>
      </c>
      <c r="R86" s="114">
        <f t="shared" si="51"/>
        <v>2434734.11</v>
      </c>
      <c r="S86" s="1">
        <v>2434734.11</v>
      </c>
      <c r="T86" s="1">
        <v>0</v>
      </c>
      <c r="U86" s="4">
        <f t="shared" si="46"/>
        <v>372371.1</v>
      </c>
      <c r="V86" s="54">
        <v>372371.1</v>
      </c>
      <c r="W86" s="115">
        <v>0</v>
      </c>
      <c r="X86" s="4">
        <f t="shared" si="47"/>
        <v>57287.86</v>
      </c>
      <c r="Y86" s="116">
        <v>57287.86</v>
      </c>
      <c r="Z86" s="1">
        <v>0</v>
      </c>
      <c r="AA86" s="9">
        <f t="shared" ref="AA86:AA91" si="52">AB86+AC86</f>
        <v>0</v>
      </c>
      <c r="AB86" s="1">
        <v>0</v>
      </c>
      <c r="AC86" s="1">
        <v>0</v>
      </c>
      <c r="AD86" s="45">
        <f t="shared" si="37"/>
        <v>2864393.07</v>
      </c>
      <c r="AE86" s="16"/>
      <c r="AF86" s="9">
        <f t="shared" si="50"/>
        <v>2864393.07</v>
      </c>
      <c r="AG86" s="60" t="s">
        <v>515</v>
      </c>
      <c r="AH86" s="60" t="s">
        <v>2118</v>
      </c>
      <c r="AI86" s="1">
        <f>148644.99+110292.95+91247.42+379969.97+164834.04+401292.39+387404.5</f>
        <v>1683686.26</v>
      </c>
      <c r="AJ86" s="1">
        <f>22733.93+16868.33+13955.48+58113.06+25209.91+61374.14+59250.1</f>
        <v>257504.94999999998</v>
      </c>
    </row>
    <row r="87" spans="1:36" ht="189" x14ac:dyDescent="0.25">
      <c r="A87" s="5">
        <f t="shared" si="38"/>
        <v>84</v>
      </c>
      <c r="B87" s="16">
        <v>120730</v>
      </c>
      <c r="C87" s="6">
        <v>92</v>
      </c>
      <c r="D87" s="41" t="s">
        <v>1981</v>
      </c>
      <c r="E87" s="18" t="s">
        <v>278</v>
      </c>
      <c r="F87" s="8" t="s">
        <v>197</v>
      </c>
      <c r="G87" s="5" t="s">
        <v>196</v>
      </c>
      <c r="H87" s="5" t="s">
        <v>151</v>
      </c>
      <c r="I87" s="42" t="s">
        <v>199</v>
      </c>
      <c r="J87" s="2">
        <v>43145</v>
      </c>
      <c r="K87" s="2">
        <v>43630</v>
      </c>
      <c r="L87" s="17">
        <f t="shared" si="49"/>
        <v>85.000000355065879</v>
      </c>
      <c r="M87" s="5">
        <v>2</v>
      </c>
      <c r="N87" s="5" t="s">
        <v>614</v>
      </c>
      <c r="O87" s="5" t="s">
        <v>1168</v>
      </c>
      <c r="P87" s="3" t="s">
        <v>174</v>
      </c>
      <c r="Q87" s="5" t="s">
        <v>34</v>
      </c>
      <c r="R87" s="9">
        <f t="shared" si="51"/>
        <v>359088.29</v>
      </c>
      <c r="S87" s="9">
        <v>359088.29</v>
      </c>
      <c r="T87" s="9">
        <v>0</v>
      </c>
      <c r="U87" s="4">
        <f t="shared" si="46"/>
        <v>54919.39</v>
      </c>
      <c r="V87" s="54">
        <v>54919.39</v>
      </c>
      <c r="W87" s="54">
        <v>0</v>
      </c>
      <c r="X87" s="4">
        <f t="shared" si="47"/>
        <v>8449.1299999999992</v>
      </c>
      <c r="Y87" s="9">
        <v>8449.1299999999992</v>
      </c>
      <c r="Z87" s="9">
        <v>0</v>
      </c>
      <c r="AA87" s="9">
        <f t="shared" si="52"/>
        <v>0</v>
      </c>
      <c r="AB87" s="9">
        <v>0</v>
      </c>
      <c r="AC87" s="9">
        <v>0</v>
      </c>
      <c r="AD87" s="45">
        <f t="shared" si="37"/>
        <v>422456.81</v>
      </c>
      <c r="AE87" s="9">
        <v>66435.22</v>
      </c>
      <c r="AF87" s="9">
        <f t="shared" si="50"/>
        <v>488892.03</v>
      </c>
      <c r="AG87" s="50" t="s">
        <v>966</v>
      </c>
      <c r="AH87" s="14" t="s">
        <v>151</v>
      </c>
      <c r="AI87" s="1">
        <v>331095.73</v>
      </c>
      <c r="AJ87" s="1">
        <v>50638.16</v>
      </c>
    </row>
    <row r="88" spans="1:36" ht="141.75" x14ac:dyDescent="0.25">
      <c r="A88" s="5">
        <f t="shared" si="38"/>
        <v>85</v>
      </c>
      <c r="B88" s="16">
        <v>129270</v>
      </c>
      <c r="C88" s="5">
        <v>647</v>
      </c>
      <c r="D88" s="41" t="s">
        <v>1981</v>
      </c>
      <c r="E88" s="18" t="s">
        <v>1246</v>
      </c>
      <c r="F88" s="56" t="s">
        <v>1346</v>
      </c>
      <c r="G88" s="5" t="s">
        <v>196</v>
      </c>
      <c r="H88" s="5" t="s">
        <v>151</v>
      </c>
      <c r="I88" s="42" t="s">
        <v>1347</v>
      </c>
      <c r="J88" s="2">
        <v>43656</v>
      </c>
      <c r="K88" s="2">
        <v>44296</v>
      </c>
      <c r="L88" s="17">
        <f t="shared" si="49"/>
        <v>84.999999975703545</v>
      </c>
      <c r="M88" s="5">
        <v>2</v>
      </c>
      <c r="N88" s="5" t="s">
        <v>614</v>
      </c>
      <c r="O88" s="5" t="s">
        <v>1168</v>
      </c>
      <c r="P88" s="3" t="s">
        <v>174</v>
      </c>
      <c r="Q88" s="5" t="s">
        <v>34</v>
      </c>
      <c r="R88" s="9">
        <f t="shared" si="51"/>
        <v>1749225.82</v>
      </c>
      <c r="S88" s="9">
        <v>1749225.82</v>
      </c>
      <c r="T88" s="9">
        <v>0</v>
      </c>
      <c r="U88" s="4">
        <f t="shared" si="46"/>
        <v>267528.65999999997</v>
      </c>
      <c r="V88" s="54">
        <v>267528.65999999997</v>
      </c>
      <c r="W88" s="54">
        <v>0</v>
      </c>
      <c r="X88" s="4">
        <f t="shared" si="47"/>
        <v>41158.25</v>
      </c>
      <c r="Y88" s="9">
        <v>41158.25</v>
      </c>
      <c r="Z88" s="9">
        <v>0</v>
      </c>
      <c r="AA88" s="9">
        <f t="shared" si="52"/>
        <v>0</v>
      </c>
      <c r="AB88" s="9">
        <v>0</v>
      </c>
      <c r="AC88" s="9">
        <v>0</v>
      </c>
      <c r="AD88" s="45">
        <f t="shared" si="37"/>
        <v>2057912.73</v>
      </c>
      <c r="AE88" s="9">
        <v>0</v>
      </c>
      <c r="AF88" s="9">
        <f t="shared" si="50"/>
        <v>2057912.73</v>
      </c>
      <c r="AG88" s="60" t="s">
        <v>966</v>
      </c>
      <c r="AH88" s="14" t="s">
        <v>2098</v>
      </c>
      <c r="AI88" s="1">
        <f>166775.7+14801.9+886408.22+130598.51+13288.05+485288.13+13655.25</f>
        <v>1710815.7600000002</v>
      </c>
      <c r="AJ88" s="1">
        <f>25506.87+2263.82+135568.33+19973.88+2032.29+74220.54+2088.45</f>
        <v>261654.18</v>
      </c>
    </row>
    <row r="89" spans="1:36" ht="157.5" x14ac:dyDescent="0.25">
      <c r="A89" s="5">
        <f t="shared" si="38"/>
        <v>86</v>
      </c>
      <c r="B89" s="16">
        <v>128948</v>
      </c>
      <c r="C89" s="6">
        <v>664</v>
      </c>
      <c r="D89" s="41" t="s">
        <v>1981</v>
      </c>
      <c r="E89" s="18" t="s">
        <v>1246</v>
      </c>
      <c r="F89" s="56" t="s">
        <v>1481</v>
      </c>
      <c r="G89" s="5" t="s">
        <v>986</v>
      </c>
      <c r="H89" s="5" t="s">
        <v>151</v>
      </c>
      <c r="I89" s="42" t="s">
        <v>1482</v>
      </c>
      <c r="J89" s="2">
        <v>43712</v>
      </c>
      <c r="K89" s="2">
        <v>44443</v>
      </c>
      <c r="L89" s="17">
        <f t="shared" si="49"/>
        <v>85.000000102885792</v>
      </c>
      <c r="M89" s="5">
        <v>2</v>
      </c>
      <c r="N89" s="5" t="s">
        <v>614</v>
      </c>
      <c r="O89" s="5" t="s">
        <v>988</v>
      </c>
      <c r="P89" s="3" t="s">
        <v>174</v>
      </c>
      <c r="Q89" s="5" t="s">
        <v>34</v>
      </c>
      <c r="R89" s="9">
        <f t="shared" si="51"/>
        <v>826158.81</v>
      </c>
      <c r="S89" s="9">
        <v>826158.81</v>
      </c>
      <c r="T89" s="9">
        <v>0</v>
      </c>
      <c r="U89" s="4">
        <f t="shared" si="46"/>
        <v>126353.7</v>
      </c>
      <c r="V89" s="54">
        <v>126353.7</v>
      </c>
      <c r="W89" s="54">
        <v>0</v>
      </c>
      <c r="X89" s="4">
        <f t="shared" si="47"/>
        <v>19439.03</v>
      </c>
      <c r="Y89" s="9">
        <v>19439.03</v>
      </c>
      <c r="Z89" s="9">
        <v>0</v>
      </c>
      <c r="AA89" s="9">
        <f t="shared" si="52"/>
        <v>0</v>
      </c>
      <c r="AB89" s="9">
        <v>0</v>
      </c>
      <c r="AC89" s="9">
        <v>0</v>
      </c>
      <c r="AD89" s="45">
        <f t="shared" si="37"/>
        <v>971951.54</v>
      </c>
      <c r="AE89" s="9">
        <v>0</v>
      </c>
      <c r="AF89" s="9">
        <f t="shared" si="50"/>
        <v>971951.54</v>
      </c>
      <c r="AG89" s="60" t="s">
        <v>515</v>
      </c>
      <c r="AH89" s="14"/>
      <c r="AI89" s="1">
        <v>270562.09000000003</v>
      </c>
      <c r="AJ89" s="1">
        <v>41380.080000000002</v>
      </c>
    </row>
    <row r="90" spans="1:36" ht="180" x14ac:dyDescent="0.25">
      <c r="A90" s="5">
        <f t="shared" si="38"/>
        <v>87</v>
      </c>
      <c r="B90" s="62">
        <v>135741</v>
      </c>
      <c r="C90" s="118">
        <v>772</v>
      </c>
      <c r="D90" s="41" t="s">
        <v>1981</v>
      </c>
      <c r="E90" s="18" t="s">
        <v>1700</v>
      </c>
      <c r="F90" s="56" t="s">
        <v>1703</v>
      </c>
      <c r="G90" s="5" t="s">
        <v>986</v>
      </c>
      <c r="H90" s="5" t="s">
        <v>151</v>
      </c>
      <c r="I90" s="42" t="s">
        <v>1754</v>
      </c>
      <c r="J90" s="64">
        <v>43949</v>
      </c>
      <c r="K90" s="64">
        <v>44467</v>
      </c>
      <c r="L90" s="65">
        <f t="shared" si="49"/>
        <v>85</v>
      </c>
      <c r="M90" s="63">
        <v>2</v>
      </c>
      <c r="N90" s="63" t="s">
        <v>614</v>
      </c>
      <c r="O90" s="63" t="s">
        <v>988</v>
      </c>
      <c r="P90" s="66" t="s">
        <v>174</v>
      </c>
      <c r="Q90" s="63" t="s">
        <v>34</v>
      </c>
      <c r="R90" s="67">
        <f t="shared" si="51"/>
        <v>849255.4</v>
      </c>
      <c r="S90" s="67">
        <v>849255.4</v>
      </c>
      <c r="T90" s="67">
        <v>0</v>
      </c>
      <c r="U90" s="68">
        <f t="shared" si="46"/>
        <v>129886.12</v>
      </c>
      <c r="V90" s="69">
        <v>129886.12</v>
      </c>
      <c r="W90" s="69">
        <v>0</v>
      </c>
      <c r="X90" s="68">
        <f t="shared" si="47"/>
        <v>19982.48</v>
      </c>
      <c r="Y90" s="67">
        <v>19982.48</v>
      </c>
      <c r="Z90" s="67">
        <v>0</v>
      </c>
      <c r="AA90" s="67">
        <f t="shared" si="52"/>
        <v>0</v>
      </c>
      <c r="AB90" s="67">
        <v>0</v>
      </c>
      <c r="AC90" s="67">
        <v>0</v>
      </c>
      <c r="AD90" s="45">
        <f t="shared" si="37"/>
        <v>999124</v>
      </c>
      <c r="AE90" s="67">
        <v>0</v>
      </c>
      <c r="AF90" s="67">
        <f t="shared" si="50"/>
        <v>999124</v>
      </c>
      <c r="AG90" s="60" t="s">
        <v>515</v>
      </c>
      <c r="AH90" s="14"/>
      <c r="AI90" s="1">
        <f>35402.5+6069</f>
        <v>41471.5</v>
      </c>
      <c r="AJ90" s="1">
        <f>5414.5+928.2</f>
        <v>6342.7</v>
      </c>
    </row>
    <row r="91" spans="1:36" ht="180" x14ac:dyDescent="0.25">
      <c r="A91" s="5">
        <f t="shared" si="38"/>
        <v>88</v>
      </c>
      <c r="B91" s="62">
        <v>136038</v>
      </c>
      <c r="C91" s="118">
        <v>794</v>
      </c>
      <c r="D91" s="41" t="s">
        <v>1981</v>
      </c>
      <c r="E91" s="18" t="s">
        <v>1700</v>
      </c>
      <c r="F91" s="56" t="s">
        <v>1753</v>
      </c>
      <c r="G91" s="5" t="s">
        <v>771</v>
      </c>
      <c r="H91" s="5" t="s">
        <v>151</v>
      </c>
      <c r="I91" s="42" t="s">
        <v>1755</v>
      </c>
      <c r="J91" s="64">
        <v>43969</v>
      </c>
      <c r="K91" s="64">
        <v>44760</v>
      </c>
      <c r="L91" s="65">
        <f t="shared" si="49"/>
        <v>85</v>
      </c>
      <c r="M91" s="63">
        <v>2</v>
      </c>
      <c r="N91" s="63" t="s">
        <v>614</v>
      </c>
      <c r="O91" s="63" t="s">
        <v>988</v>
      </c>
      <c r="P91" s="66" t="s">
        <v>174</v>
      </c>
      <c r="Q91" s="63" t="s">
        <v>34</v>
      </c>
      <c r="R91" s="67">
        <f t="shared" si="51"/>
        <v>3210818.0500000003</v>
      </c>
      <c r="S91" s="67">
        <v>3210818.0500000003</v>
      </c>
      <c r="T91" s="67">
        <v>0</v>
      </c>
      <c r="U91" s="68">
        <f t="shared" si="46"/>
        <v>491066.29</v>
      </c>
      <c r="V91" s="69">
        <v>491066.29</v>
      </c>
      <c r="W91" s="69">
        <v>0</v>
      </c>
      <c r="X91" s="68">
        <f t="shared" si="47"/>
        <v>75548.66</v>
      </c>
      <c r="Y91" s="67">
        <v>75548.66</v>
      </c>
      <c r="Z91" s="67">
        <v>0</v>
      </c>
      <c r="AA91" s="67">
        <f t="shared" si="52"/>
        <v>0</v>
      </c>
      <c r="AB91" s="67">
        <v>0</v>
      </c>
      <c r="AC91" s="67">
        <v>0</v>
      </c>
      <c r="AD91" s="45">
        <f t="shared" si="37"/>
        <v>3777433.0000000005</v>
      </c>
      <c r="AE91" s="67">
        <v>95200</v>
      </c>
      <c r="AF91" s="67">
        <f t="shared" si="50"/>
        <v>3872633.0000000005</v>
      </c>
      <c r="AG91" s="60" t="s">
        <v>515</v>
      </c>
      <c r="AH91" s="14"/>
      <c r="AI91" s="1">
        <f>61207.73+24043.1+329688.24</f>
        <v>414939.07</v>
      </c>
      <c r="AJ91" s="1">
        <f>9361.18+3677.18+50422.91</f>
        <v>63461.270000000004</v>
      </c>
    </row>
    <row r="92" spans="1:36" ht="267.75" x14ac:dyDescent="0.25">
      <c r="A92" s="5">
        <f t="shared" si="38"/>
        <v>89</v>
      </c>
      <c r="B92" s="62">
        <v>135535</v>
      </c>
      <c r="C92" s="118">
        <v>781</v>
      </c>
      <c r="D92" s="41" t="s">
        <v>1981</v>
      </c>
      <c r="E92" s="18" t="s">
        <v>1700</v>
      </c>
      <c r="F92" s="56" t="s">
        <v>1854</v>
      </c>
      <c r="G92" s="5" t="s">
        <v>196</v>
      </c>
      <c r="H92" s="5" t="s">
        <v>362</v>
      </c>
      <c r="I92" s="42" t="s">
        <v>1855</v>
      </c>
      <c r="J92" s="64">
        <v>44008</v>
      </c>
      <c r="K92" s="64">
        <v>44556</v>
      </c>
      <c r="L92" s="65">
        <f t="shared" si="49"/>
        <v>85.000000029541837</v>
      </c>
      <c r="M92" s="63">
        <v>2</v>
      </c>
      <c r="N92" s="63" t="s">
        <v>614</v>
      </c>
      <c r="O92" s="5" t="s">
        <v>1168</v>
      </c>
      <c r="P92" s="66" t="s">
        <v>174</v>
      </c>
      <c r="Q92" s="63" t="s">
        <v>34</v>
      </c>
      <c r="R92" s="67">
        <f t="shared" si="51"/>
        <v>2877274.6</v>
      </c>
      <c r="S92" s="67">
        <v>2877274.6</v>
      </c>
      <c r="T92" s="67">
        <v>0</v>
      </c>
      <c r="U92" s="68">
        <f t="shared" si="46"/>
        <v>440053.75</v>
      </c>
      <c r="V92" s="69">
        <v>440053.75</v>
      </c>
      <c r="W92" s="69">
        <v>0</v>
      </c>
      <c r="X92" s="68">
        <f t="shared" si="47"/>
        <v>67700.59</v>
      </c>
      <c r="Y92" s="67">
        <v>67700.59</v>
      </c>
      <c r="Z92" s="67">
        <v>0</v>
      </c>
      <c r="AA92" s="67">
        <f>AB92+AC92</f>
        <v>0</v>
      </c>
      <c r="AB92" s="67">
        <v>0</v>
      </c>
      <c r="AC92" s="67">
        <v>0</v>
      </c>
      <c r="AD92" s="45">
        <f t="shared" si="37"/>
        <v>3385028.94</v>
      </c>
      <c r="AE92" s="67">
        <v>0</v>
      </c>
      <c r="AF92" s="67">
        <f t="shared" si="50"/>
        <v>3385028.94</v>
      </c>
      <c r="AG92" s="60" t="s">
        <v>515</v>
      </c>
      <c r="AH92" s="14"/>
      <c r="AI92" s="1">
        <f>117553.13+25953.16+132751.52+1335382.3</f>
        <v>1611640.11</v>
      </c>
      <c r="AJ92" s="1">
        <f>17978.71+3969.31+20303.16+204234.94</f>
        <v>246486.12</v>
      </c>
    </row>
    <row r="93" spans="1:36" ht="267.75" x14ac:dyDescent="0.25">
      <c r="A93" s="5">
        <f t="shared" si="38"/>
        <v>90</v>
      </c>
      <c r="B93" s="16">
        <v>118879</v>
      </c>
      <c r="C93" s="5">
        <v>452</v>
      </c>
      <c r="D93" s="8" t="s">
        <v>1982</v>
      </c>
      <c r="E93" s="18" t="s">
        <v>540</v>
      </c>
      <c r="F93" s="8" t="s">
        <v>718</v>
      </c>
      <c r="G93" s="5" t="s">
        <v>719</v>
      </c>
      <c r="H93" s="5" t="s">
        <v>151</v>
      </c>
      <c r="I93" s="8" t="s">
        <v>720</v>
      </c>
      <c r="J93" s="2">
        <v>43293</v>
      </c>
      <c r="K93" s="2">
        <v>43781</v>
      </c>
      <c r="L93" s="17">
        <f t="shared" ref="L93:L99" si="53">R93/AD93*100</f>
        <v>85</v>
      </c>
      <c r="M93" s="5">
        <v>3</v>
      </c>
      <c r="N93" s="5" t="s">
        <v>368</v>
      </c>
      <c r="O93" s="5" t="s">
        <v>368</v>
      </c>
      <c r="P93" s="5" t="s">
        <v>174</v>
      </c>
      <c r="Q93" s="5" t="s">
        <v>34</v>
      </c>
      <c r="R93" s="1">
        <v>338205.65</v>
      </c>
      <c r="S93" s="1">
        <v>338205.65</v>
      </c>
      <c r="T93" s="1">
        <v>0</v>
      </c>
      <c r="U93" s="4">
        <f t="shared" ref="U93:U103" si="54">V93+W93</f>
        <v>51725.57</v>
      </c>
      <c r="V93" s="74">
        <v>51725.57</v>
      </c>
      <c r="W93" s="74">
        <v>0</v>
      </c>
      <c r="X93" s="4">
        <f t="shared" ref="X93:X105" si="55">Y93+Z93</f>
        <v>7957.78</v>
      </c>
      <c r="Y93" s="1">
        <v>7957.78</v>
      </c>
      <c r="Z93" s="1">
        <v>0</v>
      </c>
      <c r="AA93" s="9">
        <v>0</v>
      </c>
      <c r="AB93" s="1">
        <v>0</v>
      </c>
      <c r="AC93" s="1">
        <v>0</v>
      </c>
      <c r="AD93" s="45">
        <f t="shared" si="37"/>
        <v>397889.00000000006</v>
      </c>
      <c r="AE93" s="60">
        <v>0</v>
      </c>
      <c r="AF93" s="1">
        <f t="shared" ref="AF93:AF99" si="56">AD93+AE93</f>
        <v>397889.00000000006</v>
      </c>
      <c r="AG93" s="50" t="s">
        <v>966</v>
      </c>
      <c r="AH93" s="110" t="s">
        <v>1217</v>
      </c>
      <c r="AI93" s="1">
        <v>324878.98</v>
      </c>
      <c r="AJ93" s="1">
        <v>49687.360000000001</v>
      </c>
    </row>
    <row r="94" spans="1:36" ht="157.5" x14ac:dyDescent="0.25">
      <c r="A94" s="5">
        <f t="shared" si="38"/>
        <v>91</v>
      </c>
      <c r="B94" s="16">
        <v>118774</v>
      </c>
      <c r="C94" s="5">
        <v>442</v>
      </c>
      <c r="D94" s="8" t="s">
        <v>1982</v>
      </c>
      <c r="E94" s="18" t="s">
        <v>540</v>
      </c>
      <c r="F94" s="8" t="s">
        <v>886</v>
      </c>
      <c r="G94" s="5" t="s">
        <v>887</v>
      </c>
      <c r="H94" s="6"/>
      <c r="I94" s="8" t="s">
        <v>972</v>
      </c>
      <c r="J94" s="2">
        <v>43341</v>
      </c>
      <c r="K94" s="2">
        <v>43798</v>
      </c>
      <c r="L94" s="17">
        <f t="shared" si="53"/>
        <v>84.999996337824783</v>
      </c>
      <c r="M94" s="6">
        <v>3</v>
      </c>
      <c r="N94" s="5" t="s">
        <v>368</v>
      </c>
      <c r="O94" s="5" t="s">
        <v>368</v>
      </c>
      <c r="P94" s="5" t="s">
        <v>174</v>
      </c>
      <c r="Q94" s="5" t="s">
        <v>34</v>
      </c>
      <c r="R94" s="1">
        <f t="shared" ref="R94:R99" si="57">S94+T94</f>
        <v>220497.36</v>
      </c>
      <c r="S94" s="1">
        <v>220497.36</v>
      </c>
      <c r="T94" s="1">
        <v>0</v>
      </c>
      <c r="U94" s="4">
        <f t="shared" si="54"/>
        <v>33723.14</v>
      </c>
      <c r="V94" s="119">
        <v>33723.14</v>
      </c>
      <c r="W94" s="74">
        <v>0</v>
      </c>
      <c r="X94" s="4">
        <f t="shared" si="55"/>
        <v>5188.17</v>
      </c>
      <c r="Y94" s="1">
        <v>5188.17</v>
      </c>
      <c r="Z94" s="1">
        <v>0</v>
      </c>
      <c r="AA94" s="9">
        <f t="shared" ref="AA94:AA99" si="58">AB94+AC94</f>
        <v>0</v>
      </c>
      <c r="AB94" s="1">
        <v>0</v>
      </c>
      <c r="AC94" s="1">
        <v>0</v>
      </c>
      <c r="AD94" s="45">
        <f t="shared" si="37"/>
        <v>259408.67</v>
      </c>
      <c r="AE94" s="12"/>
      <c r="AF94" s="9">
        <f t="shared" si="56"/>
        <v>259408.67</v>
      </c>
      <c r="AG94" s="50" t="s">
        <v>966</v>
      </c>
      <c r="AH94" s="110" t="s">
        <v>151</v>
      </c>
      <c r="AI94" s="1">
        <v>202807.57</v>
      </c>
      <c r="AJ94" s="1">
        <v>31017.620000000003</v>
      </c>
    </row>
    <row r="95" spans="1:36" ht="112.5" customHeight="1" x14ac:dyDescent="0.25">
      <c r="A95" s="5">
        <f t="shared" si="38"/>
        <v>92</v>
      </c>
      <c r="B95" s="16">
        <v>119901</v>
      </c>
      <c r="C95" s="5">
        <v>486</v>
      </c>
      <c r="D95" s="41" t="s">
        <v>1981</v>
      </c>
      <c r="E95" s="8" t="s">
        <v>474</v>
      </c>
      <c r="F95" s="8" t="s">
        <v>997</v>
      </c>
      <c r="G95" s="5" t="s">
        <v>719</v>
      </c>
      <c r="H95" s="6" t="s">
        <v>362</v>
      </c>
      <c r="I95" s="42" t="s">
        <v>998</v>
      </c>
      <c r="J95" s="2">
        <v>43377</v>
      </c>
      <c r="K95" s="2">
        <v>43925</v>
      </c>
      <c r="L95" s="17">
        <f t="shared" si="53"/>
        <v>85.000004041383775</v>
      </c>
      <c r="M95" s="6">
        <v>3</v>
      </c>
      <c r="N95" s="5" t="s">
        <v>368</v>
      </c>
      <c r="O95" s="5" t="s">
        <v>999</v>
      </c>
      <c r="P95" s="5" t="s">
        <v>174</v>
      </c>
      <c r="Q95" s="5" t="s">
        <v>478</v>
      </c>
      <c r="R95" s="1">
        <f t="shared" si="57"/>
        <v>420648.02</v>
      </c>
      <c r="S95" s="1">
        <v>420648.02</v>
      </c>
      <c r="T95" s="57">
        <v>0</v>
      </c>
      <c r="U95" s="4">
        <f t="shared" si="54"/>
        <v>64334.38</v>
      </c>
      <c r="V95" s="120">
        <v>64334.38</v>
      </c>
      <c r="W95" s="71">
        <v>0</v>
      </c>
      <c r="X95" s="4">
        <f t="shared" si="55"/>
        <v>9897.6</v>
      </c>
      <c r="Y95" s="82">
        <v>9897.6</v>
      </c>
      <c r="Z95" s="82">
        <v>0</v>
      </c>
      <c r="AA95" s="9">
        <f t="shared" si="58"/>
        <v>0</v>
      </c>
      <c r="AB95" s="57">
        <v>0</v>
      </c>
      <c r="AC95" s="57">
        <v>0</v>
      </c>
      <c r="AD95" s="45">
        <f t="shared" si="37"/>
        <v>494880</v>
      </c>
      <c r="AE95" s="12"/>
      <c r="AF95" s="9">
        <f t="shared" si="56"/>
        <v>494880</v>
      </c>
      <c r="AG95" s="60" t="s">
        <v>966</v>
      </c>
      <c r="AH95" s="60" t="s">
        <v>1681</v>
      </c>
      <c r="AI95" s="1">
        <v>352319.13999999996</v>
      </c>
      <c r="AJ95" s="1">
        <v>53884.060000000019</v>
      </c>
    </row>
    <row r="96" spans="1:36" ht="243.75" customHeight="1" x14ac:dyDescent="0.25">
      <c r="A96" s="5">
        <f t="shared" si="38"/>
        <v>93</v>
      </c>
      <c r="B96" s="16">
        <v>126537</v>
      </c>
      <c r="C96" s="5">
        <v>569</v>
      </c>
      <c r="D96" s="41" t="s">
        <v>1981</v>
      </c>
      <c r="E96" s="18" t="s">
        <v>1018</v>
      </c>
      <c r="F96" s="8" t="s">
        <v>1209</v>
      </c>
      <c r="G96" s="5" t="s">
        <v>719</v>
      </c>
      <c r="H96" s="6" t="s">
        <v>362</v>
      </c>
      <c r="I96" s="42" t="s">
        <v>1210</v>
      </c>
      <c r="J96" s="2">
        <v>43567</v>
      </c>
      <c r="K96" s="2">
        <v>44542</v>
      </c>
      <c r="L96" s="17">
        <f t="shared" si="53"/>
        <v>85.000000206342506</v>
      </c>
      <c r="M96" s="6">
        <v>3</v>
      </c>
      <c r="N96" s="5" t="s">
        <v>368</v>
      </c>
      <c r="O96" s="5" t="s">
        <v>999</v>
      </c>
      <c r="P96" s="5" t="s">
        <v>174</v>
      </c>
      <c r="Q96" s="5" t="s">
        <v>478</v>
      </c>
      <c r="R96" s="1">
        <f t="shared" si="57"/>
        <v>3089523.44</v>
      </c>
      <c r="S96" s="1">
        <v>3089523.44</v>
      </c>
      <c r="T96" s="55">
        <v>0</v>
      </c>
      <c r="U96" s="4">
        <f t="shared" si="54"/>
        <v>472515.34</v>
      </c>
      <c r="V96" s="120">
        <v>472515.34</v>
      </c>
      <c r="W96" s="74">
        <v>0</v>
      </c>
      <c r="X96" s="4">
        <f t="shared" si="55"/>
        <v>72694.67</v>
      </c>
      <c r="Y96" s="1">
        <v>72694.67</v>
      </c>
      <c r="Z96" s="55">
        <v>0</v>
      </c>
      <c r="AA96" s="9">
        <f t="shared" si="58"/>
        <v>0</v>
      </c>
      <c r="AB96" s="55">
        <v>0</v>
      </c>
      <c r="AC96" s="55">
        <v>0</v>
      </c>
      <c r="AD96" s="45">
        <f t="shared" si="37"/>
        <v>3634733.4499999997</v>
      </c>
      <c r="AE96" s="1">
        <v>0</v>
      </c>
      <c r="AF96" s="9">
        <f t="shared" si="56"/>
        <v>3634733.4499999997</v>
      </c>
      <c r="AG96" s="60" t="s">
        <v>515</v>
      </c>
      <c r="AH96" s="60" t="s">
        <v>2212</v>
      </c>
      <c r="AI96" s="1">
        <f>101326.08+67116+473703.3+529750.17-28548.49+365060-26190.17+363473-46589.69</f>
        <v>1799100.2000000002</v>
      </c>
      <c r="AJ96" s="1">
        <f>15496.93+26880.76+85630.48+46856.66+51827.17+46589.69</f>
        <v>273281.69</v>
      </c>
    </row>
    <row r="97" spans="1:36" ht="141.75" x14ac:dyDescent="0.25">
      <c r="A97" s="5">
        <f t="shared" si="38"/>
        <v>94</v>
      </c>
      <c r="B97" s="16">
        <v>129241</v>
      </c>
      <c r="C97" s="16">
        <v>650</v>
      </c>
      <c r="D97" s="41" t="s">
        <v>1981</v>
      </c>
      <c r="E97" s="121" t="s">
        <v>1246</v>
      </c>
      <c r="F97" s="56" t="s">
        <v>1255</v>
      </c>
      <c r="G97" s="5" t="s">
        <v>1998</v>
      </c>
      <c r="H97" s="6" t="s">
        <v>151</v>
      </c>
      <c r="I97" s="42" t="s">
        <v>1247</v>
      </c>
      <c r="J97" s="2">
        <v>43608</v>
      </c>
      <c r="K97" s="2">
        <v>44462</v>
      </c>
      <c r="L97" s="17">
        <f t="shared" si="53"/>
        <v>85.000000168986716</v>
      </c>
      <c r="M97" s="6">
        <v>3</v>
      </c>
      <c r="N97" s="5" t="s">
        <v>368</v>
      </c>
      <c r="O97" s="5" t="s">
        <v>999</v>
      </c>
      <c r="P97" s="5" t="s">
        <v>174</v>
      </c>
      <c r="Q97" s="5" t="s">
        <v>478</v>
      </c>
      <c r="R97" s="1">
        <f t="shared" si="57"/>
        <v>2514990.63</v>
      </c>
      <c r="S97" s="1">
        <v>2514990.63</v>
      </c>
      <c r="T97" s="55">
        <v>0</v>
      </c>
      <c r="U97" s="4">
        <f t="shared" si="54"/>
        <v>384645.62</v>
      </c>
      <c r="V97" s="120">
        <v>384645.62</v>
      </c>
      <c r="W97" s="74">
        <v>0</v>
      </c>
      <c r="X97" s="4">
        <f t="shared" si="55"/>
        <v>59176.25</v>
      </c>
      <c r="Y97" s="1">
        <v>59176.25</v>
      </c>
      <c r="Z97" s="1">
        <v>0</v>
      </c>
      <c r="AA97" s="9">
        <f t="shared" si="58"/>
        <v>0</v>
      </c>
      <c r="AB97" s="55">
        <v>0</v>
      </c>
      <c r="AC97" s="55">
        <v>0</v>
      </c>
      <c r="AD97" s="45">
        <f t="shared" si="37"/>
        <v>2958812.5</v>
      </c>
      <c r="AE97" s="1">
        <v>0</v>
      </c>
      <c r="AF97" s="9">
        <f t="shared" si="56"/>
        <v>2958812.5</v>
      </c>
      <c r="AG97" s="60" t="s">
        <v>515</v>
      </c>
      <c r="AH97" s="12"/>
      <c r="AI97" s="1">
        <f>81663.7+16254.4+2062406.83-2565.16+19337.36-2397.2+18071.2-2468.57+59069.22</f>
        <v>2249371.7800000003</v>
      </c>
      <c r="AJ97" s="1">
        <f>9110.66+2608.32+315426.93+2565.16+2397.2+2468.57+6188</f>
        <v>340764.83999999997</v>
      </c>
    </row>
    <row r="98" spans="1:36" ht="141.75" x14ac:dyDescent="0.25">
      <c r="A98" s="5">
        <f t="shared" si="38"/>
        <v>95</v>
      </c>
      <c r="B98" s="70">
        <v>129152</v>
      </c>
      <c r="C98" s="70">
        <v>656</v>
      </c>
      <c r="D98" s="41" t="s">
        <v>1981</v>
      </c>
      <c r="E98" s="121" t="str">
        <f>E97</f>
        <v>CP 12 less/2018</v>
      </c>
      <c r="F98" s="56" t="s">
        <v>1264</v>
      </c>
      <c r="G98" s="16" t="s">
        <v>887</v>
      </c>
      <c r="H98" s="6" t="s">
        <v>151</v>
      </c>
      <c r="I98" s="42" t="s">
        <v>1265</v>
      </c>
      <c r="J98" s="2">
        <v>43621</v>
      </c>
      <c r="K98" s="2">
        <v>44352</v>
      </c>
      <c r="L98" s="17">
        <f t="shared" si="53"/>
        <v>85.000000171199162</v>
      </c>
      <c r="M98" s="6">
        <f>M97</f>
        <v>3</v>
      </c>
      <c r="N98" s="5" t="str">
        <f>N97</f>
        <v>CĂLĂRAȘI</v>
      </c>
      <c r="O98" s="5" t="s">
        <v>999</v>
      </c>
      <c r="P98" s="5" t="s">
        <v>174</v>
      </c>
      <c r="Q98" s="5" t="s">
        <v>478</v>
      </c>
      <c r="R98" s="1">
        <f t="shared" si="57"/>
        <v>2482488.84</v>
      </c>
      <c r="S98" s="1">
        <v>2482488.84</v>
      </c>
      <c r="T98" s="55">
        <v>0</v>
      </c>
      <c r="U98" s="4">
        <f t="shared" si="54"/>
        <v>379674.76</v>
      </c>
      <c r="V98" s="120">
        <v>379674.76</v>
      </c>
      <c r="W98" s="74">
        <v>0</v>
      </c>
      <c r="X98" s="4">
        <f t="shared" si="55"/>
        <v>58411.5</v>
      </c>
      <c r="Y98" s="1">
        <v>58411.5</v>
      </c>
      <c r="Z98" s="1">
        <v>0</v>
      </c>
      <c r="AA98" s="9">
        <f t="shared" si="58"/>
        <v>0</v>
      </c>
      <c r="AB98" s="55">
        <v>0</v>
      </c>
      <c r="AC98" s="55">
        <v>0</v>
      </c>
      <c r="AD98" s="45">
        <f t="shared" si="37"/>
        <v>2920575.0999999996</v>
      </c>
      <c r="AE98" s="1">
        <v>11900</v>
      </c>
      <c r="AF98" s="9">
        <f t="shared" si="56"/>
        <v>2932475.0999999996</v>
      </c>
      <c r="AG98" s="60" t="s">
        <v>966</v>
      </c>
      <c r="AH98" s="12"/>
      <c r="AI98" s="1">
        <f>80009.94+18030.19+9429.9+12478.84+487781.48+546784.53+1249054.82+24937.15</f>
        <v>2428506.85</v>
      </c>
      <c r="AJ98" s="1">
        <f>12236.81+2757.56+1442.22+1908.53+74601.87+83625.87+191031.92+3813.91</f>
        <v>371418.69</v>
      </c>
    </row>
    <row r="99" spans="1:36" ht="270" x14ac:dyDescent="0.25">
      <c r="A99" s="5">
        <f t="shared" si="38"/>
        <v>96</v>
      </c>
      <c r="B99" s="62">
        <v>135232</v>
      </c>
      <c r="C99" s="118">
        <v>816</v>
      </c>
      <c r="D99" s="41" t="s">
        <v>1981</v>
      </c>
      <c r="E99" s="83" t="s">
        <v>1700</v>
      </c>
      <c r="F99" s="122" t="s">
        <v>1740</v>
      </c>
      <c r="G99" s="16" t="s">
        <v>887</v>
      </c>
      <c r="H99" s="63" t="s">
        <v>151</v>
      </c>
      <c r="I99" s="103" t="s">
        <v>1741</v>
      </c>
      <c r="J99" s="64">
        <v>43969</v>
      </c>
      <c r="K99" s="64">
        <v>44699</v>
      </c>
      <c r="L99" s="65">
        <f t="shared" si="53"/>
        <v>85</v>
      </c>
      <c r="M99" s="63">
        <v>3</v>
      </c>
      <c r="N99" s="63" t="s">
        <v>1742</v>
      </c>
      <c r="O99" s="63" t="s">
        <v>887</v>
      </c>
      <c r="P99" s="66" t="s">
        <v>174</v>
      </c>
      <c r="Q99" s="63" t="s">
        <v>34</v>
      </c>
      <c r="R99" s="1">
        <f t="shared" si="57"/>
        <v>2589746</v>
      </c>
      <c r="S99" s="67">
        <v>2589746</v>
      </c>
      <c r="T99" s="67">
        <v>0</v>
      </c>
      <c r="U99" s="4">
        <f t="shared" si="54"/>
        <v>396078.8</v>
      </c>
      <c r="V99" s="69">
        <v>396078.8</v>
      </c>
      <c r="W99" s="69">
        <v>0</v>
      </c>
      <c r="X99" s="4">
        <f t="shared" si="55"/>
        <v>60935.199999999997</v>
      </c>
      <c r="Y99" s="67">
        <v>60935.199999999997</v>
      </c>
      <c r="Z99" s="67">
        <v>0</v>
      </c>
      <c r="AA99" s="9">
        <f t="shared" si="58"/>
        <v>0</v>
      </c>
      <c r="AB99" s="67">
        <v>0</v>
      </c>
      <c r="AC99" s="67">
        <v>0</v>
      </c>
      <c r="AD99" s="45">
        <f t="shared" si="37"/>
        <v>3046760</v>
      </c>
      <c r="AE99" s="1">
        <v>0</v>
      </c>
      <c r="AF99" s="9">
        <f t="shared" si="56"/>
        <v>3046760</v>
      </c>
      <c r="AG99" s="60" t="s">
        <v>515</v>
      </c>
      <c r="AH99" s="12" t="s">
        <v>2099</v>
      </c>
      <c r="AI99" s="1">
        <f>51670.8+45861.75</f>
        <v>97532.55</v>
      </c>
      <c r="AJ99" s="1">
        <f>7902.59+7014.15</f>
        <v>14916.74</v>
      </c>
    </row>
    <row r="100" spans="1:36" ht="220.5" x14ac:dyDescent="0.25">
      <c r="A100" s="5">
        <f t="shared" si="38"/>
        <v>97</v>
      </c>
      <c r="B100" s="70">
        <v>120791</v>
      </c>
      <c r="C100" s="6">
        <v>88</v>
      </c>
      <c r="D100" s="41" t="s">
        <v>1981</v>
      </c>
      <c r="E100" s="18" t="s">
        <v>278</v>
      </c>
      <c r="F100" s="8" t="s">
        <v>283</v>
      </c>
      <c r="G100" s="5" t="s">
        <v>2007</v>
      </c>
      <c r="H100" s="124" t="s">
        <v>284</v>
      </c>
      <c r="I100" s="88" t="s">
        <v>285</v>
      </c>
      <c r="J100" s="2">
        <v>43180</v>
      </c>
      <c r="K100" s="2">
        <v>43667</v>
      </c>
      <c r="L100" s="17">
        <f t="shared" ref="L100:L105" si="59">R100/AD100*100</f>
        <v>84.174275146898083</v>
      </c>
      <c r="M100" s="5">
        <v>5</v>
      </c>
      <c r="N100" s="5" t="s">
        <v>286</v>
      </c>
      <c r="O100" s="5" t="s">
        <v>287</v>
      </c>
      <c r="P100" s="3" t="s">
        <v>174</v>
      </c>
      <c r="Q100" s="5" t="s">
        <v>34</v>
      </c>
      <c r="R100" s="4">
        <f t="shared" ref="R100:R105" si="60">S100+T100</f>
        <v>316573.06</v>
      </c>
      <c r="S100" s="9">
        <v>316573.06</v>
      </c>
      <c r="T100" s="9">
        <v>0</v>
      </c>
      <c r="U100" s="4">
        <f t="shared" si="54"/>
        <v>51997.5</v>
      </c>
      <c r="V100" s="54">
        <v>51997.5</v>
      </c>
      <c r="W100" s="54">
        <v>0</v>
      </c>
      <c r="X100" s="4">
        <f t="shared" si="55"/>
        <v>7521.85</v>
      </c>
      <c r="Y100" s="9">
        <v>7521.85</v>
      </c>
      <c r="Z100" s="9">
        <v>0</v>
      </c>
      <c r="AA100" s="9">
        <f t="shared" ref="AA100:AA105" si="61">AB100+AC100</f>
        <v>0</v>
      </c>
      <c r="AB100" s="9">
        <v>0</v>
      </c>
      <c r="AC100" s="9">
        <v>0</v>
      </c>
      <c r="AD100" s="45">
        <f t="shared" si="37"/>
        <v>376092.41</v>
      </c>
      <c r="AE100" s="9">
        <v>0</v>
      </c>
      <c r="AF100" s="9">
        <f t="shared" ref="AF100:AF105" si="62">AD100+AE100</f>
        <v>376092.41</v>
      </c>
      <c r="AG100" s="50" t="s">
        <v>966</v>
      </c>
      <c r="AH100" s="14" t="s">
        <v>151</v>
      </c>
      <c r="AI100" s="1">
        <v>249647.94000000006</v>
      </c>
      <c r="AJ100" s="1">
        <v>41012.170000000006</v>
      </c>
    </row>
    <row r="101" spans="1:36" ht="189" x14ac:dyDescent="0.25">
      <c r="A101" s="5">
        <f t="shared" si="38"/>
        <v>98</v>
      </c>
      <c r="B101" s="6">
        <v>128386</v>
      </c>
      <c r="C101" s="6">
        <v>657</v>
      </c>
      <c r="D101" s="41" t="s">
        <v>1981</v>
      </c>
      <c r="E101" s="121" t="s">
        <v>1246</v>
      </c>
      <c r="F101" s="8" t="s">
        <v>1252</v>
      </c>
      <c r="G101" s="29" t="s">
        <v>1748</v>
      </c>
      <c r="H101" s="6" t="s">
        <v>151</v>
      </c>
      <c r="I101" s="125" t="s">
        <v>1254</v>
      </c>
      <c r="J101" s="2">
        <v>43613</v>
      </c>
      <c r="K101" s="2">
        <v>44620</v>
      </c>
      <c r="L101" s="17">
        <f t="shared" si="59"/>
        <v>84.999999962468991</v>
      </c>
      <c r="M101" s="5">
        <v>5</v>
      </c>
      <c r="N101" s="5" t="s">
        <v>286</v>
      </c>
      <c r="O101" s="126" t="s">
        <v>1253</v>
      </c>
      <c r="P101" s="3" t="s">
        <v>174</v>
      </c>
      <c r="Q101" s="5" t="s">
        <v>34</v>
      </c>
      <c r="R101" s="4">
        <f t="shared" si="60"/>
        <v>3397190.5700000003</v>
      </c>
      <c r="S101" s="9">
        <v>3397190.5700000003</v>
      </c>
      <c r="T101" s="9">
        <v>0</v>
      </c>
      <c r="U101" s="4">
        <f t="shared" si="54"/>
        <v>519570.32000000007</v>
      </c>
      <c r="V101" s="54">
        <v>519570.32000000007</v>
      </c>
      <c r="W101" s="54">
        <v>0</v>
      </c>
      <c r="X101" s="4">
        <f t="shared" si="55"/>
        <v>79933.900000000009</v>
      </c>
      <c r="Y101" s="9">
        <v>79933.900000000009</v>
      </c>
      <c r="Z101" s="9">
        <v>0</v>
      </c>
      <c r="AA101" s="9">
        <f t="shared" si="61"/>
        <v>0</v>
      </c>
      <c r="AB101" s="9">
        <v>0</v>
      </c>
      <c r="AC101" s="9">
        <v>0</v>
      </c>
      <c r="AD101" s="45">
        <f t="shared" si="37"/>
        <v>3996694.7900000005</v>
      </c>
      <c r="AE101" s="9">
        <v>0</v>
      </c>
      <c r="AF101" s="9">
        <f t="shared" si="62"/>
        <v>3996694.7900000005</v>
      </c>
      <c r="AG101" s="60" t="s">
        <v>515</v>
      </c>
      <c r="AH101" s="14" t="s">
        <v>2024</v>
      </c>
      <c r="AI101" s="1">
        <f>361593.44+96748.7+399669-26609.64</f>
        <v>831401.5</v>
      </c>
      <c r="AJ101" s="1">
        <f>55302.51+14796.86+26609.64</f>
        <v>96709.01</v>
      </c>
    </row>
    <row r="102" spans="1:36" ht="130.5" customHeight="1" x14ac:dyDescent="0.25">
      <c r="A102" s="5">
        <f t="shared" si="38"/>
        <v>99</v>
      </c>
      <c r="B102" s="6">
        <v>128739</v>
      </c>
      <c r="C102" s="6">
        <v>630</v>
      </c>
      <c r="D102" s="41" t="s">
        <v>1981</v>
      </c>
      <c r="E102" s="121" t="s">
        <v>1246</v>
      </c>
      <c r="F102" s="56" t="s">
        <v>1334</v>
      </c>
      <c r="G102" s="5" t="s">
        <v>2007</v>
      </c>
      <c r="H102" s="6" t="s">
        <v>151</v>
      </c>
      <c r="I102" s="125" t="s">
        <v>1335</v>
      </c>
      <c r="J102" s="2">
        <v>43654</v>
      </c>
      <c r="K102" s="2">
        <v>44812</v>
      </c>
      <c r="L102" s="17">
        <f t="shared" si="59"/>
        <v>85.000000167824169</v>
      </c>
      <c r="M102" s="5">
        <v>5</v>
      </c>
      <c r="N102" s="5" t="s">
        <v>286</v>
      </c>
      <c r="O102" s="5" t="s">
        <v>287</v>
      </c>
      <c r="P102" s="3" t="s">
        <v>174</v>
      </c>
      <c r="Q102" s="5" t="s">
        <v>34</v>
      </c>
      <c r="R102" s="4">
        <f t="shared" si="60"/>
        <v>2532412.23</v>
      </c>
      <c r="S102" s="9">
        <v>2532412.23</v>
      </c>
      <c r="T102" s="9">
        <v>0</v>
      </c>
      <c r="U102" s="4">
        <f t="shared" si="54"/>
        <v>387310.1</v>
      </c>
      <c r="V102" s="54">
        <v>387310.1</v>
      </c>
      <c r="W102" s="54">
        <v>0</v>
      </c>
      <c r="X102" s="4">
        <f t="shared" si="55"/>
        <v>59586.17</v>
      </c>
      <c r="Y102" s="9">
        <v>59586.17</v>
      </c>
      <c r="Z102" s="9">
        <v>0</v>
      </c>
      <c r="AA102" s="9">
        <f t="shared" si="61"/>
        <v>0</v>
      </c>
      <c r="AB102" s="9">
        <v>0</v>
      </c>
      <c r="AC102" s="9">
        <v>0</v>
      </c>
      <c r="AD102" s="45">
        <f t="shared" si="37"/>
        <v>2979308.5</v>
      </c>
      <c r="AE102" s="9">
        <v>0</v>
      </c>
      <c r="AF102" s="9">
        <f t="shared" si="62"/>
        <v>2979308.5</v>
      </c>
      <c r="AG102" s="60" t="s">
        <v>515</v>
      </c>
      <c r="AH102" s="14" t="s">
        <v>2217</v>
      </c>
      <c r="AI102" s="1">
        <f>61209.43-1190.67+16783.71+51674+5984.38</f>
        <v>134460.85</v>
      </c>
      <c r="AJ102" s="1">
        <f>4447.07+1190.67+6108.52+8818.34</f>
        <v>20564.599999999999</v>
      </c>
    </row>
    <row r="103" spans="1:36" ht="130.5" customHeight="1" x14ac:dyDescent="0.25">
      <c r="A103" s="5">
        <f t="shared" si="38"/>
        <v>100</v>
      </c>
      <c r="B103" s="63">
        <v>135523</v>
      </c>
      <c r="C103" s="118">
        <v>831</v>
      </c>
      <c r="D103" s="41" t="s">
        <v>1981</v>
      </c>
      <c r="E103" s="83" t="s">
        <v>1700</v>
      </c>
      <c r="F103" s="127" t="s">
        <v>1745</v>
      </c>
      <c r="G103" s="29" t="s">
        <v>1748</v>
      </c>
      <c r="H103" s="128" t="s">
        <v>1746</v>
      </c>
      <c r="I103" s="103" t="s">
        <v>1747</v>
      </c>
      <c r="J103" s="64">
        <v>43969</v>
      </c>
      <c r="K103" s="64">
        <v>44699</v>
      </c>
      <c r="L103" s="17">
        <f t="shared" si="59"/>
        <v>85.000000126847326</v>
      </c>
      <c r="M103" s="63">
        <v>5</v>
      </c>
      <c r="N103" s="63" t="s">
        <v>286</v>
      </c>
      <c r="O103" s="63" t="s">
        <v>1748</v>
      </c>
      <c r="P103" s="66" t="s">
        <v>174</v>
      </c>
      <c r="Q103" s="63" t="s">
        <v>34</v>
      </c>
      <c r="R103" s="4">
        <f t="shared" si="60"/>
        <v>3350484.53</v>
      </c>
      <c r="S103" s="67">
        <v>3350484.53</v>
      </c>
      <c r="T103" s="67">
        <v>0</v>
      </c>
      <c r="U103" s="4">
        <f t="shared" si="54"/>
        <v>512427.04</v>
      </c>
      <c r="V103" s="69">
        <v>512427.04</v>
      </c>
      <c r="W103" s="69">
        <v>0</v>
      </c>
      <c r="X103" s="4">
        <f t="shared" si="55"/>
        <v>78834.929999999993</v>
      </c>
      <c r="Y103" s="67">
        <v>78834.929999999993</v>
      </c>
      <c r="Z103" s="67">
        <v>0</v>
      </c>
      <c r="AA103" s="9">
        <f t="shared" si="61"/>
        <v>0</v>
      </c>
      <c r="AB103" s="9">
        <v>0</v>
      </c>
      <c r="AC103" s="9">
        <v>0</v>
      </c>
      <c r="AD103" s="45">
        <f t="shared" si="37"/>
        <v>3941746.5</v>
      </c>
      <c r="AE103" s="9">
        <v>0</v>
      </c>
      <c r="AF103" s="9">
        <f t="shared" si="62"/>
        <v>3941746.5</v>
      </c>
      <c r="AG103" s="60" t="s">
        <v>515</v>
      </c>
      <c r="AH103" s="14" t="s">
        <v>151</v>
      </c>
      <c r="AI103" s="1">
        <f>226408.43-15004.21+54632.06+92434.65+226408.43</f>
        <v>584879.3600000001</v>
      </c>
      <c r="AJ103" s="1">
        <f>15004.21+39820.75</f>
        <v>54824.959999999999</v>
      </c>
    </row>
    <row r="104" spans="1:36" ht="130.5" customHeight="1" x14ac:dyDescent="0.25">
      <c r="A104" s="5">
        <f t="shared" si="38"/>
        <v>101</v>
      </c>
      <c r="B104" s="63">
        <v>136349</v>
      </c>
      <c r="C104" s="118">
        <v>834</v>
      </c>
      <c r="D104" s="41" t="s">
        <v>1981</v>
      </c>
      <c r="E104" s="83" t="s">
        <v>1700</v>
      </c>
      <c r="F104" s="127" t="s">
        <v>1763</v>
      </c>
      <c r="G104" s="5" t="s">
        <v>2007</v>
      </c>
      <c r="H104" s="6" t="s">
        <v>151</v>
      </c>
      <c r="I104" s="103" t="s">
        <v>1764</v>
      </c>
      <c r="J104" s="64">
        <v>43969</v>
      </c>
      <c r="K104" s="64">
        <v>44883</v>
      </c>
      <c r="L104" s="17">
        <f t="shared" si="59"/>
        <v>85</v>
      </c>
      <c r="M104" s="63">
        <v>5</v>
      </c>
      <c r="N104" s="63" t="s">
        <v>286</v>
      </c>
      <c r="O104" s="5" t="s">
        <v>287</v>
      </c>
      <c r="P104" s="66" t="s">
        <v>174</v>
      </c>
      <c r="Q104" s="63" t="s">
        <v>34</v>
      </c>
      <c r="R104" s="4">
        <f t="shared" si="60"/>
        <v>2447700.7999999998</v>
      </c>
      <c r="S104" s="67">
        <v>2447700.7999999998</v>
      </c>
      <c r="T104" s="67">
        <v>0</v>
      </c>
      <c r="U104" s="4">
        <f>V104+W104</f>
        <v>374354.24</v>
      </c>
      <c r="V104" s="69">
        <v>374354.24</v>
      </c>
      <c r="W104" s="69">
        <v>0</v>
      </c>
      <c r="X104" s="4">
        <f t="shared" si="55"/>
        <v>57592.959999999999</v>
      </c>
      <c r="Y104" s="67">
        <v>57592.959999999999</v>
      </c>
      <c r="Z104" s="67">
        <v>0</v>
      </c>
      <c r="AA104" s="9">
        <f t="shared" si="61"/>
        <v>0</v>
      </c>
      <c r="AB104" s="9">
        <v>0</v>
      </c>
      <c r="AC104" s="9">
        <v>0</v>
      </c>
      <c r="AD104" s="45">
        <f t="shared" si="37"/>
        <v>2879648</v>
      </c>
      <c r="AE104" s="9">
        <v>0</v>
      </c>
      <c r="AF104" s="9">
        <f t="shared" si="62"/>
        <v>2879648</v>
      </c>
      <c r="AG104" s="60" t="s">
        <v>515</v>
      </c>
      <c r="AH104" s="14" t="s">
        <v>151</v>
      </c>
      <c r="AI104" s="1">
        <f>85000+81913.12-6938.61</f>
        <v>159974.51</v>
      </c>
      <c r="AJ104" s="1">
        <f>16086.88+6938.61</f>
        <v>23025.489999999998</v>
      </c>
    </row>
    <row r="105" spans="1:36" ht="130.5" customHeight="1" x14ac:dyDescent="0.25">
      <c r="A105" s="5">
        <f t="shared" si="38"/>
        <v>102</v>
      </c>
      <c r="B105" s="63">
        <v>135786</v>
      </c>
      <c r="C105" s="118">
        <v>818</v>
      </c>
      <c r="D105" s="41" t="s">
        <v>1981</v>
      </c>
      <c r="E105" s="83" t="s">
        <v>1700</v>
      </c>
      <c r="F105" s="127" t="s">
        <v>1913</v>
      </c>
      <c r="G105" s="16" t="s">
        <v>1912</v>
      </c>
      <c r="H105" s="6" t="s">
        <v>151</v>
      </c>
      <c r="I105" s="103" t="s">
        <v>1914</v>
      </c>
      <c r="J105" s="64">
        <v>44035</v>
      </c>
      <c r="K105" s="64">
        <v>44765</v>
      </c>
      <c r="L105" s="17">
        <f t="shared" si="59"/>
        <v>84.999999898090948</v>
      </c>
      <c r="M105" s="63">
        <v>5</v>
      </c>
      <c r="N105" s="63" t="s">
        <v>286</v>
      </c>
      <c r="O105" s="5" t="s">
        <v>287</v>
      </c>
      <c r="P105" s="66" t="s">
        <v>174</v>
      </c>
      <c r="Q105" s="63" t="s">
        <v>34</v>
      </c>
      <c r="R105" s="4">
        <f t="shared" si="60"/>
        <v>2502231</v>
      </c>
      <c r="S105" s="67">
        <v>2502231</v>
      </c>
      <c r="T105" s="67">
        <v>0</v>
      </c>
      <c r="U105" s="4">
        <f>V105+W105</f>
        <v>382694.15</v>
      </c>
      <c r="V105" s="69">
        <v>382694.15</v>
      </c>
      <c r="W105" s="69">
        <v>0</v>
      </c>
      <c r="X105" s="4">
        <f t="shared" si="55"/>
        <v>58876.03</v>
      </c>
      <c r="Y105" s="67">
        <v>58876.03</v>
      </c>
      <c r="Z105" s="67">
        <v>0</v>
      </c>
      <c r="AA105" s="9">
        <f t="shared" si="61"/>
        <v>0</v>
      </c>
      <c r="AB105" s="9">
        <v>0</v>
      </c>
      <c r="AC105" s="9">
        <v>0</v>
      </c>
      <c r="AD105" s="45">
        <f t="shared" si="37"/>
        <v>2943801.1799999997</v>
      </c>
      <c r="AE105" s="9">
        <v>0</v>
      </c>
      <c r="AF105" s="9">
        <f t="shared" si="62"/>
        <v>2943801.1799999997</v>
      </c>
      <c r="AG105" s="60" t="s">
        <v>515</v>
      </c>
      <c r="AH105" s="14" t="s">
        <v>151</v>
      </c>
      <c r="AI105" s="1">
        <v>155929.74</v>
      </c>
      <c r="AJ105" s="1">
        <v>23848.080000000002</v>
      </c>
    </row>
    <row r="106" spans="1:36" ht="220.5" x14ac:dyDescent="0.25">
      <c r="A106" s="5">
        <f t="shared" si="38"/>
        <v>103</v>
      </c>
      <c r="B106" s="16">
        <v>120583</v>
      </c>
      <c r="C106" s="6">
        <v>77</v>
      </c>
      <c r="D106" s="41" t="s">
        <v>1981</v>
      </c>
      <c r="E106" s="18" t="s">
        <v>278</v>
      </c>
      <c r="F106" s="8" t="s">
        <v>176</v>
      </c>
      <c r="G106" s="5" t="s">
        <v>1084</v>
      </c>
      <c r="H106" s="5" t="s">
        <v>151</v>
      </c>
      <c r="I106" s="77" t="s">
        <v>180</v>
      </c>
      <c r="J106" s="2">
        <v>43126</v>
      </c>
      <c r="K106" s="2">
        <v>43369</v>
      </c>
      <c r="L106" s="17">
        <f t="shared" ref="L106:L117" si="63">R106/AD106*100</f>
        <v>84.999999763641128</v>
      </c>
      <c r="M106" s="5">
        <v>6</v>
      </c>
      <c r="N106" s="5" t="s">
        <v>182</v>
      </c>
      <c r="O106" s="5" t="s">
        <v>183</v>
      </c>
      <c r="P106" s="3" t="s">
        <v>174</v>
      </c>
      <c r="Q106" s="5" t="s">
        <v>34</v>
      </c>
      <c r="R106" s="4">
        <f t="shared" ref="R106:R117" si="64">S106+T106</f>
        <v>359622.64</v>
      </c>
      <c r="S106" s="9">
        <v>359622.64</v>
      </c>
      <c r="T106" s="9">
        <v>0</v>
      </c>
      <c r="U106" s="4">
        <f t="shared" ref="U106:U117" si="65">V106+W106</f>
        <v>55001.11</v>
      </c>
      <c r="V106" s="54">
        <v>55001.11</v>
      </c>
      <c r="W106" s="54">
        <v>0</v>
      </c>
      <c r="X106" s="4">
        <f t="shared" ref="X106:X117" si="66">Y106+Z106</f>
        <v>8461.7099999999991</v>
      </c>
      <c r="Y106" s="9">
        <v>8461.7099999999991</v>
      </c>
      <c r="Z106" s="9">
        <v>0</v>
      </c>
      <c r="AA106" s="9">
        <f t="shared" ref="AA106:AA117" si="67">AB106+AC106</f>
        <v>0</v>
      </c>
      <c r="AB106" s="9">
        <v>0</v>
      </c>
      <c r="AC106" s="9">
        <v>0</v>
      </c>
      <c r="AD106" s="45">
        <f t="shared" si="37"/>
        <v>423085.46</v>
      </c>
      <c r="AE106" s="9">
        <v>0</v>
      </c>
      <c r="AF106" s="9">
        <f t="shared" ref="AF106:AF117" si="68">AD106+AE106</f>
        <v>423085.46</v>
      </c>
      <c r="AG106" s="50" t="s">
        <v>966</v>
      </c>
      <c r="AH106" s="14" t="s">
        <v>151</v>
      </c>
      <c r="AI106" s="1">
        <v>300081.25</v>
      </c>
      <c r="AJ106" s="1">
        <v>45894.78</v>
      </c>
    </row>
    <row r="107" spans="1:36" ht="141.75" x14ac:dyDescent="0.25">
      <c r="A107" s="5">
        <f t="shared" si="38"/>
        <v>104</v>
      </c>
      <c r="B107" s="16">
        <v>110080</v>
      </c>
      <c r="C107" s="6">
        <v>118</v>
      </c>
      <c r="D107" s="41" t="s">
        <v>1981</v>
      </c>
      <c r="E107" s="18" t="s">
        <v>278</v>
      </c>
      <c r="F107" s="8" t="s">
        <v>257</v>
      </c>
      <c r="G107" s="5" t="s">
        <v>258</v>
      </c>
      <c r="H107" s="5" t="s">
        <v>151</v>
      </c>
      <c r="I107" s="42" t="s">
        <v>259</v>
      </c>
      <c r="J107" s="2">
        <v>43171</v>
      </c>
      <c r="K107" s="2">
        <v>43658</v>
      </c>
      <c r="L107" s="17">
        <f t="shared" si="63"/>
        <v>84.9999996799977</v>
      </c>
      <c r="M107" s="5">
        <v>6</v>
      </c>
      <c r="N107" s="5" t="s">
        <v>182</v>
      </c>
      <c r="O107" s="5" t="s">
        <v>406</v>
      </c>
      <c r="P107" s="3" t="s">
        <v>174</v>
      </c>
      <c r="Q107" s="5" t="s">
        <v>34</v>
      </c>
      <c r="R107" s="4">
        <f t="shared" si="64"/>
        <v>531246.18999999994</v>
      </c>
      <c r="S107" s="9">
        <v>531246.18999999994</v>
      </c>
      <c r="T107" s="9">
        <v>0</v>
      </c>
      <c r="U107" s="4">
        <f t="shared" si="65"/>
        <v>81249.41</v>
      </c>
      <c r="V107" s="54">
        <v>81249.41</v>
      </c>
      <c r="W107" s="54">
        <v>0</v>
      </c>
      <c r="X107" s="4">
        <f t="shared" si="66"/>
        <v>12499.92</v>
      </c>
      <c r="Y107" s="9">
        <v>12499.92</v>
      </c>
      <c r="Z107" s="9">
        <v>0</v>
      </c>
      <c r="AA107" s="9">
        <f t="shared" si="67"/>
        <v>0</v>
      </c>
      <c r="AB107" s="9">
        <v>0</v>
      </c>
      <c r="AC107" s="9">
        <v>0</v>
      </c>
      <c r="AD107" s="45">
        <f t="shared" si="37"/>
        <v>624995.52</v>
      </c>
      <c r="AE107" s="9">
        <v>0</v>
      </c>
      <c r="AF107" s="9">
        <f t="shared" si="68"/>
        <v>624995.52</v>
      </c>
      <c r="AG107" s="50" t="s">
        <v>966</v>
      </c>
      <c r="AH107" s="14" t="s">
        <v>151</v>
      </c>
      <c r="AI107" s="1">
        <v>425198.5</v>
      </c>
      <c r="AJ107" s="1">
        <v>65030.360000000015</v>
      </c>
    </row>
    <row r="108" spans="1:36" ht="204.75" x14ac:dyDescent="0.25">
      <c r="A108" s="5">
        <f t="shared" si="38"/>
        <v>105</v>
      </c>
      <c r="B108" s="16">
        <v>120588</v>
      </c>
      <c r="C108" s="5">
        <v>104</v>
      </c>
      <c r="D108" s="41" t="s">
        <v>1981</v>
      </c>
      <c r="E108" s="18" t="s">
        <v>278</v>
      </c>
      <c r="F108" s="8" t="s">
        <v>329</v>
      </c>
      <c r="G108" s="5" t="s">
        <v>1999</v>
      </c>
      <c r="H108" s="5" t="s">
        <v>151</v>
      </c>
      <c r="I108" s="42" t="s">
        <v>330</v>
      </c>
      <c r="J108" s="2">
        <v>43201</v>
      </c>
      <c r="K108" s="2">
        <v>43749</v>
      </c>
      <c r="L108" s="17">
        <f t="shared" si="63"/>
        <v>85.000000000000014</v>
      </c>
      <c r="M108" s="5">
        <v>6</v>
      </c>
      <c r="N108" s="5" t="s">
        <v>182</v>
      </c>
      <c r="O108" s="5" t="s">
        <v>406</v>
      </c>
      <c r="P108" s="3" t="s">
        <v>174</v>
      </c>
      <c r="Q108" s="5" t="s">
        <v>34</v>
      </c>
      <c r="R108" s="4">
        <f t="shared" si="64"/>
        <v>354701.26</v>
      </c>
      <c r="S108" s="9">
        <v>354701.26</v>
      </c>
      <c r="T108" s="9">
        <v>0</v>
      </c>
      <c r="U108" s="4">
        <f t="shared" si="65"/>
        <v>54248.43</v>
      </c>
      <c r="V108" s="54">
        <v>54248.43</v>
      </c>
      <c r="W108" s="54">
        <v>0</v>
      </c>
      <c r="X108" s="4">
        <f t="shared" si="66"/>
        <v>8345.91</v>
      </c>
      <c r="Y108" s="9">
        <v>8345.91</v>
      </c>
      <c r="Z108" s="9">
        <v>0</v>
      </c>
      <c r="AA108" s="9">
        <f t="shared" si="67"/>
        <v>0</v>
      </c>
      <c r="AB108" s="9">
        <v>0</v>
      </c>
      <c r="AC108" s="9">
        <v>0</v>
      </c>
      <c r="AD108" s="45">
        <f t="shared" si="37"/>
        <v>417295.6</v>
      </c>
      <c r="AE108" s="9">
        <v>0</v>
      </c>
      <c r="AF108" s="9">
        <f t="shared" si="68"/>
        <v>417295.6</v>
      </c>
      <c r="AG108" s="50" t="s">
        <v>966</v>
      </c>
      <c r="AH108" s="14" t="s">
        <v>1215</v>
      </c>
      <c r="AI108" s="1">
        <v>329554.89999999997</v>
      </c>
      <c r="AJ108" s="1">
        <v>50402.509999999987</v>
      </c>
    </row>
    <row r="109" spans="1:36" ht="207" customHeight="1" x14ac:dyDescent="0.25">
      <c r="A109" s="5">
        <f t="shared" si="38"/>
        <v>106</v>
      </c>
      <c r="B109" s="16">
        <v>126485</v>
      </c>
      <c r="C109" s="5">
        <v>546</v>
      </c>
      <c r="D109" s="41" t="s">
        <v>1981</v>
      </c>
      <c r="E109" s="18" t="s">
        <v>1018</v>
      </c>
      <c r="F109" s="8" t="s">
        <v>1086</v>
      </c>
      <c r="G109" s="5" t="s">
        <v>1084</v>
      </c>
      <c r="H109" s="5" t="s">
        <v>151</v>
      </c>
      <c r="I109" s="42" t="s">
        <v>1085</v>
      </c>
      <c r="J109" s="2">
        <v>43455</v>
      </c>
      <c r="K109" s="2">
        <v>44398</v>
      </c>
      <c r="L109" s="17">
        <f t="shared" si="63"/>
        <v>85</v>
      </c>
      <c r="M109" s="5">
        <v>6</v>
      </c>
      <c r="N109" s="5" t="s">
        <v>182</v>
      </c>
      <c r="O109" s="5" t="s">
        <v>183</v>
      </c>
      <c r="P109" s="3" t="s">
        <v>174</v>
      </c>
      <c r="Q109" s="5" t="s">
        <v>34</v>
      </c>
      <c r="R109" s="4">
        <f t="shared" si="64"/>
        <v>3257796.87</v>
      </c>
      <c r="S109" s="9">
        <v>3257796.87</v>
      </c>
      <c r="T109" s="9">
        <v>0</v>
      </c>
      <c r="U109" s="4">
        <f t="shared" si="65"/>
        <v>498251.29</v>
      </c>
      <c r="V109" s="54">
        <v>498251.29</v>
      </c>
      <c r="W109" s="54">
        <v>0</v>
      </c>
      <c r="X109" s="4">
        <f t="shared" si="66"/>
        <v>76654.039999999994</v>
      </c>
      <c r="Y109" s="9">
        <v>76654.039999999994</v>
      </c>
      <c r="Z109" s="9">
        <v>0</v>
      </c>
      <c r="AA109" s="9">
        <f t="shared" si="67"/>
        <v>0</v>
      </c>
      <c r="AB109" s="9">
        <v>0</v>
      </c>
      <c r="AC109" s="9">
        <v>0</v>
      </c>
      <c r="AD109" s="45">
        <f t="shared" si="37"/>
        <v>3832702.2</v>
      </c>
      <c r="AE109" s="9"/>
      <c r="AF109" s="9">
        <f t="shared" si="68"/>
        <v>3832702.2</v>
      </c>
      <c r="AG109" s="60" t="s">
        <v>966</v>
      </c>
      <c r="AH109" s="14" t="s">
        <v>2152</v>
      </c>
      <c r="AI109" s="1">
        <f>526834.95+248284.81+380000+318918.04+380000-24455.26</f>
        <v>1829582.54</v>
      </c>
      <c r="AJ109" s="1">
        <f>80574.74+37972.97+106893.35+24455.26</f>
        <v>249896.32000000001</v>
      </c>
    </row>
    <row r="110" spans="1:36" ht="240.75" customHeight="1" x14ac:dyDescent="0.25">
      <c r="A110" s="5">
        <f t="shared" si="38"/>
        <v>107</v>
      </c>
      <c r="B110" s="16">
        <v>126214</v>
      </c>
      <c r="C110" s="6">
        <v>527</v>
      </c>
      <c r="D110" s="41" t="s">
        <v>1981</v>
      </c>
      <c r="E110" s="18" t="s">
        <v>1018</v>
      </c>
      <c r="F110" s="8" t="s">
        <v>1121</v>
      </c>
      <c r="G110" s="5" t="s">
        <v>2000</v>
      </c>
      <c r="H110" s="5" t="s">
        <v>151</v>
      </c>
      <c r="I110" s="42" t="s">
        <v>1122</v>
      </c>
      <c r="J110" s="2">
        <v>43507</v>
      </c>
      <c r="K110" s="2">
        <v>44815</v>
      </c>
      <c r="L110" s="17">
        <f t="shared" si="63"/>
        <v>85.000000000000014</v>
      </c>
      <c r="M110" s="5">
        <v>6</v>
      </c>
      <c r="N110" s="5" t="s">
        <v>182</v>
      </c>
      <c r="O110" s="5" t="s">
        <v>406</v>
      </c>
      <c r="P110" s="3" t="s">
        <v>174</v>
      </c>
      <c r="Q110" s="5" t="s">
        <v>34</v>
      </c>
      <c r="R110" s="4">
        <f t="shared" si="64"/>
        <v>3316506.2</v>
      </c>
      <c r="S110" s="9">
        <v>3316506.2</v>
      </c>
      <c r="T110" s="9">
        <v>0</v>
      </c>
      <c r="U110" s="4">
        <f t="shared" si="65"/>
        <v>507230.36</v>
      </c>
      <c r="V110" s="54">
        <v>507230.36</v>
      </c>
      <c r="W110" s="54">
        <v>0</v>
      </c>
      <c r="X110" s="4">
        <f t="shared" si="66"/>
        <v>78035.44</v>
      </c>
      <c r="Y110" s="9">
        <v>78035.44</v>
      </c>
      <c r="Z110" s="9">
        <v>0</v>
      </c>
      <c r="AA110" s="9">
        <f t="shared" si="67"/>
        <v>0</v>
      </c>
      <c r="AB110" s="9">
        <v>0</v>
      </c>
      <c r="AC110" s="9">
        <v>0</v>
      </c>
      <c r="AD110" s="45">
        <f t="shared" si="37"/>
        <v>3901772</v>
      </c>
      <c r="AE110" s="9">
        <v>0</v>
      </c>
      <c r="AF110" s="9">
        <f t="shared" si="68"/>
        <v>3901772</v>
      </c>
      <c r="AG110" s="60" t="s">
        <v>515</v>
      </c>
      <c r="AH110" s="14" t="s">
        <v>2195</v>
      </c>
      <c r="AI110" s="1">
        <f>369954.38+411573.28</f>
        <v>781527.66</v>
      </c>
      <c r="AJ110" s="1">
        <f>56581.26+62946.51</f>
        <v>119527.77</v>
      </c>
    </row>
    <row r="111" spans="1:36" ht="240.75" customHeight="1" x14ac:dyDescent="0.25">
      <c r="A111" s="5">
        <f t="shared" si="38"/>
        <v>108</v>
      </c>
      <c r="B111" s="5">
        <v>128473</v>
      </c>
      <c r="C111" s="6">
        <v>629</v>
      </c>
      <c r="D111" s="41" t="s">
        <v>1981</v>
      </c>
      <c r="E111" s="90" t="s">
        <v>1246</v>
      </c>
      <c r="F111" s="8" t="s">
        <v>1310</v>
      </c>
      <c r="G111" s="5" t="s">
        <v>1999</v>
      </c>
      <c r="H111" s="5" t="s">
        <v>362</v>
      </c>
      <c r="I111" s="42" t="s">
        <v>1311</v>
      </c>
      <c r="J111" s="2">
        <v>43640</v>
      </c>
      <c r="K111" s="2">
        <v>44554</v>
      </c>
      <c r="L111" s="17">
        <f t="shared" si="63"/>
        <v>85</v>
      </c>
      <c r="M111" s="5">
        <v>6</v>
      </c>
      <c r="N111" s="5" t="s">
        <v>182</v>
      </c>
      <c r="O111" s="5" t="s">
        <v>406</v>
      </c>
      <c r="P111" s="3" t="s">
        <v>174</v>
      </c>
      <c r="Q111" s="5" t="s">
        <v>34</v>
      </c>
      <c r="R111" s="4">
        <f t="shared" si="64"/>
        <v>2773068.05</v>
      </c>
      <c r="S111" s="9">
        <v>2773068.05</v>
      </c>
      <c r="T111" s="9">
        <v>0</v>
      </c>
      <c r="U111" s="4">
        <f t="shared" si="65"/>
        <v>424116.29</v>
      </c>
      <c r="V111" s="54">
        <v>424116.29</v>
      </c>
      <c r="W111" s="54">
        <v>0</v>
      </c>
      <c r="X111" s="4">
        <f t="shared" si="66"/>
        <v>65248.66</v>
      </c>
      <c r="Y111" s="9">
        <v>65248.66</v>
      </c>
      <c r="Z111" s="9">
        <v>0</v>
      </c>
      <c r="AA111" s="9">
        <f t="shared" si="67"/>
        <v>0</v>
      </c>
      <c r="AB111" s="9">
        <v>0</v>
      </c>
      <c r="AC111" s="9">
        <v>0</v>
      </c>
      <c r="AD111" s="45">
        <f t="shared" si="37"/>
        <v>3262433</v>
      </c>
      <c r="AE111" s="9">
        <v>102340</v>
      </c>
      <c r="AF111" s="9">
        <f t="shared" si="68"/>
        <v>3364773</v>
      </c>
      <c r="AG111" s="60" t="s">
        <v>515</v>
      </c>
      <c r="AH111" s="14"/>
      <c r="AI111" s="1">
        <f>219757.88+193444.4</f>
        <v>413202.28</v>
      </c>
      <c r="AJ111" s="1">
        <f>33610.02+29585.59</f>
        <v>63195.61</v>
      </c>
    </row>
    <row r="112" spans="1:36" ht="409.6" customHeight="1" x14ac:dyDescent="0.25">
      <c r="A112" s="5">
        <f t="shared" si="38"/>
        <v>109</v>
      </c>
      <c r="B112" s="5">
        <v>129268</v>
      </c>
      <c r="C112" s="129">
        <v>655</v>
      </c>
      <c r="D112" s="41" t="s">
        <v>1981</v>
      </c>
      <c r="E112" s="90" t="s">
        <v>1246</v>
      </c>
      <c r="F112" s="8" t="s">
        <v>1300</v>
      </c>
      <c r="G112" s="5" t="s">
        <v>1348</v>
      </c>
      <c r="H112" s="5" t="s">
        <v>151</v>
      </c>
      <c r="I112" s="42" t="s">
        <v>1301</v>
      </c>
      <c r="J112" s="2">
        <v>43634</v>
      </c>
      <c r="K112" s="2">
        <v>44214</v>
      </c>
      <c r="L112" s="17">
        <f t="shared" si="63"/>
        <v>84.999999999999986</v>
      </c>
      <c r="M112" s="5">
        <v>5</v>
      </c>
      <c r="N112" s="5" t="s">
        <v>182</v>
      </c>
      <c r="O112" s="5" t="s">
        <v>1302</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64"/>
        <v>1962765.6</v>
      </c>
      <c r="S112" s="9">
        <v>1962765.6</v>
      </c>
      <c r="T112" s="9">
        <v>0</v>
      </c>
      <c r="U112" s="4">
        <f t="shared" si="65"/>
        <v>300187.68</v>
      </c>
      <c r="V112" s="54">
        <v>300187.68</v>
      </c>
      <c r="W112" s="54">
        <v>0</v>
      </c>
      <c r="X112" s="4">
        <f t="shared" si="66"/>
        <v>46182.720000000001</v>
      </c>
      <c r="Y112" s="9">
        <v>46182.720000000001</v>
      </c>
      <c r="Z112" s="9">
        <v>0</v>
      </c>
      <c r="AA112" s="9">
        <f t="shared" si="67"/>
        <v>0</v>
      </c>
      <c r="AB112" s="9">
        <v>0</v>
      </c>
      <c r="AC112" s="9">
        <v>0</v>
      </c>
      <c r="AD112" s="45">
        <f t="shared" si="37"/>
        <v>2309136.0000000005</v>
      </c>
      <c r="AE112" s="9">
        <v>0</v>
      </c>
      <c r="AF112" s="9">
        <f t="shared" si="68"/>
        <v>2309136.0000000005</v>
      </c>
      <c r="AG112" s="60" t="s">
        <v>966</v>
      </c>
      <c r="AH112" s="14" t="s">
        <v>151</v>
      </c>
      <c r="AI112" s="1">
        <f>72304.61+19204.05+710933.79+92672.62+673975.2+37295.79+12775.25</f>
        <v>1619161.31</v>
      </c>
      <c r="AJ112" s="1">
        <f>3424.24+3817.06+3817.06+2937.09+108731.04+14173.46+103078.56+5704.06+1953.86</f>
        <v>247636.42999999996</v>
      </c>
    </row>
    <row r="113" spans="1:36" ht="220.5" x14ac:dyDescent="0.25">
      <c r="A113" s="5">
        <f t="shared" si="38"/>
        <v>110</v>
      </c>
      <c r="B113" s="5">
        <v>135879</v>
      </c>
      <c r="C113" s="129">
        <v>774</v>
      </c>
      <c r="D113" s="41" t="s">
        <v>1981</v>
      </c>
      <c r="E113" s="83" t="s">
        <v>1700</v>
      </c>
      <c r="F113" s="8" t="s">
        <v>1777</v>
      </c>
      <c r="G113" s="16" t="s">
        <v>1348</v>
      </c>
      <c r="H113" s="5" t="s">
        <v>151</v>
      </c>
      <c r="I113" s="42" t="s">
        <v>1778</v>
      </c>
      <c r="J113" s="2">
        <v>43969</v>
      </c>
      <c r="K113" s="2">
        <v>44699</v>
      </c>
      <c r="L113" s="17">
        <f t="shared" si="63"/>
        <v>85.000000000000014</v>
      </c>
      <c r="M113" s="5">
        <v>5</v>
      </c>
      <c r="N113" s="5" t="s">
        <v>182</v>
      </c>
      <c r="O113" s="5" t="s">
        <v>1302</v>
      </c>
      <c r="P113" s="66" t="s">
        <v>174</v>
      </c>
      <c r="Q113" s="63" t="s">
        <v>34</v>
      </c>
      <c r="R113" s="4">
        <f t="shared" si="64"/>
        <v>528564.85</v>
      </c>
      <c r="S113" s="9">
        <v>528564.85</v>
      </c>
      <c r="T113" s="9">
        <v>0</v>
      </c>
      <c r="U113" s="4">
        <f t="shared" si="65"/>
        <v>80839.33</v>
      </c>
      <c r="V113" s="54">
        <v>80839.33</v>
      </c>
      <c r="W113" s="54">
        <v>0</v>
      </c>
      <c r="X113" s="4">
        <f t="shared" si="66"/>
        <v>12436.82</v>
      </c>
      <c r="Y113" s="9">
        <v>12436.82</v>
      </c>
      <c r="Z113" s="9">
        <v>0</v>
      </c>
      <c r="AA113" s="9">
        <f t="shared" si="67"/>
        <v>0</v>
      </c>
      <c r="AB113" s="9">
        <v>0</v>
      </c>
      <c r="AC113" s="9">
        <v>0</v>
      </c>
      <c r="AD113" s="45">
        <f t="shared" si="37"/>
        <v>621840.99999999988</v>
      </c>
      <c r="AE113" s="9">
        <v>75327</v>
      </c>
      <c r="AF113" s="9">
        <f t="shared" si="68"/>
        <v>697167.99999999988</v>
      </c>
      <c r="AG113" s="60" t="s">
        <v>515</v>
      </c>
      <c r="AH113" s="14" t="s">
        <v>151</v>
      </c>
      <c r="AI113" s="1">
        <f>12254.02+11395.1+30554.27+10719.35</f>
        <v>64922.74</v>
      </c>
      <c r="AJ113" s="1">
        <f>1874.15+1742.78+4673.01+1639.43</f>
        <v>9929.3700000000008</v>
      </c>
    </row>
    <row r="114" spans="1:36" ht="204.75" x14ac:dyDescent="0.25">
      <c r="A114" s="5">
        <f t="shared" si="38"/>
        <v>111</v>
      </c>
      <c r="B114" s="5">
        <v>136177</v>
      </c>
      <c r="C114" s="129">
        <v>819</v>
      </c>
      <c r="D114" s="41" t="s">
        <v>1981</v>
      </c>
      <c r="E114" s="83" t="s">
        <v>1700</v>
      </c>
      <c r="F114" s="8" t="s">
        <v>1827</v>
      </c>
      <c r="G114" s="16" t="s">
        <v>1828</v>
      </c>
      <c r="H114" s="5" t="s">
        <v>151</v>
      </c>
      <c r="I114" s="42" t="s">
        <v>1830</v>
      </c>
      <c r="J114" s="2">
        <v>43998</v>
      </c>
      <c r="K114" s="2">
        <v>44728</v>
      </c>
      <c r="L114" s="17">
        <f t="shared" si="63"/>
        <v>85</v>
      </c>
      <c r="M114" s="5">
        <v>5</v>
      </c>
      <c r="N114" s="5" t="s">
        <v>182</v>
      </c>
      <c r="O114" s="5" t="s">
        <v>1829</v>
      </c>
      <c r="P114" s="66" t="s">
        <v>174</v>
      </c>
      <c r="Q114" s="63" t="s">
        <v>34</v>
      </c>
      <c r="R114" s="4">
        <f t="shared" si="64"/>
        <v>2537310.1800000002</v>
      </c>
      <c r="S114" s="9">
        <v>2537310.1800000002</v>
      </c>
      <c r="T114" s="9">
        <v>0</v>
      </c>
      <c r="U114" s="4">
        <f t="shared" si="65"/>
        <v>388059.2</v>
      </c>
      <c r="V114" s="54">
        <v>388059.2</v>
      </c>
      <c r="W114" s="54">
        <v>0</v>
      </c>
      <c r="X114" s="4">
        <f t="shared" si="66"/>
        <v>59701.42</v>
      </c>
      <c r="Y114" s="9">
        <v>59701.42</v>
      </c>
      <c r="Z114" s="9">
        <v>0</v>
      </c>
      <c r="AA114" s="9">
        <f t="shared" si="67"/>
        <v>0</v>
      </c>
      <c r="AB114" s="9">
        <v>0</v>
      </c>
      <c r="AC114" s="9">
        <v>0</v>
      </c>
      <c r="AD114" s="45">
        <f t="shared" si="37"/>
        <v>2985070.8000000003</v>
      </c>
      <c r="AE114" s="9">
        <v>0</v>
      </c>
      <c r="AF114" s="9">
        <f t="shared" si="68"/>
        <v>2985070.8000000003</v>
      </c>
      <c r="AG114" s="60" t="s">
        <v>515</v>
      </c>
      <c r="AH114" s="14" t="s">
        <v>151</v>
      </c>
      <c r="AI114" s="1">
        <f>33929.88+132830.35+55079.15</f>
        <v>221839.38</v>
      </c>
      <c r="AJ114" s="1">
        <f>5189.27+20315.23+8423.87</f>
        <v>33928.370000000003</v>
      </c>
    </row>
    <row r="115" spans="1:36" ht="267.75" x14ac:dyDescent="0.25">
      <c r="A115" s="5">
        <f t="shared" si="38"/>
        <v>112</v>
      </c>
      <c r="B115" s="5">
        <v>135941</v>
      </c>
      <c r="C115" s="129">
        <v>775</v>
      </c>
      <c r="D115" s="41" t="s">
        <v>1981</v>
      </c>
      <c r="E115" s="83" t="s">
        <v>1700</v>
      </c>
      <c r="F115" s="8" t="s">
        <v>1863</v>
      </c>
      <c r="G115" s="16" t="s">
        <v>1864</v>
      </c>
      <c r="H115" s="5" t="s">
        <v>151</v>
      </c>
      <c r="I115" s="42" t="s">
        <v>1865</v>
      </c>
      <c r="J115" s="2">
        <v>44014</v>
      </c>
      <c r="K115" s="2">
        <v>44594</v>
      </c>
      <c r="L115" s="17">
        <f t="shared" si="63"/>
        <v>85.000000048627584</v>
      </c>
      <c r="M115" s="5">
        <v>5</v>
      </c>
      <c r="N115" s="5" t="s">
        <v>182</v>
      </c>
      <c r="O115" s="5" t="s">
        <v>1866</v>
      </c>
      <c r="P115" s="66" t="s">
        <v>174</v>
      </c>
      <c r="Q115" s="63" t="s">
        <v>34</v>
      </c>
      <c r="R115" s="4">
        <f t="shared" si="64"/>
        <v>2621969</v>
      </c>
      <c r="S115" s="9">
        <v>2621969</v>
      </c>
      <c r="T115" s="9">
        <v>0</v>
      </c>
      <c r="U115" s="4">
        <f t="shared" si="65"/>
        <v>401007.02</v>
      </c>
      <c r="V115" s="54">
        <v>401007.02</v>
      </c>
      <c r="W115" s="54">
        <v>0</v>
      </c>
      <c r="X115" s="4">
        <f t="shared" si="66"/>
        <v>61693.39</v>
      </c>
      <c r="Y115" s="9">
        <v>61693.39</v>
      </c>
      <c r="Z115" s="9">
        <v>0</v>
      </c>
      <c r="AA115" s="9">
        <f t="shared" si="67"/>
        <v>0</v>
      </c>
      <c r="AB115" s="9">
        <v>0</v>
      </c>
      <c r="AC115" s="9">
        <v>0</v>
      </c>
      <c r="AD115" s="45">
        <f t="shared" si="37"/>
        <v>3084669.41</v>
      </c>
      <c r="AE115" s="9">
        <v>0</v>
      </c>
      <c r="AF115" s="9">
        <f t="shared" si="68"/>
        <v>3084669.41</v>
      </c>
      <c r="AG115" s="60" t="s">
        <v>515</v>
      </c>
      <c r="AH115" s="14" t="s">
        <v>2126</v>
      </c>
      <c r="AI115" s="1">
        <f>180987.13-16741.02+34854.48+1698328.73-7065.69</f>
        <v>1890363.6300000001</v>
      </c>
      <c r="AJ115" s="1">
        <f>16741.02+3003.78+259744.4+7065.69</f>
        <v>286554.89</v>
      </c>
    </row>
    <row r="116" spans="1:36" ht="204.75" x14ac:dyDescent="0.25">
      <c r="A116" s="5">
        <f t="shared" si="38"/>
        <v>113</v>
      </c>
      <c r="B116" s="5">
        <v>135985</v>
      </c>
      <c r="C116" s="129">
        <v>776</v>
      </c>
      <c r="D116" s="41" t="s">
        <v>1981</v>
      </c>
      <c r="E116" s="83" t="s">
        <v>1700</v>
      </c>
      <c r="F116" s="8" t="s">
        <v>1867</v>
      </c>
      <c r="G116" s="16" t="s">
        <v>1084</v>
      </c>
      <c r="H116" s="5" t="s">
        <v>151</v>
      </c>
      <c r="I116" s="42" t="s">
        <v>1868</v>
      </c>
      <c r="J116" s="2">
        <v>44014</v>
      </c>
      <c r="K116" s="2">
        <v>44563</v>
      </c>
      <c r="L116" s="17">
        <f t="shared" si="63"/>
        <v>85.000000029098828</v>
      </c>
      <c r="M116" s="5">
        <v>5</v>
      </c>
      <c r="N116" s="5" t="s">
        <v>182</v>
      </c>
      <c r="O116" s="5" t="s">
        <v>183</v>
      </c>
      <c r="P116" s="66" t="s">
        <v>174</v>
      </c>
      <c r="Q116" s="63" t="s">
        <v>34</v>
      </c>
      <c r="R116" s="4">
        <f t="shared" si="64"/>
        <v>1460540.61</v>
      </c>
      <c r="S116" s="9">
        <v>1460540.61</v>
      </c>
      <c r="T116" s="9">
        <v>0</v>
      </c>
      <c r="U116" s="4">
        <f t="shared" si="65"/>
        <v>223376.8</v>
      </c>
      <c r="V116" s="54">
        <v>223376.8</v>
      </c>
      <c r="W116" s="54">
        <v>0</v>
      </c>
      <c r="X116" s="4">
        <f t="shared" si="66"/>
        <v>34365.660000000003</v>
      </c>
      <c r="Y116" s="9">
        <v>34365.660000000003</v>
      </c>
      <c r="Z116" s="9">
        <v>0</v>
      </c>
      <c r="AA116" s="9">
        <f t="shared" si="67"/>
        <v>0</v>
      </c>
      <c r="AB116" s="9">
        <v>0</v>
      </c>
      <c r="AC116" s="9">
        <v>0</v>
      </c>
      <c r="AD116" s="45">
        <f t="shared" si="37"/>
        <v>1718283.07</v>
      </c>
      <c r="AE116" s="9">
        <v>0</v>
      </c>
      <c r="AF116" s="9">
        <f t="shared" si="68"/>
        <v>1718283.07</v>
      </c>
      <c r="AG116" s="60" t="s">
        <v>515</v>
      </c>
      <c r="AH116" s="14" t="s">
        <v>151</v>
      </c>
      <c r="AI116" s="1">
        <v>47797.2</v>
      </c>
      <c r="AJ116" s="1">
        <v>7310.16</v>
      </c>
    </row>
    <row r="117" spans="1:36" ht="180" x14ac:dyDescent="0.25">
      <c r="A117" s="5">
        <f t="shared" si="38"/>
        <v>114</v>
      </c>
      <c r="B117" s="63">
        <v>135341</v>
      </c>
      <c r="C117" s="118">
        <v>835</v>
      </c>
      <c r="D117" s="41" t="s">
        <v>1981</v>
      </c>
      <c r="E117" s="18" t="s">
        <v>1700</v>
      </c>
      <c r="F117" s="122" t="s">
        <v>1925</v>
      </c>
      <c r="G117" s="5" t="s">
        <v>1999</v>
      </c>
      <c r="H117" s="63" t="s">
        <v>296</v>
      </c>
      <c r="I117" s="103" t="s">
        <v>1926</v>
      </c>
      <c r="J117" s="64">
        <v>44048</v>
      </c>
      <c r="K117" s="64">
        <v>44870</v>
      </c>
      <c r="L117" s="17">
        <f t="shared" si="63"/>
        <v>85</v>
      </c>
      <c r="M117" s="5">
        <v>5</v>
      </c>
      <c r="N117" s="5" t="s">
        <v>182</v>
      </c>
      <c r="O117" s="5" t="s">
        <v>406</v>
      </c>
      <c r="P117" s="66" t="s">
        <v>174</v>
      </c>
      <c r="Q117" s="63" t="s">
        <v>34</v>
      </c>
      <c r="R117" s="4">
        <f t="shared" si="64"/>
        <v>3399981.3</v>
      </c>
      <c r="S117" s="9">
        <v>3399981.3</v>
      </c>
      <c r="T117" s="9">
        <v>0</v>
      </c>
      <c r="U117" s="4">
        <f t="shared" si="65"/>
        <v>519997.14</v>
      </c>
      <c r="V117" s="54">
        <v>519997.14</v>
      </c>
      <c r="W117" s="54">
        <v>0</v>
      </c>
      <c r="X117" s="4">
        <f t="shared" si="66"/>
        <v>79999.56</v>
      </c>
      <c r="Y117" s="9">
        <v>79999.56</v>
      </c>
      <c r="Z117" s="9">
        <v>0</v>
      </c>
      <c r="AA117" s="9">
        <f t="shared" si="67"/>
        <v>0</v>
      </c>
      <c r="AB117" s="9">
        <v>0</v>
      </c>
      <c r="AC117" s="9">
        <v>0</v>
      </c>
      <c r="AD117" s="45">
        <f t="shared" si="37"/>
        <v>3999978</v>
      </c>
      <c r="AE117" s="9">
        <v>49980</v>
      </c>
      <c r="AF117" s="9">
        <f t="shared" si="68"/>
        <v>4049958</v>
      </c>
      <c r="AG117" s="60" t="s">
        <v>515</v>
      </c>
      <c r="AH117" s="14" t="s">
        <v>151</v>
      </c>
      <c r="AI117" s="1">
        <v>859.78</v>
      </c>
      <c r="AJ117" s="1">
        <v>131.5</v>
      </c>
    </row>
    <row r="118" spans="1:36" ht="141.75" x14ac:dyDescent="0.25">
      <c r="A118" s="5">
        <f t="shared" si="38"/>
        <v>115</v>
      </c>
      <c r="B118" s="5">
        <v>120642</v>
      </c>
      <c r="C118" s="6">
        <v>84</v>
      </c>
      <c r="D118" s="41" t="s">
        <v>1981</v>
      </c>
      <c r="E118" s="18" t="s">
        <v>278</v>
      </c>
      <c r="F118" s="8" t="s">
        <v>279</v>
      </c>
      <c r="G118" s="5" t="s">
        <v>280</v>
      </c>
      <c r="H118" s="5" t="s">
        <v>151</v>
      </c>
      <c r="I118" s="88" t="s">
        <v>448</v>
      </c>
      <c r="J118" s="2">
        <v>43175</v>
      </c>
      <c r="K118" s="2">
        <v>43662</v>
      </c>
      <c r="L118" s="17">
        <f t="shared" ref="L118:L125" si="69">R118/AD118*100</f>
        <v>84.999998716744599</v>
      </c>
      <c r="M118" s="5">
        <v>2</v>
      </c>
      <c r="N118" s="5" t="s">
        <v>281</v>
      </c>
      <c r="O118" s="5" t="s">
        <v>282</v>
      </c>
      <c r="P118" s="3" t="s">
        <v>174</v>
      </c>
      <c r="Q118" s="5" t="s">
        <v>34</v>
      </c>
      <c r="R118" s="4">
        <f t="shared" ref="R118:R125" si="70">S118+T118</f>
        <v>264951.15000000002</v>
      </c>
      <c r="S118" s="9">
        <v>264951.15000000002</v>
      </c>
      <c r="T118" s="9">
        <v>0</v>
      </c>
      <c r="U118" s="4">
        <f t="shared" ref="U118:U126" si="71">V118+W118</f>
        <v>40521.949999999997</v>
      </c>
      <c r="V118" s="54">
        <v>40521.949999999997</v>
      </c>
      <c r="W118" s="54">
        <v>0</v>
      </c>
      <c r="X118" s="4">
        <f t="shared" ref="X118:X126" si="72">Y118+Z118</f>
        <v>6234.14</v>
      </c>
      <c r="Y118" s="9">
        <v>6234.14</v>
      </c>
      <c r="Z118" s="9">
        <v>0</v>
      </c>
      <c r="AA118" s="9">
        <f t="shared" ref="AA118:AA125" si="73">AB118+AC118</f>
        <v>0</v>
      </c>
      <c r="AB118" s="9">
        <v>0</v>
      </c>
      <c r="AC118" s="9">
        <v>0</v>
      </c>
      <c r="AD118" s="45">
        <f t="shared" si="37"/>
        <v>311707.24000000005</v>
      </c>
      <c r="AE118" s="9">
        <v>0</v>
      </c>
      <c r="AF118" s="9">
        <f t="shared" ref="AF118:AF125" si="74">AD118+AE118</f>
        <v>311707.24000000005</v>
      </c>
      <c r="AG118" s="50" t="s">
        <v>966</v>
      </c>
      <c r="AH118" s="14" t="s">
        <v>151</v>
      </c>
      <c r="AI118" s="1">
        <v>161700.98000000001</v>
      </c>
      <c r="AJ118" s="1">
        <v>24730.730000000003</v>
      </c>
    </row>
    <row r="119" spans="1:36" ht="141.75" x14ac:dyDescent="0.25">
      <c r="A119" s="5">
        <f t="shared" si="38"/>
        <v>116</v>
      </c>
      <c r="B119" s="16">
        <v>116521</v>
      </c>
      <c r="C119" s="5">
        <v>405</v>
      </c>
      <c r="D119" s="8" t="s">
        <v>1982</v>
      </c>
      <c r="E119" s="8" t="s">
        <v>540</v>
      </c>
      <c r="F119" s="8" t="s">
        <v>726</v>
      </c>
      <c r="G119" s="5" t="s">
        <v>1907</v>
      </c>
      <c r="H119" s="5" t="s">
        <v>151</v>
      </c>
      <c r="I119" s="8" t="s">
        <v>727</v>
      </c>
      <c r="J119" s="2">
        <v>43304</v>
      </c>
      <c r="K119" s="2">
        <v>43792</v>
      </c>
      <c r="L119" s="17">
        <f t="shared" si="69"/>
        <v>85.000001706742694</v>
      </c>
      <c r="M119" s="5">
        <v>2</v>
      </c>
      <c r="N119" s="5" t="s">
        <v>281</v>
      </c>
      <c r="O119" s="5" t="s">
        <v>281</v>
      </c>
      <c r="P119" s="5" t="s">
        <v>174</v>
      </c>
      <c r="Q119" s="5" t="s">
        <v>34</v>
      </c>
      <c r="R119" s="4">
        <f t="shared" si="70"/>
        <v>249012.35</v>
      </c>
      <c r="S119" s="1">
        <v>249012.35</v>
      </c>
      <c r="T119" s="1">
        <v>0</v>
      </c>
      <c r="U119" s="4">
        <f t="shared" si="71"/>
        <v>38084.239999999998</v>
      </c>
      <c r="V119" s="74">
        <v>38084.239999999998</v>
      </c>
      <c r="W119" s="74">
        <v>0</v>
      </c>
      <c r="X119" s="4">
        <f t="shared" si="72"/>
        <v>5859.11</v>
      </c>
      <c r="Y119" s="1">
        <v>5859.11</v>
      </c>
      <c r="Z119" s="1">
        <v>0</v>
      </c>
      <c r="AA119" s="9">
        <f t="shared" si="73"/>
        <v>0</v>
      </c>
      <c r="AB119" s="1">
        <v>0</v>
      </c>
      <c r="AC119" s="1">
        <v>0</v>
      </c>
      <c r="AD119" s="45">
        <f t="shared" si="37"/>
        <v>292955.7</v>
      </c>
      <c r="AE119" s="60">
        <v>0</v>
      </c>
      <c r="AF119" s="9">
        <f t="shared" si="74"/>
        <v>292955.7</v>
      </c>
      <c r="AG119" s="50" t="s">
        <v>966</v>
      </c>
      <c r="AH119" s="60"/>
      <c r="AI119" s="1">
        <v>201942.88</v>
      </c>
      <c r="AJ119" s="1">
        <f>9579.42+5275.29+1268.05+14762.58</f>
        <v>30885.339999999997</v>
      </c>
    </row>
    <row r="120" spans="1:36" ht="189" x14ac:dyDescent="0.25">
      <c r="A120" s="5">
        <f t="shared" si="38"/>
        <v>117</v>
      </c>
      <c r="B120" s="16">
        <v>126409</v>
      </c>
      <c r="C120" s="5">
        <v>551</v>
      </c>
      <c r="D120" s="41" t="s">
        <v>1981</v>
      </c>
      <c r="E120" s="8" t="s">
        <v>1018</v>
      </c>
      <c r="F120" s="8" t="s">
        <v>1043</v>
      </c>
      <c r="G120" s="5" t="s">
        <v>1907</v>
      </c>
      <c r="H120" s="5" t="s">
        <v>151</v>
      </c>
      <c r="I120" s="8" t="s">
        <v>1044</v>
      </c>
      <c r="J120" s="2">
        <v>43439</v>
      </c>
      <c r="K120" s="2">
        <v>44566</v>
      </c>
      <c r="L120" s="17">
        <f t="shared" si="69"/>
        <v>85.000000607988994</v>
      </c>
      <c r="M120" s="5">
        <v>2</v>
      </c>
      <c r="N120" s="5" t="s">
        <v>281</v>
      </c>
      <c r="O120" s="5" t="s">
        <v>281</v>
      </c>
      <c r="P120" s="5" t="s">
        <v>174</v>
      </c>
      <c r="Q120" s="5" t="s">
        <v>34</v>
      </c>
      <c r="R120" s="4">
        <f t="shared" si="70"/>
        <v>3075713.53</v>
      </c>
      <c r="S120" s="1">
        <v>3075713.53</v>
      </c>
      <c r="T120" s="1">
        <v>0</v>
      </c>
      <c r="U120" s="4">
        <f t="shared" si="71"/>
        <v>470403.22</v>
      </c>
      <c r="V120" s="74">
        <v>470403.22</v>
      </c>
      <c r="W120" s="74">
        <v>0</v>
      </c>
      <c r="X120" s="4">
        <f t="shared" si="72"/>
        <v>72369.73000000001</v>
      </c>
      <c r="Y120" s="1">
        <v>72369.73000000001</v>
      </c>
      <c r="Z120" s="1">
        <v>0</v>
      </c>
      <c r="AA120" s="9">
        <f t="shared" si="73"/>
        <v>0</v>
      </c>
      <c r="AB120" s="1">
        <v>0</v>
      </c>
      <c r="AC120" s="1">
        <v>0</v>
      </c>
      <c r="AD120" s="45">
        <f t="shared" si="37"/>
        <v>3618486.48</v>
      </c>
      <c r="AE120" s="60">
        <v>0</v>
      </c>
      <c r="AF120" s="9">
        <f t="shared" si="74"/>
        <v>3618486.48</v>
      </c>
      <c r="AG120" s="60" t="s">
        <v>515</v>
      </c>
      <c r="AH120" s="60" t="s">
        <v>2023</v>
      </c>
      <c r="AI120" s="1">
        <f>183107.25+130271.09+133951.13+97196.32+126539.04</f>
        <v>671064.83000000007</v>
      </c>
      <c r="AJ120" s="1">
        <f>28004.63+19923.81+20486.64+14865.32+19353.03</f>
        <v>102633.43</v>
      </c>
    </row>
    <row r="121" spans="1:36" ht="141.75" x14ac:dyDescent="0.25">
      <c r="A121" s="5">
        <f t="shared" si="38"/>
        <v>118</v>
      </c>
      <c r="B121" s="16">
        <v>125745</v>
      </c>
      <c r="C121" s="5">
        <v>531</v>
      </c>
      <c r="D121" s="41" t="s">
        <v>1981</v>
      </c>
      <c r="E121" s="8" t="s">
        <v>1018</v>
      </c>
      <c r="F121" s="8" t="s">
        <v>1187</v>
      </c>
      <c r="G121" s="5" t="s">
        <v>2001</v>
      </c>
      <c r="H121" s="5" t="s">
        <v>151</v>
      </c>
      <c r="I121" s="8" t="s">
        <v>1188</v>
      </c>
      <c r="J121" s="2">
        <v>43550</v>
      </c>
      <c r="K121" s="2">
        <v>44465</v>
      </c>
      <c r="L121" s="17">
        <f t="shared" si="69"/>
        <v>85</v>
      </c>
      <c r="M121" s="5">
        <v>2</v>
      </c>
      <c r="N121" s="5" t="s">
        <v>281</v>
      </c>
      <c r="O121" s="5" t="s">
        <v>281</v>
      </c>
      <c r="P121" s="5" t="s">
        <v>174</v>
      </c>
      <c r="Q121" s="5" t="s">
        <v>34</v>
      </c>
      <c r="R121" s="4">
        <f t="shared" si="70"/>
        <v>1983050</v>
      </c>
      <c r="S121" s="1">
        <v>1983050</v>
      </c>
      <c r="T121" s="1">
        <v>0</v>
      </c>
      <c r="U121" s="4">
        <f t="shared" si="71"/>
        <v>303290</v>
      </c>
      <c r="V121" s="74">
        <v>303290</v>
      </c>
      <c r="W121" s="74">
        <v>0</v>
      </c>
      <c r="X121" s="4">
        <f t="shared" si="72"/>
        <v>46660</v>
      </c>
      <c r="Y121" s="1">
        <v>46660</v>
      </c>
      <c r="Z121" s="1">
        <v>0</v>
      </c>
      <c r="AA121" s="9">
        <f t="shared" si="73"/>
        <v>0</v>
      </c>
      <c r="AB121" s="1">
        <v>0</v>
      </c>
      <c r="AC121" s="1">
        <v>0</v>
      </c>
      <c r="AD121" s="45">
        <f t="shared" si="37"/>
        <v>2333000</v>
      </c>
      <c r="AE121" s="60">
        <v>0</v>
      </c>
      <c r="AF121" s="9">
        <f t="shared" si="74"/>
        <v>2333000</v>
      </c>
      <c r="AG121" s="60" t="s">
        <v>515</v>
      </c>
      <c r="AH121" s="60"/>
      <c r="AI121" s="1">
        <f>1517.25+775063.14+83364.29+145583.17+1001.38</f>
        <v>1006529.2300000001</v>
      </c>
      <c r="AJ121" s="1">
        <f>232.05+118539.09+12749.84+22265.66+153.16</f>
        <v>153939.80000000002</v>
      </c>
    </row>
    <row r="122" spans="1:36" ht="189" x14ac:dyDescent="0.25">
      <c r="A122" s="5">
        <f t="shared" si="38"/>
        <v>119</v>
      </c>
      <c r="B122" s="16">
        <v>109686</v>
      </c>
      <c r="C122" s="70">
        <v>122</v>
      </c>
      <c r="D122" s="41" t="s">
        <v>1981</v>
      </c>
      <c r="E122" s="18" t="s">
        <v>278</v>
      </c>
      <c r="F122" s="8" t="s">
        <v>1376</v>
      </c>
      <c r="G122" s="5" t="s">
        <v>1907</v>
      </c>
      <c r="H122" s="5" t="s">
        <v>362</v>
      </c>
      <c r="I122" s="42" t="s">
        <v>578</v>
      </c>
      <c r="J122" s="2">
        <v>43276</v>
      </c>
      <c r="K122" s="2">
        <v>43763</v>
      </c>
      <c r="L122" s="17">
        <f t="shared" si="69"/>
        <v>85.000000118226325</v>
      </c>
      <c r="M122" s="5">
        <v>2</v>
      </c>
      <c r="N122" s="5" t="s">
        <v>579</v>
      </c>
      <c r="O122" s="5" t="s">
        <v>579</v>
      </c>
      <c r="P122" s="3" t="s">
        <v>174</v>
      </c>
      <c r="Q122" s="5" t="s">
        <v>34</v>
      </c>
      <c r="R122" s="9">
        <f t="shared" si="70"/>
        <v>359480.02</v>
      </c>
      <c r="S122" s="9">
        <v>359480.02</v>
      </c>
      <c r="T122" s="9">
        <v>0</v>
      </c>
      <c r="U122" s="4">
        <f t="shared" si="71"/>
        <v>54979.3</v>
      </c>
      <c r="V122" s="54">
        <v>54979.3</v>
      </c>
      <c r="W122" s="54">
        <v>0</v>
      </c>
      <c r="X122" s="4">
        <f t="shared" si="72"/>
        <v>8458.35</v>
      </c>
      <c r="Y122" s="9">
        <v>8458.35</v>
      </c>
      <c r="Z122" s="9">
        <v>0</v>
      </c>
      <c r="AA122" s="9">
        <f t="shared" si="73"/>
        <v>0</v>
      </c>
      <c r="AB122" s="9">
        <v>0</v>
      </c>
      <c r="AC122" s="9">
        <v>0</v>
      </c>
      <c r="AD122" s="45">
        <f t="shared" si="37"/>
        <v>422917.67</v>
      </c>
      <c r="AE122" s="9">
        <v>0</v>
      </c>
      <c r="AF122" s="9">
        <f t="shared" si="74"/>
        <v>422917.67</v>
      </c>
      <c r="AG122" s="50" t="s">
        <v>966</v>
      </c>
      <c r="AH122" s="14" t="s">
        <v>151</v>
      </c>
      <c r="AI122" s="1">
        <v>258837.34</v>
      </c>
      <c r="AJ122" s="1">
        <v>39586.89</v>
      </c>
    </row>
    <row r="123" spans="1:36" ht="283.5" x14ac:dyDescent="0.25">
      <c r="A123" s="5">
        <f t="shared" si="38"/>
        <v>120</v>
      </c>
      <c r="B123" s="16">
        <v>136064</v>
      </c>
      <c r="C123" s="70">
        <v>828</v>
      </c>
      <c r="D123" s="41" t="s">
        <v>1981</v>
      </c>
      <c r="E123" s="83" t="s">
        <v>1700</v>
      </c>
      <c r="F123" s="8" t="s">
        <v>1902</v>
      </c>
      <c r="G123" s="16" t="s">
        <v>280</v>
      </c>
      <c r="H123" s="5" t="s">
        <v>362</v>
      </c>
      <c r="I123" s="42" t="s">
        <v>1903</v>
      </c>
      <c r="J123" s="2">
        <v>44025</v>
      </c>
      <c r="K123" s="2">
        <v>44513</v>
      </c>
      <c r="L123" s="17">
        <f t="shared" si="69"/>
        <v>85.000000030293194</v>
      </c>
      <c r="M123" s="5">
        <v>2</v>
      </c>
      <c r="N123" s="5" t="s">
        <v>579</v>
      </c>
      <c r="O123" s="5" t="s">
        <v>282</v>
      </c>
      <c r="P123" s="3" t="s">
        <v>174</v>
      </c>
      <c r="Q123" s="5" t="s">
        <v>34</v>
      </c>
      <c r="R123" s="9">
        <f t="shared" si="70"/>
        <v>2805910.13</v>
      </c>
      <c r="S123" s="9">
        <v>2805910.13</v>
      </c>
      <c r="T123" s="9">
        <v>0</v>
      </c>
      <c r="U123" s="4">
        <f t="shared" si="71"/>
        <v>429139.20000000001</v>
      </c>
      <c r="V123" s="54">
        <v>429139.20000000001</v>
      </c>
      <c r="W123" s="54">
        <v>0</v>
      </c>
      <c r="X123" s="4">
        <f t="shared" si="72"/>
        <v>66021.41</v>
      </c>
      <c r="Y123" s="9">
        <v>66021.41</v>
      </c>
      <c r="Z123" s="9">
        <v>0</v>
      </c>
      <c r="AA123" s="9">
        <f t="shared" si="73"/>
        <v>0</v>
      </c>
      <c r="AB123" s="9">
        <v>0</v>
      </c>
      <c r="AC123" s="9">
        <v>0</v>
      </c>
      <c r="AD123" s="45">
        <f t="shared" si="37"/>
        <v>3301070.74</v>
      </c>
      <c r="AE123" s="9">
        <v>0</v>
      </c>
      <c r="AF123" s="9">
        <f t="shared" si="74"/>
        <v>3301070.74</v>
      </c>
      <c r="AG123" s="60" t="s">
        <v>515</v>
      </c>
      <c r="AH123" s="14"/>
      <c r="AI123" s="1">
        <v>0</v>
      </c>
      <c r="AJ123" s="1">
        <v>0</v>
      </c>
    </row>
    <row r="124" spans="1:36" ht="157.5" x14ac:dyDescent="0.25">
      <c r="A124" s="5">
        <f t="shared" si="38"/>
        <v>121</v>
      </c>
      <c r="B124" s="16">
        <v>135502</v>
      </c>
      <c r="C124" s="70">
        <v>849</v>
      </c>
      <c r="D124" s="41" t="s">
        <v>1981</v>
      </c>
      <c r="E124" s="83" t="s">
        <v>1700</v>
      </c>
      <c r="F124" s="8" t="s">
        <v>1908</v>
      </c>
      <c r="G124" s="16" t="s">
        <v>1907</v>
      </c>
      <c r="H124" s="5" t="s">
        <v>1909</v>
      </c>
      <c r="I124" s="42" t="s">
        <v>1910</v>
      </c>
      <c r="J124" s="2">
        <v>44032</v>
      </c>
      <c r="K124" s="2">
        <v>44946</v>
      </c>
      <c r="L124" s="17">
        <f t="shared" si="69"/>
        <v>84.533169385405827</v>
      </c>
      <c r="M124" s="5">
        <v>2</v>
      </c>
      <c r="N124" s="5" t="s">
        <v>579</v>
      </c>
      <c r="O124" s="5" t="s">
        <v>579</v>
      </c>
      <c r="P124" s="3" t="s">
        <v>174</v>
      </c>
      <c r="Q124" s="5" t="s">
        <v>34</v>
      </c>
      <c r="R124" s="9">
        <f t="shared" si="70"/>
        <v>3127483.22</v>
      </c>
      <c r="S124" s="9">
        <v>3127483.22</v>
      </c>
      <c r="T124" s="9">
        <v>0</v>
      </c>
      <c r="U124" s="4">
        <f t="shared" si="71"/>
        <v>498233.85</v>
      </c>
      <c r="V124" s="54">
        <v>498233.85</v>
      </c>
      <c r="W124" s="54">
        <v>0</v>
      </c>
      <c r="X124" s="4">
        <f t="shared" si="72"/>
        <v>73994.23</v>
      </c>
      <c r="Y124" s="9">
        <v>73994.23</v>
      </c>
      <c r="Z124" s="9">
        <v>0</v>
      </c>
      <c r="AA124" s="9">
        <f t="shared" si="73"/>
        <v>0</v>
      </c>
      <c r="AB124" s="9">
        <v>0</v>
      </c>
      <c r="AC124" s="9">
        <v>0</v>
      </c>
      <c r="AD124" s="45">
        <f t="shared" si="37"/>
        <v>3699711.3000000003</v>
      </c>
      <c r="AE124" s="9">
        <v>0</v>
      </c>
      <c r="AF124" s="9">
        <f t="shared" si="74"/>
        <v>3699711.3000000003</v>
      </c>
      <c r="AG124" s="60" t="s">
        <v>515</v>
      </c>
      <c r="AH124" s="14"/>
      <c r="AI124" s="1">
        <f>101000-5334.64-7508.09+112268.94+60282.54+93296+115256.38</f>
        <v>469261.13</v>
      </c>
      <c r="AJ124" s="1">
        <f>5334.64+10222.53+1723.49+10638.1+16464+20339.36</f>
        <v>64722.12</v>
      </c>
    </row>
    <row r="125" spans="1:36" ht="204.75" x14ac:dyDescent="0.25">
      <c r="A125" s="5">
        <f t="shared" si="38"/>
        <v>122</v>
      </c>
      <c r="B125" s="16">
        <v>135880</v>
      </c>
      <c r="C125" s="70">
        <v>854</v>
      </c>
      <c r="D125" s="41" t="s">
        <v>1981</v>
      </c>
      <c r="E125" s="83" t="s">
        <v>1700</v>
      </c>
      <c r="F125" s="8" t="s">
        <v>1939</v>
      </c>
      <c r="G125" s="16" t="s">
        <v>1940</v>
      </c>
      <c r="H125" s="5" t="s">
        <v>1941</v>
      </c>
      <c r="I125" s="42" t="s">
        <v>1942</v>
      </c>
      <c r="J125" s="2">
        <v>44050</v>
      </c>
      <c r="K125" s="2">
        <v>44841</v>
      </c>
      <c r="L125" s="17">
        <f t="shared" si="69"/>
        <v>84.337001452313444</v>
      </c>
      <c r="M125" s="5">
        <v>2</v>
      </c>
      <c r="N125" s="5" t="s">
        <v>579</v>
      </c>
      <c r="O125" s="5" t="s">
        <v>1943</v>
      </c>
      <c r="P125" s="3" t="s">
        <v>174</v>
      </c>
      <c r="Q125" s="5" t="s">
        <v>34</v>
      </c>
      <c r="R125" s="9">
        <f t="shared" si="70"/>
        <v>2240754.7000000002</v>
      </c>
      <c r="S125" s="9">
        <v>2240754.7000000002</v>
      </c>
      <c r="T125" s="9">
        <v>0</v>
      </c>
      <c r="U125" s="4">
        <f t="shared" si="71"/>
        <v>363013.19</v>
      </c>
      <c r="V125" s="54">
        <v>363013.19</v>
      </c>
      <c r="W125" s="54">
        <v>0</v>
      </c>
      <c r="X125" s="4">
        <f t="shared" si="72"/>
        <v>32414.09</v>
      </c>
      <c r="Y125" s="9">
        <v>32414.09</v>
      </c>
      <c r="Z125" s="9">
        <v>0</v>
      </c>
      <c r="AA125" s="9">
        <f t="shared" si="73"/>
        <v>20723.84</v>
      </c>
      <c r="AB125" s="9">
        <v>20723.84</v>
      </c>
      <c r="AC125" s="9">
        <v>0</v>
      </c>
      <c r="AD125" s="45">
        <f t="shared" si="37"/>
        <v>2656905.8199999998</v>
      </c>
      <c r="AE125" s="9">
        <v>0</v>
      </c>
      <c r="AF125" s="9">
        <f t="shared" si="74"/>
        <v>2656905.8199999998</v>
      </c>
      <c r="AG125" s="60" t="s">
        <v>515</v>
      </c>
      <c r="AH125" s="14"/>
      <c r="AI125" s="1">
        <f>265690.57-11802.77+78685.18-11027.93</f>
        <v>321545.05</v>
      </c>
      <c r="AJ125" s="1">
        <f>11802.77+11027.93</f>
        <v>22830.7</v>
      </c>
    </row>
    <row r="126" spans="1:36" ht="141.75" x14ac:dyDescent="0.25">
      <c r="A126" s="5">
        <f t="shared" si="38"/>
        <v>123</v>
      </c>
      <c r="B126" s="16">
        <v>126515</v>
      </c>
      <c r="C126" s="5">
        <v>547</v>
      </c>
      <c r="D126" s="41" t="s">
        <v>1981</v>
      </c>
      <c r="E126" s="8" t="s">
        <v>1018</v>
      </c>
      <c r="F126" s="33" t="s">
        <v>1140</v>
      </c>
      <c r="G126" s="5" t="s">
        <v>1141</v>
      </c>
      <c r="H126" s="5" t="s">
        <v>151</v>
      </c>
      <c r="I126" s="8" t="s">
        <v>1541</v>
      </c>
      <c r="J126" s="2">
        <v>43521</v>
      </c>
      <c r="K126" s="2">
        <v>44433</v>
      </c>
      <c r="L126" s="17">
        <f>R126/AD126*100</f>
        <v>84.999999929518182</v>
      </c>
      <c r="M126" s="5">
        <v>7</v>
      </c>
      <c r="N126" s="5" t="s">
        <v>1142</v>
      </c>
      <c r="O126" s="5" t="s">
        <v>1143</v>
      </c>
      <c r="P126" s="5" t="s">
        <v>174</v>
      </c>
      <c r="Q126" s="5" t="s">
        <v>34</v>
      </c>
      <c r="R126" s="4">
        <f>S126+T126</f>
        <v>2411970.2999999998</v>
      </c>
      <c r="S126" s="82">
        <v>2411970.2999999998</v>
      </c>
      <c r="T126" s="1">
        <v>0</v>
      </c>
      <c r="U126" s="4">
        <f t="shared" si="71"/>
        <v>368889.58</v>
      </c>
      <c r="V126" s="71">
        <v>368889.58</v>
      </c>
      <c r="W126" s="74">
        <v>0</v>
      </c>
      <c r="X126" s="4">
        <f t="shared" si="72"/>
        <v>56752.24</v>
      </c>
      <c r="Y126" s="82">
        <v>56752.24</v>
      </c>
      <c r="Z126" s="82">
        <v>0</v>
      </c>
      <c r="AA126" s="4">
        <f>AB126+AC126</f>
        <v>0</v>
      </c>
      <c r="AB126" s="82">
        <v>0</v>
      </c>
      <c r="AC126" s="82">
        <v>0</v>
      </c>
      <c r="AD126" s="45">
        <f t="shared" si="37"/>
        <v>2837612.12</v>
      </c>
      <c r="AE126" s="82">
        <v>72392.72</v>
      </c>
      <c r="AF126" s="9">
        <f>AD126+AE126</f>
        <v>2910004.8400000003</v>
      </c>
      <c r="AG126" s="60" t="s">
        <v>515</v>
      </c>
      <c r="AH126" s="60"/>
      <c r="AI126" s="1">
        <f>41642.35+26052.89+215969.7+11456.3</f>
        <v>295121.24</v>
      </c>
      <c r="AJ126" s="1">
        <f>6368.83+3984.56+33030.66+1752.14</f>
        <v>45136.19</v>
      </c>
    </row>
    <row r="127" spans="1:36" s="102" customFormat="1" ht="189" x14ac:dyDescent="0.25">
      <c r="A127" s="5">
        <f t="shared" si="38"/>
        <v>124</v>
      </c>
      <c r="B127" s="16">
        <v>120631</v>
      </c>
      <c r="C127" s="6">
        <v>81</v>
      </c>
      <c r="D127" s="41" t="s">
        <v>1981</v>
      </c>
      <c r="E127" s="18" t="s">
        <v>278</v>
      </c>
      <c r="F127" s="19" t="s">
        <v>187</v>
      </c>
      <c r="G127" s="3" t="s">
        <v>188</v>
      </c>
      <c r="H127" s="5" t="s">
        <v>151</v>
      </c>
      <c r="I127" s="8" t="s">
        <v>1422</v>
      </c>
      <c r="J127" s="2">
        <v>43129</v>
      </c>
      <c r="K127" s="2">
        <v>43614</v>
      </c>
      <c r="L127" s="17">
        <f>R127/AD127*100</f>
        <v>84.999999195969949</v>
      </c>
      <c r="M127" s="5">
        <v>3</v>
      </c>
      <c r="N127" s="5" t="s">
        <v>189</v>
      </c>
      <c r="O127" s="5" t="s">
        <v>201</v>
      </c>
      <c r="P127" s="3" t="s">
        <v>174</v>
      </c>
      <c r="Q127" s="5" t="s">
        <v>34</v>
      </c>
      <c r="R127" s="9">
        <f>S127+T127</f>
        <v>528587.19999999995</v>
      </c>
      <c r="S127" s="89">
        <v>528587.19999999995</v>
      </c>
      <c r="T127" s="1">
        <v>0</v>
      </c>
      <c r="U127" s="4">
        <f t="shared" ref="U127:U140" si="75">V127+W127</f>
        <v>80842.75</v>
      </c>
      <c r="V127" s="131">
        <v>80842.75</v>
      </c>
      <c r="W127" s="74">
        <v>0</v>
      </c>
      <c r="X127" s="4">
        <f t="shared" ref="X127:X140" si="76">Y127+Z127</f>
        <v>12437.35</v>
      </c>
      <c r="Y127" s="89">
        <v>12437.35</v>
      </c>
      <c r="Z127" s="9">
        <v>0</v>
      </c>
      <c r="AA127" s="9">
        <f>AB127+AC127</f>
        <v>0</v>
      </c>
      <c r="AB127" s="9">
        <v>0</v>
      </c>
      <c r="AC127" s="9">
        <v>0</v>
      </c>
      <c r="AD127" s="45">
        <f t="shared" si="37"/>
        <v>621867.29999999993</v>
      </c>
      <c r="AE127" s="9">
        <v>0</v>
      </c>
      <c r="AF127" s="9">
        <f>AD127+AE127</f>
        <v>621867.29999999993</v>
      </c>
      <c r="AG127" s="50" t="s">
        <v>966</v>
      </c>
      <c r="AH127" s="14" t="s">
        <v>151</v>
      </c>
      <c r="AI127" s="1">
        <v>445145.72000000009</v>
      </c>
      <c r="AJ127" s="1">
        <v>68081.099999999919</v>
      </c>
    </row>
    <row r="128" spans="1:36" ht="204.75" x14ac:dyDescent="0.25">
      <c r="A128" s="5">
        <f t="shared" si="38"/>
        <v>125</v>
      </c>
      <c r="B128" s="16">
        <v>118772</v>
      </c>
      <c r="C128" s="16">
        <v>441</v>
      </c>
      <c r="D128" s="8" t="s">
        <v>1982</v>
      </c>
      <c r="E128" s="8" t="s">
        <v>540</v>
      </c>
      <c r="F128" s="19" t="s">
        <v>783</v>
      </c>
      <c r="G128" s="3" t="s">
        <v>782</v>
      </c>
      <c r="H128" s="5" t="s">
        <v>151</v>
      </c>
      <c r="I128" s="8" t="s">
        <v>784</v>
      </c>
      <c r="J128" s="2">
        <v>43313</v>
      </c>
      <c r="K128" s="2">
        <v>43678</v>
      </c>
      <c r="L128" s="17">
        <f>R128/AD128*100</f>
        <v>85</v>
      </c>
      <c r="M128" s="6">
        <v>3</v>
      </c>
      <c r="N128" s="5" t="s">
        <v>189</v>
      </c>
      <c r="O128" s="5" t="s">
        <v>785</v>
      </c>
      <c r="P128" s="3" t="s">
        <v>174</v>
      </c>
      <c r="Q128" s="5" t="s">
        <v>34</v>
      </c>
      <c r="R128" s="9">
        <f>S128+T128</f>
        <v>232055.1</v>
      </c>
      <c r="S128" s="1">
        <v>232055.1</v>
      </c>
      <c r="T128" s="1">
        <v>0</v>
      </c>
      <c r="U128" s="4">
        <f t="shared" si="75"/>
        <v>35490.78</v>
      </c>
      <c r="V128" s="74">
        <v>35490.78</v>
      </c>
      <c r="W128" s="74">
        <v>0</v>
      </c>
      <c r="X128" s="4">
        <f t="shared" si="76"/>
        <v>5460.12</v>
      </c>
      <c r="Y128" s="1">
        <v>5460.12</v>
      </c>
      <c r="Z128" s="1">
        <v>0</v>
      </c>
      <c r="AA128" s="9">
        <f>AB128+AC128</f>
        <v>0</v>
      </c>
      <c r="AB128" s="1">
        <v>0</v>
      </c>
      <c r="AC128" s="1">
        <v>0</v>
      </c>
      <c r="AD128" s="45">
        <f t="shared" si="37"/>
        <v>273006</v>
      </c>
      <c r="AE128" s="12">
        <v>0</v>
      </c>
      <c r="AF128" s="9">
        <f>AD128+AE128</f>
        <v>273006</v>
      </c>
      <c r="AG128" s="50" t="s">
        <v>966</v>
      </c>
      <c r="AH128" s="14" t="s">
        <v>151</v>
      </c>
      <c r="AI128" s="1">
        <v>226177.33000000002</v>
      </c>
      <c r="AJ128" s="1">
        <v>34591.82</v>
      </c>
    </row>
    <row r="129" spans="1:37" ht="310.5" customHeight="1" x14ac:dyDescent="0.25">
      <c r="A129" s="5">
        <f t="shared" si="38"/>
        <v>126</v>
      </c>
      <c r="B129" s="16">
        <v>129704</v>
      </c>
      <c r="C129" s="16">
        <v>671</v>
      </c>
      <c r="D129" s="41" t="s">
        <v>1981</v>
      </c>
      <c r="E129" s="8" t="s">
        <v>1246</v>
      </c>
      <c r="F129" s="132" t="s">
        <v>1472</v>
      </c>
      <c r="G129" s="3" t="str">
        <f>$G$128</f>
        <v>Municipiul Moreni</v>
      </c>
      <c r="H129" s="5" t="s">
        <v>151</v>
      </c>
      <c r="I129" s="8" t="s">
        <v>1471</v>
      </c>
      <c r="J129" s="2">
        <v>43706</v>
      </c>
      <c r="K129" s="2">
        <v>44559</v>
      </c>
      <c r="L129" s="17">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75"/>
        <v>176274.44</v>
      </c>
      <c r="V129" s="74">
        <v>176274.44</v>
      </c>
      <c r="W129" s="74">
        <v>0</v>
      </c>
      <c r="X129" s="4">
        <f t="shared" si="76"/>
        <v>27119.15</v>
      </c>
      <c r="Y129" s="1">
        <v>27119.15</v>
      </c>
      <c r="Z129" s="1">
        <v>0</v>
      </c>
      <c r="AA129" s="9">
        <f>AB129+AC129</f>
        <v>0</v>
      </c>
      <c r="AB129" s="1">
        <v>0</v>
      </c>
      <c r="AC129" s="1">
        <v>0</v>
      </c>
      <c r="AD129" s="45">
        <f t="shared" si="37"/>
        <v>1355957.2599999998</v>
      </c>
      <c r="AE129" s="71">
        <v>0</v>
      </c>
      <c r="AF129" s="9">
        <f>AD129+AE129</f>
        <v>1355957.2599999998</v>
      </c>
      <c r="AG129" s="60" t="s">
        <v>515</v>
      </c>
      <c r="AH129" s="14" t="s">
        <v>2173</v>
      </c>
      <c r="AI129" s="1">
        <f>122408.7+133598.52+207668.6+365655.55</f>
        <v>829331.36999999988</v>
      </c>
      <c r="AJ129" s="1">
        <f>13187.02+5228.86+31761.08+55923.79</f>
        <v>106100.75</v>
      </c>
    </row>
    <row r="130" spans="1:37" ht="220.5" x14ac:dyDescent="0.25">
      <c r="A130" s="5">
        <f t="shared" si="38"/>
        <v>127</v>
      </c>
      <c r="B130" s="16">
        <v>135834</v>
      </c>
      <c r="C130" s="16">
        <v>853</v>
      </c>
      <c r="D130" s="41" t="s">
        <v>1981</v>
      </c>
      <c r="E130" s="83" t="s">
        <v>1700</v>
      </c>
      <c r="F130" s="132" t="s">
        <v>1774</v>
      </c>
      <c r="G130" s="3" t="s">
        <v>188</v>
      </c>
      <c r="H130" s="5" t="s">
        <v>151</v>
      </c>
      <c r="I130" s="8" t="s">
        <v>1775</v>
      </c>
      <c r="J130" s="2">
        <v>43969</v>
      </c>
      <c r="K130" s="2">
        <v>44883</v>
      </c>
      <c r="L130" s="17">
        <f>R130/AD130*100</f>
        <v>85.000000013095061</v>
      </c>
      <c r="M130" s="6">
        <f>M129</f>
        <v>3</v>
      </c>
      <c r="N130" s="5" t="str">
        <f>N129</f>
        <v>Dâmbovița</v>
      </c>
      <c r="O130" s="5" t="s">
        <v>1776</v>
      </c>
      <c r="P130" s="3" t="str">
        <f>P129</f>
        <v>APL</v>
      </c>
      <c r="Q130" s="63" t="s">
        <v>34</v>
      </c>
      <c r="R130" s="9">
        <f>S130+T130</f>
        <v>3245498.96</v>
      </c>
      <c r="S130" s="1">
        <v>3245498.96</v>
      </c>
      <c r="T130" s="1">
        <v>0</v>
      </c>
      <c r="U130" s="4">
        <f t="shared" si="75"/>
        <v>496370.44</v>
      </c>
      <c r="V130" s="74">
        <v>496370.44</v>
      </c>
      <c r="W130" s="74">
        <v>0</v>
      </c>
      <c r="X130" s="4">
        <f t="shared" si="76"/>
        <v>76364.67</v>
      </c>
      <c r="Y130" s="1">
        <v>76364.67</v>
      </c>
      <c r="Z130" s="1">
        <v>0</v>
      </c>
      <c r="AA130" s="9">
        <f>AB130+AC130</f>
        <v>0</v>
      </c>
      <c r="AB130" s="1">
        <v>0</v>
      </c>
      <c r="AC130" s="1">
        <v>0</v>
      </c>
      <c r="AD130" s="45">
        <f t="shared" si="37"/>
        <v>3818234.07</v>
      </c>
      <c r="AE130" s="71">
        <v>0</v>
      </c>
      <c r="AF130" s="9">
        <f>AD130+AE130</f>
        <v>3818234.07</v>
      </c>
      <c r="AG130" s="60" t="s">
        <v>515</v>
      </c>
      <c r="AH130" s="14" t="s">
        <v>151</v>
      </c>
      <c r="AI130" s="1">
        <f>40624.48+115154.93</f>
        <v>155779.41</v>
      </c>
      <c r="AJ130" s="1">
        <f>6213.16+17611.93</f>
        <v>23825.09</v>
      </c>
    </row>
    <row r="131" spans="1:37" ht="173.25" x14ac:dyDescent="0.25">
      <c r="A131" s="5">
        <f t="shared" si="38"/>
        <v>128</v>
      </c>
      <c r="B131" s="16">
        <v>120693</v>
      </c>
      <c r="C131" s="6">
        <v>114</v>
      </c>
      <c r="D131" s="41" t="s">
        <v>1981</v>
      </c>
      <c r="E131" s="18" t="s">
        <v>278</v>
      </c>
      <c r="F131" s="18" t="s">
        <v>207</v>
      </c>
      <c r="G131" s="5" t="s">
        <v>208</v>
      </c>
      <c r="H131" s="5" t="s">
        <v>151</v>
      </c>
      <c r="I131" s="42" t="s">
        <v>209</v>
      </c>
      <c r="J131" s="2">
        <v>43145</v>
      </c>
      <c r="K131" s="2">
        <v>43630</v>
      </c>
      <c r="L131" s="17">
        <f t="shared" ref="L131:L140" si="77">R131/AD131*100</f>
        <v>85.000000594539443</v>
      </c>
      <c r="M131" s="5">
        <v>4</v>
      </c>
      <c r="N131" s="5" t="s">
        <v>220</v>
      </c>
      <c r="O131" s="5" t="s">
        <v>210</v>
      </c>
      <c r="P131" s="3" t="s">
        <v>174</v>
      </c>
      <c r="Q131" s="5" t="s">
        <v>34</v>
      </c>
      <c r="R131" s="9">
        <f t="shared" ref="R131:R140" si="78">S131+T131</f>
        <v>357419.52000000002</v>
      </c>
      <c r="S131" s="9">
        <v>357419.52000000002</v>
      </c>
      <c r="T131" s="1">
        <v>0</v>
      </c>
      <c r="U131" s="4">
        <f t="shared" si="75"/>
        <v>54664.160000000003</v>
      </c>
      <c r="V131" s="131">
        <v>54664.160000000003</v>
      </c>
      <c r="W131" s="74">
        <v>0</v>
      </c>
      <c r="X131" s="4">
        <f t="shared" si="76"/>
        <v>8409.8700000000008</v>
      </c>
      <c r="Y131" s="89">
        <v>8409.8700000000008</v>
      </c>
      <c r="Z131" s="133">
        <v>0</v>
      </c>
      <c r="AA131" s="9">
        <f>AB131+AC131</f>
        <v>0</v>
      </c>
      <c r="AB131" s="9">
        <v>0</v>
      </c>
      <c r="AC131" s="9">
        <v>0</v>
      </c>
      <c r="AD131" s="45">
        <f t="shared" si="37"/>
        <v>420493.55000000005</v>
      </c>
      <c r="AE131" s="9">
        <v>0</v>
      </c>
      <c r="AF131" s="9">
        <f t="shared" ref="AF131:AF140" si="79">AD131+AE131</f>
        <v>420493.55000000005</v>
      </c>
      <c r="AG131" s="50" t="s">
        <v>966</v>
      </c>
      <c r="AH131" s="14" t="s">
        <v>151</v>
      </c>
      <c r="AI131" s="1">
        <v>278082.99</v>
      </c>
      <c r="AJ131" s="1">
        <v>42530.380000000005</v>
      </c>
      <c r="AK131" s="75"/>
    </row>
    <row r="132" spans="1:37" ht="173.25" customHeight="1" x14ac:dyDescent="0.25">
      <c r="A132" s="5">
        <f t="shared" si="38"/>
        <v>129</v>
      </c>
      <c r="B132" s="6">
        <v>119288</v>
      </c>
      <c r="C132" s="6">
        <v>487</v>
      </c>
      <c r="D132" s="41" t="s">
        <v>1981</v>
      </c>
      <c r="E132" s="5" t="s">
        <v>474</v>
      </c>
      <c r="F132" s="18" t="s">
        <v>1604</v>
      </c>
      <c r="G132" s="5" t="s">
        <v>1038</v>
      </c>
      <c r="H132" s="6" t="s">
        <v>151</v>
      </c>
      <c r="I132" s="84" t="s">
        <v>573</v>
      </c>
      <c r="J132" s="2">
        <v>43272</v>
      </c>
      <c r="K132" s="2">
        <v>43667</v>
      </c>
      <c r="L132" s="17">
        <f t="shared" si="77"/>
        <v>85</v>
      </c>
      <c r="M132" s="5">
        <v>4</v>
      </c>
      <c r="N132" s="5" t="s">
        <v>220</v>
      </c>
      <c r="O132" s="5" t="s">
        <v>361</v>
      </c>
      <c r="P132" s="3" t="s">
        <v>174</v>
      </c>
      <c r="Q132" s="5" t="s">
        <v>34</v>
      </c>
      <c r="R132" s="9">
        <f t="shared" si="78"/>
        <v>360400</v>
      </c>
      <c r="S132" s="1">
        <v>360400</v>
      </c>
      <c r="T132" s="1">
        <v>0</v>
      </c>
      <c r="U132" s="4">
        <f t="shared" si="75"/>
        <v>55120</v>
      </c>
      <c r="V132" s="54">
        <v>55120</v>
      </c>
      <c r="W132" s="115">
        <v>0</v>
      </c>
      <c r="X132" s="4">
        <f t="shared" si="76"/>
        <v>8480</v>
      </c>
      <c r="Y132" s="3">
        <v>8480</v>
      </c>
      <c r="Z132" s="1">
        <v>0</v>
      </c>
      <c r="AA132" s="9">
        <f>AB132+AC132</f>
        <v>0</v>
      </c>
      <c r="AB132" s="3">
        <v>0</v>
      </c>
      <c r="AC132" s="3">
        <v>0</v>
      </c>
      <c r="AD132" s="45">
        <f t="shared" si="37"/>
        <v>424000</v>
      </c>
      <c r="AE132" s="12"/>
      <c r="AF132" s="9">
        <f t="shared" si="79"/>
        <v>424000</v>
      </c>
      <c r="AG132" s="50" t="s">
        <v>966</v>
      </c>
      <c r="AH132" s="14" t="s">
        <v>1234</v>
      </c>
      <c r="AI132" s="9">
        <v>305948.81</v>
      </c>
      <c r="AJ132" s="9">
        <v>46792.149999999994</v>
      </c>
    </row>
    <row r="133" spans="1:37" ht="299.25" x14ac:dyDescent="0.25">
      <c r="A133" s="5">
        <f t="shared" si="38"/>
        <v>130</v>
      </c>
      <c r="B133" s="29">
        <v>118780</v>
      </c>
      <c r="C133" s="21">
        <v>443</v>
      </c>
      <c r="D133" s="8" t="s">
        <v>1982</v>
      </c>
      <c r="E133" s="134" t="s">
        <v>540</v>
      </c>
      <c r="F133" s="106" t="s">
        <v>766</v>
      </c>
      <c r="G133" s="21" t="s">
        <v>208</v>
      </c>
      <c r="H133" s="5" t="s">
        <v>767</v>
      </c>
      <c r="I133" s="8" t="s">
        <v>768</v>
      </c>
      <c r="J133" s="2">
        <v>43312</v>
      </c>
      <c r="K133" s="2">
        <v>43677</v>
      </c>
      <c r="L133" s="17">
        <f t="shared" si="77"/>
        <v>84.150233941460755</v>
      </c>
      <c r="M133" s="5">
        <v>4</v>
      </c>
      <c r="N133" s="5" t="s">
        <v>529</v>
      </c>
      <c r="O133" s="5" t="s">
        <v>769</v>
      </c>
      <c r="P133" s="3" t="s">
        <v>174</v>
      </c>
      <c r="Q133" s="5" t="s">
        <v>34</v>
      </c>
      <c r="R133" s="9">
        <f t="shared" si="78"/>
        <v>230233.66</v>
      </c>
      <c r="S133" s="1">
        <v>230233.66</v>
      </c>
      <c r="T133" s="1">
        <v>0</v>
      </c>
      <c r="U133" s="4">
        <f t="shared" si="75"/>
        <v>37892.730000000003</v>
      </c>
      <c r="V133" s="74">
        <v>37892.730000000003</v>
      </c>
      <c r="W133" s="74">
        <v>0</v>
      </c>
      <c r="X133" s="4">
        <f t="shared" si="76"/>
        <v>2736.73</v>
      </c>
      <c r="Y133" s="1">
        <v>2736.73</v>
      </c>
      <c r="Z133" s="1">
        <v>0</v>
      </c>
      <c r="AA133" s="9">
        <f>AB133+AC133</f>
        <v>2735.24</v>
      </c>
      <c r="AB133" s="1">
        <v>2735.24</v>
      </c>
      <c r="AC133" s="73">
        <v>0</v>
      </c>
      <c r="AD133" s="45">
        <f t="shared" ref="AD133:AD196" si="80">R133+U133+X133+AA133</f>
        <v>273598.36</v>
      </c>
      <c r="AE133" s="60">
        <v>0</v>
      </c>
      <c r="AF133" s="9">
        <f t="shared" si="79"/>
        <v>273598.36</v>
      </c>
      <c r="AG133" s="50" t="s">
        <v>966</v>
      </c>
      <c r="AH133" s="14" t="s">
        <v>151</v>
      </c>
      <c r="AI133" s="1">
        <v>165046.26</v>
      </c>
      <c r="AJ133" s="1">
        <v>27286.14</v>
      </c>
    </row>
    <row r="134" spans="1:37" ht="409.5" x14ac:dyDescent="0.25">
      <c r="A134" s="5">
        <f t="shared" ref="A134:A197" si="81">A133+1</f>
        <v>131</v>
      </c>
      <c r="B134" s="16">
        <v>119830</v>
      </c>
      <c r="C134" s="5">
        <v>474</v>
      </c>
      <c r="D134" s="41" t="s">
        <v>1981</v>
      </c>
      <c r="E134" s="5" t="s">
        <v>474</v>
      </c>
      <c r="F134" s="18" t="s">
        <v>832</v>
      </c>
      <c r="G134" s="5" t="s">
        <v>833</v>
      </c>
      <c r="H134" s="6" t="s">
        <v>151</v>
      </c>
      <c r="I134" s="8" t="s">
        <v>834</v>
      </c>
      <c r="J134" s="2">
        <v>43322</v>
      </c>
      <c r="K134" s="2">
        <v>43992</v>
      </c>
      <c r="L134" s="17">
        <f t="shared" si="77"/>
        <v>84.999997553055863</v>
      </c>
      <c r="M134" s="5">
        <v>4</v>
      </c>
      <c r="N134" s="5" t="s">
        <v>529</v>
      </c>
      <c r="O134" s="5" t="s">
        <v>835</v>
      </c>
      <c r="P134" s="3" t="s">
        <v>174</v>
      </c>
      <c r="Q134" s="5" t="s">
        <v>34</v>
      </c>
      <c r="R134" s="9">
        <f t="shared" si="78"/>
        <v>347372.04</v>
      </c>
      <c r="S134" s="1">
        <v>347372.04</v>
      </c>
      <c r="T134" s="1">
        <v>0</v>
      </c>
      <c r="U134" s="4">
        <f t="shared" si="75"/>
        <v>53127.519999999997</v>
      </c>
      <c r="V134" s="74">
        <v>53127.519999999997</v>
      </c>
      <c r="W134" s="74">
        <v>0</v>
      </c>
      <c r="X134" s="4">
        <f t="shared" si="76"/>
        <v>8173.4400000000005</v>
      </c>
      <c r="Y134" s="1">
        <v>8173.4400000000005</v>
      </c>
      <c r="Z134" s="1">
        <v>0</v>
      </c>
      <c r="AA134" s="9">
        <f>AB134+AC134</f>
        <v>0</v>
      </c>
      <c r="AB134" s="89">
        <v>0</v>
      </c>
      <c r="AC134" s="89">
        <v>0</v>
      </c>
      <c r="AD134" s="45">
        <f t="shared" si="80"/>
        <v>408673</v>
      </c>
      <c r="AE134" s="9">
        <v>0</v>
      </c>
      <c r="AF134" s="9">
        <f t="shared" si="79"/>
        <v>408673</v>
      </c>
      <c r="AG134" s="60" t="s">
        <v>966</v>
      </c>
      <c r="AH134" s="14" t="s">
        <v>971</v>
      </c>
      <c r="AI134" s="1">
        <v>312673.95</v>
      </c>
      <c r="AJ134" s="1">
        <v>47820.720000000008</v>
      </c>
    </row>
    <row r="135" spans="1:37" ht="163.5" customHeight="1" x14ac:dyDescent="0.25">
      <c r="A135" s="5">
        <f t="shared" si="81"/>
        <v>132</v>
      </c>
      <c r="B135" s="16">
        <v>118793</v>
      </c>
      <c r="C135" s="5">
        <v>446</v>
      </c>
      <c r="D135" s="8" t="s">
        <v>1982</v>
      </c>
      <c r="E135" s="5" t="s">
        <v>540</v>
      </c>
      <c r="F135" s="8" t="s">
        <v>836</v>
      </c>
      <c r="G135" s="5" t="s">
        <v>833</v>
      </c>
      <c r="H135" s="6"/>
      <c r="I135" s="61" t="s">
        <v>837</v>
      </c>
      <c r="J135" s="2">
        <v>43322</v>
      </c>
      <c r="K135" s="2">
        <v>43779</v>
      </c>
      <c r="L135" s="17">
        <f t="shared" si="77"/>
        <v>85.000000000000014</v>
      </c>
      <c r="M135" s="5">
        <v>4</v>
      </c>
      <c r="N135" s="5" t="s">
        <v>529</v>
      </c>
      <c r="O135" s="5" t="s">
        <v>835</v>
      </c>
      <c r="P135" s="5" t="s">
        <v>174</v>
      </c>
      <c r="Q135" s="5" t="s">
        <v>34</v>
      </c>
      <c r="R135" s="9">
        <f t="shared" si="78"/>
        <v>239897.2</v>
      </c>
      <c r="S135" s="135">
        <v>239897.2</v>
      </c>
      <c r="T135" s="73">
        <v>0</v>
      </c>
      <c r="U135" s="4">
        <f t="shared" si="75"/>
        <v>36690.160000000003</v>
      </c>
      <c r="V135" s="74">
        <v>36690.160000000003</v>
      </c>
      <c r="W135" s="74">
        <v>0</v>
      </c>
      <c r="X135" s="4">
        <f t="shared" si="76"/>
        <v>5644.6399999999994</v>
      </c>
      <c r="Y135" s="1">
        <v>5644.6399999999994</v>
      </c>
      <c r="Z135" s="1">
        <v>0</v>
      </c>
      <c r="AA135" s="9">
        <f>AB135+AC135</f>
        <v>0</v>
      </c>
      <c r="AB135" s="9">
        <v>0</v>
      </c>
      <c r="AC135" s="9">
        <v>0</v>
      </c>
      <c r="AD135" s="45">
        <f t="shared" si="80"/>
        <v>282232</v>
      </c>
      <c r="AE135" s="60"/>
      <c r="AF135" s="9">
        <f t="shared" si="79"/>
        <v>282232</v>
      </c>
      <c r="AG135" s="50" t="s">
        <v>966</v>
      </c>
      <c r="AH135" s="60" t="s">
        <v>1425</v>
      </c>
      <c r="AI135" s="1">
        <v>214650.99</v>
      </c>
      <c r="AJ135" s="1">
        <v>32828.959999999999</v>
      </c>
    </row>
    <row r="136" spans="1:37" s="24" customFormat="1" ht="178.5" customHeight="1" x14ac:dyDescent="0.25">
      <c r="A136" s="5">
        <f t="shared" si="81"/>
        <v>133</v>
      </c>
      <c r="B136" s="136">
        <v>126292</v>
      </c>
      <c r="C136" s="137">
        <v>514</v>
      </c>
      <c r="D136" s="41" t="s">
        <v>1981</v>
      </c>
      <c r="E136" s="20" t="s">
        <v>1018</v>
      </c>
      <c r="F136" s="138" t="s">
        <v>1037</v>
      </c>
      <c r="G136" s="20" t="s">
        <v>1038</v>
      </c>
      <c r="H136" s="107" t="s">
        <v>151</v>
      </c>
      <c r="I136" s="139" t="s">
        <v>1039</v>
      </c>
      <c r="J136" s="2">
        <v>43439</v>
      </c>
      <c r="K136" s="2">
        <v>44474</v>
      </c>
      <c r="L136" s="17">
        <f t="shared" si="77"/>
        <v>84.999999598958027</v>
      </c>
      <c r="M136" s="137">
        <v>4</v>
      </c>
      <c r="N136" s="20" t="s">
        <v>529</v>
      </c>
      <c r="O136" s="20" t="s">
        <v>361</v>
      </c>
      <c r="P136" s="20" t="s">
        <v>174</v>
      </c>
      <c r="Q136" s="5" t="s">
        <v>34</v>
      </c>
      <c r="R136" s="9">
        <f t="shared" si="78"/>
        <v>2331426.79</v>
      </c>
      <c r="S136" s="1">
        <v>2331426.79</v>
      </c>
      <c r="T136" s="1">
        <v>0</v>
      </c>
      <c r="U136" s="4">
        <f t="shared" si="75"/>
        <v>356571.17</v>
      </c>
      <c r="V136" s="74">
        <v>356571.17</v>
      </c>
      <c r="W136" s="74">
        <v>0</v>
      </c>
      <c r="X136" s="4">
        <f t="shared" si="76"/>
        <v>54857.1</v>
      </c>
      <c r="Y136" s="1">
        <v>54857.1</v>
      </c>
      <c r="Z136" s="1">
        <v>0</v>
      </c>
      <c r="AA136" s="4">
        <v>0</v>
      </c>
      <c r="AB136" s="1">
        <v>0</v>
      </c>
      <c r="AC136" s="1">
        <v>0</v>
      </c>
      <c r="AD136" s="45">
        <f t="shared" si="80"/>
        <v>2742855.06</v>
      </c>
      <c r="AE136" s="1"/>
      <c r="AF136" s="9">
        <f t="shared" si="79"/>
        <v>2742855.06</v>
      </c>
      <c r="AG136" s="60" t="s">
        <v>1689</v>
      </c>
      <c r="AH136" s="1" t="s">
        <v>2134</v>
      </c>
      <c r="AI136" s="1">
        <v>142930.13</v>
      </c>
      <c r="AJ136" s="1">
        <v>21859.91</v>
      </c>
    </row>
    <row r="137" spans="1:37" s="141" customFormat="1" ht="187.5" customHeight="1" x14ac:dyDescent="0.25">
      <c r="A137" s="5">
        <f t="shared" si="81"/>
        <v>134</v>
      </c>
      <c r="B137" s="16">
        <v>126320</v>
      </c>
      <c r="C137" s="137">
        <v>515</v>
      </c>
      <c r="D137" s="41" t="s">
        <v>1981</v>
      </c>
      <c r="E137" s="20" t="s">
        <v>1018</v>
      </c>
      <c r="F137" s="33" t="s">
        <v>1149</v>
      </c>
      <c r="G137" s="21" t="s">
        <v>208</v>
      </c>
      <c r="H137" s="20" t="s">
        <v>1151</v>
      </c>
      <c r="I137" s="138" t="s">
        <v>1150</v>
      </c>
      <c r="J137" s="2">
        <v>43531</v>
      </c>
      <c r="K137" s="2">
        <v>44627</v>
      </c>
      <c r="L137" s="17">
        <f t="shared" si="77"/>
        <v>84.263733041248912</v>
      </c>
      <c r="M137" s="137">
        <v>4</v>
      </c>
      <c r="N137" s="20" t="s">
        <v>529</v>
      </c>
      <c r="O137" s="20" t="s">
        <v>769</v>
      </c>
      <c r="P137" s="20" t="s">
        <v>174</v>
      </c>
      <c r="Q137" s="5" t="s">
        <v>34</v>
      </c>
      <c r="R137" s="79">
        <f t="shared" si="78"/>
        <v>2765436.54</v>
      </c>
      <c r="S137" s="20">
        <v>2765436.54</v>
      </c>
      <c r="T137" s="20">
        <v>0</v>
      </c>
      <c r="U137" s="4">
        <f t="shared" si="75"/>
        <v>450808.12</v>
      </c>
      <c r="V137" s="140">
        <v>450808.12</v>
      </c>
      <c r="W137" s="140">
        <v>0</v>
      </c>
      <c r="X137" s="4">
        <f t="shared" si="76"/>
        <v>28427.56</v>
      </c>
      <c r="Y137" s="20">
        <v>28427.56</v>
      </c>
      <c r="Z137" s="20">
        <v>0</v>
      </c>
      <c r="AA137" s="79">
        <f>AB137+AC137</f>
        <v>37210.080000000002</v>
      </c>
      <c r="AB137" s="20">
        <v>37210.080000000002</v>
      </c>
      <c r="AC137" s="20">
        <v>0</v>
      </c>
      <c r="AD137" s="45">
        <f t="shared" si="80"/>
        <v>3281882.3000000003</v>
      </c>
      <c r="AE137" s="20">
        <v>0</v>
      </c>
      <c r="AF137" s="79">
        <f t="shared" si="79"/>
        <v>3281882.3000000003</v>
      </c>
      <c r="AG137" s="60" t="s">
        <v>515</v>
      </c>
      <c r="AH137" s="20" t="s">
        <v>2160</v>
      </c>
      <c r="AI137" s="1">
        <f>266429.76+125991.5+33676.15-20905.43+606230.28+101177.18</f>
        <v>1112599.44</v>
      </c>
      <c r="AJ137" s="1">
        <f>29705.22+12037.96+5150.47+20905.43+82411.3+18822.82</f>
        <v>169033.2</v>
      </c>
    </row>
    <row r="138" spans="1:37" s="24" customFormat="1" ht="178.5" customHeight="1" x14ac:dyDescent="0.25">
      <c r="A138" s="5">
        <f t="shared" si="81"/>
        <v>135</v>
      </c>
      <c r="B138" s="142">
        <v>128004</v>
      </c>
      <c r="C138" s="137">
        <v>635</v>
      </c>
      <c r="D138" s="41" t="s">
        <v>1981</v>
      </c>
      <c r="E138" s="121" t="s">
        <v>1246</v>
      </c>
      <c r="F138" s="138" t="s">
        <v>1262</v>
      </c>
      <c r="G138" s="20" t="s">
        <v>1261</v>
      </c>
      <c r="H138" s="107" t="s">
        <v>151</v>
      </c>
      <c r="I138" s="139" t="s">
        <v>1263</v>
      </c>
      <c r="J138" s="2">
        <v>43620</v>
      </c>
      <c r="K138" s="2">
        <v>44473</v>
      </c>
      <c r="L138" s="17">
        <f t="shared" si="77"/>
        <v>85</v>
      </c>
      <c r="M138" s="137">
        <v>4</v>
      </c>
      <c r="N138" s="20" t="s">
        <v>529</v>
      </c>
      <c r="O138" s="20" t="s">
        <v>361</v>
      </c>
      <c r="P138" s="20" t="s">
        <v>174</v>
      </c>
      <c r="Q138" s="20" t="s">
        <v>34</v>
      </c>
      <c r="R138" s="9">
        <f t="shared" si="78"/>
        <v>1919118.95</v>
      </c>
      <c r="S138" s="1">
        <v>1919118.95</v>
      </c>
      <c r="T138" s="1">
        <v>0</v>
      </c>
      <c r="U138" s="4">
        <f t="shared" si="75"/>
        <v>293512.31</v>
      </c>
      <c r="V138" s="74">
        <v>293512.31</v>
      </c>
      <c r="W138" s="74">
        <v>0</v>
      </c>
      <c r="X138" s="4">
        <f t="shared" si="76"/>
        <v>45155.74</v>
      </c>
      <c r="Y138" s="1">
        <v>45155.74</v>
      </c>
      <c r="Z138" s="1">
        <v>0</v>
      </c>
      <c r="AA138" s="4">
        <v>0</v>
      </c>
      <c r="AB138" s="1">
        <v>0</v>
      </c>
      <c r="AC138" s="1">
        <v>0</v>
      </c>
      <c r="AD138" s="45">
        <f t="shared" si="80"/>
        <v>2257787</v>
      </c>
      <c r="AE138" s="1">
        <v>0</v>
      </c>
      <c r="AF138" s="9">
        <f t="shared" si="79"/>
        <v>2257787</v>
      </c>
      <c r="AG138" s="60" t="s">
        <v>515</v>
      </c>
      <c r="AH138" s="1" t="s">
        <v>2177</v>
      </c>
      <c r="AI138" s="1">
        <f>23213.93+189613.77</f>
        <v>212827.69999999998</v>
      </c>
      <c r="AJ138" s="1">
        <f>3550.36+28999.75</f>
        <v>32550.11</v>
      </c>
    </row>
    <row r="139" spans="1:37" s="24" customFormat="1" ht="178.5" customHeight="1" x14ac:dyDescent="0.25">
      <c r="A139" s="5">
        <f t="shared" si="81"/>
        <v>136</v>
      </c>
      <c r="B139" s="143">
        <v>126500</v>
      </c>
      <c r="C139" s="137">
        <v>501</v>
      </c>
      <c r="D139" s="138" t="s">
        <v>1984</v>
      </c>
      <c r="E139" s="121" t="s">
        <v>1130</v>
      </c>
      <c r="F139" s="144" t="s">
        <v>1274</v>
      </c>
      <c r="G139" s="20" t="s">
        <v>767</v>
      </c>
      <c r="H139" s="20" t="s">
        <v>247</v>
      </c>
      <c r="I139" s="139" t="s">
        <v>1275</v>
      </c>
      <c r="J139" s="2">
        <v>43626</v>
      </c>
      <c r="K139" s="2">
        <v>44714</v>
      </c>
      <c r="L139" s="17">
        <f t="shared" si="77"/>
        <v>83.560067781888534</v>
      </c>
      <c r="M139" s="137">
        <v>4</v>
      </c>
      <c r="N139" s="20" t="s">
        <v>529</v>
      </c>
      <c r="O139" s="20" t="s">
        <v>361</v>
      </c>
      <c r="P139" s="20" t="s">
        <v>275</v>
      </c>
      <c r="Q139" s="20" t="s">
        <v>34</v>
      </c>
      <c r="R139" s="9">
        <f t="shared" si="78"/>
        <v>1824019.35</v>
      </c>
      <c r="S139" s="1">
        <v>1824019.35</v>
      </c>
      <c r="T139" s="1">
        <v>0</v>
      </c>
      <c r="U139" s="4">
        <f t="shared" si="75"/>
        <v>315206.96999999997</v>
      </c>
      <c r="V139" s="74">
        <v>315206.96999999997</v>
      </c>
      <c r="W139" s="74">
        <v>0</v>
      </c>
      <c r="X139" s="4">
        <f t="shared" si="76"/>
        <v>6678.79</v>
      </c>
      <c r="Y139" s="1">
        <v>6678.79</v>
      </c>
      <c r="Z139" s="1">
        <v>0</v>
      </c>
      <c r="AA139" s="4">
        <f>AB139+AC139</f>
        <v>36978.89</v>
      </c>
      <c r="AB139" s="1">
        <v>36978.89</v>
      </c>
      <c r="AC139" s="1">
        <v>0</v>
      </c>
      <c r="AD139" s="45">
        <f t="shared" si="80"/>
        <v>2182884.0000000005</v>
      </c>
      <c r="AE139" s="1">
        <v>0</v>
      </c>
      <c r="AF139" s="9">
        <f t="shared" si="79"/>
        <v>2182884.0000000005</v>
      </c>
      <c r="AG139" s="60" t="s">
        <v>515</v>
      </c>
      <c r="AH139" s="1" t="s">
        <v>2029</v>
      </c>
      <c r="AI139" s="1">
        <f>198612.8-11848.59-516.96+238980.14+9798.05+33393-1619.29+301235.86+216667.51+34050.15</f>
        <v>1018752.67</v>
      </c>
      <c r="AJ139" s="1">
        <f>19674.2+11848.59+3814.49+6605.69+90184.69+5207.67</f>
        <v>137335.33000000002</v>
      </c>
    </row>
    <row r="140" spans="1:37" s="24" customFormat="1" ht="178.5" customHeight="1" x14ac:dyDescent="0.25">
      <c r="A140" s="5">
        <f t="shared" si="81"/>
        <v>137</v>
      </c>
      <c r="B140" s="143" t="s">
        <v>1814</v>
      </c>
      <c r="C140" s="137">
        <v>832</v>
      </c>
      <c r="D140" s="41" t="s">
        <v>1981</v>
      </c>
      <c r="E140" s="83" t="s">
        <v>1700</v>
      </c>
      <c r="F140" s="122" t="s">
        <v>1815</v>
      </c>
      <c r="G140" s="20" t="s">
        <v>1817</v>
      </c>
      <c r="H140" s="63" t="s">
        <v>151</v>
      </c>
      <c r="I140" s="103" t="s">
        <v>1816</v>
      </c>
      <c r="J140" s="64">
        <v>43998</v>
      </c>
      <c r="K140" s="64">
        <v>44728</v>
      </c>
      <c r="L140" s="17">
        <f t="shared" si="77"/>
        <v>85.000000651832096</v>
      </c>
      <c r="M140" s="137">
        <v>4</v>
      </c>
      <c r="N140" s="20" t="s">
        <v>529</v>
      </c>
      <c r="O140" s="20" t="s">
        <v>361</v>
      </c>
      <c r="P140" s="20" t="s">
        <v>174</v>
      </c>
      <c r="Q140" s="63" t="s">
        <v>34</v>
      </c>
      <c r="R140" s="9">
        <f t="shared" si="78"/>
        <v>1434418.48</v>
      </c>
      <c r="S140" s="67">
        <v>1434418.48</v>
      </c>
      <c r="T140" s="67">
        <v>0</v>
      </c>
      <c r="U140" s="4">
        <f t="shared" si="75"/>
        <v>219381.63</v>
      </c>
      <c r="V140" s="69">
        <v>219381.63</v>
      </c>
      <c r="W140" s="69">
        <v>0</v>
      </c>
      <c r="X140" s="4">
        <f t="shared" si="76"/>
        <v>33751.03</v>
      </c>
      <c r="Y140" s="67">
        <v>33751.03</v>
      </c>
      <c r="Z140" s="67">
        <v>0</v>
      </c>
      <c r="AA140" s="4">
        <f>AB140+AC140</f>
        <v>0</v>
      </c>
      <c r="AB140" s="1">
        <v>0</v>
      </c>
      <c r="AC140" s="1">
        <v>0</v>
      </c>
      <c r="AD140" s="45">
        <f t="shared" si="80"/>
        <v>1687551.14</v>
      </c>
      <c r="AE140" s="1">
        <v>0</v>
      </c>
      <c r="AF140" s="9">
        <f t="shared" si="79"/>
        <v>1687551.14</v>
      </c>
      <c r="AG140" s="60" t="s">
        <v>515</v>
      </c>
      <c r="AH140" s="82" t="s">
        <v>296</v>
      </c>
      <c r="AI140" s="1">
        <f>1658.86+13028.12</f>
        <v>14686.980000000001</v>
      </c>
      <c r="AJ140" s="1">
        <f>253.71+1992.53</f>
        <v>2246.2399999999998</v>
      </c>
    </row>
    <row r="141" spans="1:37" ht="252" x14ac:dyDescent="0.25">
      <c r="A141" s="5">
        <f t="shared" si="81"/>
        <v>138</v>
      </c>
      <c r="B141" s="16">
        <v>120590</v>
      </c>
      <c r="C141" s="6">
        <v>69</v>
      </c>
      <c r="D141" s="41" t="s">
        <v>1981</v>
      </c>
      <c r="E141" s="18" t="s">
        <v>278</v>
      </c>
      <c r="F141" s="8" t="s">
        <v>175</v>
      </c>
      <c r="G141" s="5" t="s">
        <v>878</v>
      </c>
      <c r="H141" s="5" t="s">
        <v>151</v>
      </c>
      <c r="I141" s="77" t="s">
        <v>179</v>
      </c>
      <c r="J141" s="2">
        <v>43129</v>
      </c>
      <c r="K141" s="2">
        <v>43553</v>
      </c>
      <c r="L141" s="17">
        <f t="shared" ref="L141:L146" si="82">R141/AD141*100</f>
        <v>85</v>
      </c>
      <c r="M141" s="5">
        <v>2</v>
      </c>
      <c r="N141" s="5" t="s">
        <v>186</v>
      </c>
      <c r="O141" s="5" t="s">
        <v>184</v>
      </c>
      <c r="P141" s="3" t="s">
        <v>174</v>
      </c>
      <c r="Q141" s="5" t="s">
        <v>34</v>
      </c>
      <c r="R141" s="9">
        <f t="shared" ref="R141:R146" si="83">S141+T141</f>
        <v>312939.57</v>
      </c>
      <c r="S141" s="9">
        <v>312939.57</v>
      </c>
      <c r="T141" s="9">
        <v>0</v>
      </c>
      <c r="U141" s="4">
        <f t="shared" ref="U141:U146" si="84">V141+W141</f>
        <v>47861.35</v>
      </c>
      <c r="V141" s="54">
        <v>47861.35</v>
      </c>
      <c r="W141" s="54">
        <v>0</v>
      </c>
      <c r="X141" s="4">
        <f t="shared" ref="X141:X146" si="85">Y141+Z141</f>
        <v>7363.28</v>
      </c>
      <c r="Y141" s="9">
        <v>7363.28</v>
      </c>
      <c r="Z141" s="9">
        <v>0</v>
      </c>
      <c r="AA141" s="9">
        <f t="shared" ref="AA141:AA146" si="86">AB141+AC141</f>
        <v>0</v>
      </c>
      <c r="AB141" s="9">
        <v>0</v>
      </c>
      <c r="AC141" s="9">
        <v>0</v>
      </c>
      <c r="AD141" s="45">
        <f t="shared" si="80"/>
        <v>368164.2</v>
      </c>
      <c r="AE141" s="9">
        <v>0</v>
      </c>
      <c r="AF141" s="9">
        <f t="shared" ref="AF141:AF146" si="87">AD141+AE141</f>
        <v>368164.2</v>
      </c>
      <c r="AG141" s="50" t="s">
        <v>966</v>
      </c>
      <c r="AH141" s="14" t="s">
        <v>151</v>
      </c>
      <c r="AI141" s="1">
        <v>269997.55</v>
      </c>
      <c r="AJ141" s="1">
        <v>41293.74</v>
      </c>
    </row>
    <row r="142" spans="1:37" ht="409.5" x14ac:dyDescent="0.25">
      <c r="A142" s="5">
        <f t="shared" si="81"/>
        <v>139</v>
      </c>
      <c r="B142" s="16">
        <v>118013</v>
      </c>
      <c r="C142" s="5">
        <v>419</v>
      </c>
      <c r="D142" s="8" t="s">
        <v>1982</v>
      </c>
      <c r="E142" s="5" t="s">
        <v>540</v>
      </c>
      <c r="F142" s="8" t="s">
        <v>877</v>
      </c>
      <c r="G142" s="5" t="s">
        <v>878</v>
      </c>
      <c r="H142" s="5" t="s">
        <v>151</v>
      </c>
      <c r="I142" s="8" t="s">
        <v>879</v>
      </c>
      <c r="J142" s="2">
        <v>43336</v>
      </c>
      <c r="K142" s="2">
        <v>43762</v>
      </c>
      <c r="L142" s="17">
        <f t="shared" si="82"/>
        <v>84.999998597642829</v>
      </c>
      <c r="M142" s="5">
        <v>2</v>
      </c>
      <c r="N142" s="5" t="s">
        <v>186</v>
      </c>
      <c r="O142" s="5" t="s">
        <v>184</v>
      </c>
      <c r="P142" s="3" t="s">
        <v>174</v>
      </c>
      <c r="Q142" s="5" t="s">
        <v>34</v>
      </c>
      <c r="R142" s="9">
        <f t="shared" si="83"/>
        <v>242448.93</v>
      </c>
      <c r="S142" s="1">
        <v>242448.93</v>
      </c>
      <c r="T142" s="1">
        <v>0</v>
      </c>
      <c r="U142" s="4">
        <f t="shared" si="84"/>
        <v>37080.43</v>
      </c>
      <c r="V142" s="74">
        <v>37080.43</v>
      </c>
      <c r="W142" s="74">
        <v>0</v>
      </c>
      <c r="X142" s="4">
        <f t="shared" si="85"/>
        <v>5704.68</v>
      </c>
      <c r="Y142" s="1">
        <v>5704.68</v>
      </c>
      <c r="Z142" s="1">
        <v>0</v>
      </c>
      <c r="AA142" s="9">
        <f t="shared" si="86"/>
        <v>0</v>
      </c>
      <c r="AB142" s="1">
        <v>0</v>
      </c>
      <c r="AC142" s="1">
        <v>0</v>
      </c>
      <c r="AD142" s="45">
        <f t="shared" si="80"/>
        <v>285234.03999999998</v>
      </c>
      <c r="AE142" s="60">
        <v>0</v>
      </c>
      <c r="AF142" s="9">
        <f t="shared" si="87"/>
        <v>285234.03999999998</v>
      </c>
      <c r="AG142" s="50" t="s">
        <v>966</v>
      </c>
      <c r="AH142" s="14" t="s">
        <v>151</v>
      </c>
      <c r="AI142" s="1">
        <v>220919.96</v>
      </c>
      <c r="AJ142" s="1">
        <v>33787.72</v>
      </c>
    </row>
    <row r="143" spans="1:37" ht="189" x14ac:dyDescent="0.25">
      <c r="A143" s="5">
        <f t="shared" si="81"/>
        <v>140</v>
      </c>
      <c r="B143" s="16">
        <v>126419</v>
      </c>
      <c r="C143" s="16">
        <v>561</v>
      </c>
      <c r="D143" s="41" t="s">
        <v>1981</v>
      </c>
      <c r="E143" s="18" t="s">
        <v>1018</v>
      </c>
      <c r="F143" s="8" t="s">
        <v>1023</v>
      </c>
      <c r="G143" s="5" t="s">
        <v>878</v>
      </c>
      <c r="H143" s="5" t="s">
        <v>151</v>
      </c>
      <c r="I143" s="42" t="s">
        <v>1024</v>
      </c>
      <c r="J143" s="2">
        <v>43432</v>
      </c>
      <c r="K143" s="2">
        <v>44832</v>
      </c>
      <c r="L143" s="17">
        <f t="shared" si="82"/>
        <v>85</v>
      </c>
      <c r="M143" s="16">
        <v>2</v>
      </c>
      <c r="N143" s="5" t="s">
        <v>186</v>
      </c>
      <c r="O143" s="5" t="s">
        <v>184</v>
      </c>
      <c r="P143" s="32" t="s">
        <v>174</v>
      </c>
      <c r="Q143" s="5" t="s">
        <v>34</v>
      </c>
      <c r="R143" s="114">
        <f t="shared" si="83"/>
        <v>2627225.9</v>
      </c>
      <c r="S143" s="1">
        <v>2627225.9</v>
      </c>
      <c r="T143" s="1">
        <v>0</v>
      </c>
      <c r="U143" s="4">
        <f t="shared" si="84"/>
        <v>401811.02</v>
      </c>
      <c r="V143" s="54">
        <v>401811.02</v>
      </c>
      <c r="W143" s="74">
        <v>0</v>
      </c>
      <c r="X143" s="4">
        <f t="shared" si="85"/>
        <v>61817.079999999994</v>
      </c>
      <c r="Y143" s="116">
        <v>61817.079999999994</v>
      </c>
      <c r="Z143" s="1">
        <v>0</v>
      </c>
      <c r="AA143" s="9">
        <f t="shared" si="86"/>
        <v>0</v>
      </c>
      <c r="AB143" s="1">
        <v>0</v>
      </c>
      <c r="AC143" s="1">
        <v>0</v>
      </c>
      <c r="AD143" s="45">
        <f t="shared" si="80"/>
        <v>3090854</v>
      </c>
      <c r="AE143" s="16">
        <v>0</v>
      </c>
      <c r="AF143" s="9">
        <f t="shared" si="87"/>
        <v>3090854</v>
      </c>
      <c r="AG143" s="60" t="s">
        <v>515</v>
      </c>
      <c r="AH143" s="12" t="s">
        <v>151</v>
      </c>
      <c r="AI143" s="1">
        <f>316850.48-6689.8-24163.88-3750.5</f>
        <v>282246.3</v>
      </c>
      <c r="AJ143" s="1">
        <f>1187.66+6689.8+24163.88+3750.5</f>
        <v>35791.839999999997</v>
      </c>
    </row>
    <row r="144" spans="1:37" ht="173.25" x14ac:dyDescent="0.25">
      <c r="A144" s="5">
        <f t="shared" si="81"/>
        <v>141</v>
      </c>
      <c r="B144" s="16">
        <v>125256</v>
      </c>
      <c r="C144" s="16">
        <v>562</v>
      </c>
      <c r="D144" s="41" t="s">
        <v>1981</v>
      </c>
      <c r="E144" s="18" t="s">
        <v>1018</v>
      </c>
      <c r="F144" s="8" t="s">
        <v>1051</v>
      </c>
      <c r="G144" s="5" t="s">
        <v>2002</v>
      </c>
      <c r="H144" s="5" t="s">
        <v>151</v>
      </c>
      <c r="I144" s="42" t="s">
        <v>1050</v>
      </c>
      <c r="J144" s="2">
        <v>43444</v>
      </c>
      <c r="K144" s="2">
        <v>43931</v>
      </c>
      <c r="L144" s="17">
        <f t="shared" si="82"/>
        <v>84.999999921204406</v>
      </c>
      <c r="M144" s="16">
        <v>2</v>
      </c>
      <c r="N144" s="5" t="s">
        <v>186</v>
      </c>
      <c r="O144" s="5" t="s">
        <v>186</v>
      </c>
      <c r="P144" s="32" t="s">
        <v>174</v>
      </c>
      <c r="Q144" s="5" t="s">
        <v>34</v>
      </c>
      <c r="R144" s="114">
        <f t="shared" si="83"/>
        <v>3236221.13</v>
      </c>
      <c r="S144" s="1">
        <v>3236221.13</v>
      </c>
      <c r="T144" s="1">
        <v>0</v>
      </c>
      <c r="U144" s="4">
        <f t="shared" si="84"/>
        <v>494951.47</v>
      </c>
      <c r="V144" s="54">
        <v>494951.47</v>
      </c>
      <c r="W144" s="74">
        <v>0</v>
      </c>
      <c r="X144" s="4">
        <f t="shared" si="85"/>
        <v>76146.38</v>
      </c>
      <c r="Y144" s="116">
        <v>76146.38</v>
      </c>
      <c r="Z144" s="1">
        <v>0</v>
      </c>
      <c r="AA144" s="9">
        <f t="shared" si="86"/>
        <v>0</v>
      </c>
      <c r="AB144" s="1">
        <v>0</v>
      </c>
      <c r="AC144" s="1">
        <v>0</v>
      </c>
      <c r="AD144" s="45">
        <f t="shared" si="80"/>
        <v>3807318.9799999995</v>
      </c>
      <c r="AE144" s="16">
        <v>630578.23</v>
      </c>
      <c r="AF144" s="9">
        <f t="shared" si="87"/>
        <v>4437897.209999999</v>
      </c>
      <c r="AG144" s="60" t="s">
        <v>966</v>
      </c>
      <c r="AH144" s="60" t="s">
        <v>1644</v>
      </c>
      <c r="AI144" s="1">
        <v>2739230.71</v>
      </c>
      <c r="AJ144" s="1">
        <v>418941.15000000008</v>
      </c>
    </row>
    <row r="145" spans="1:37" ht="362.25" x14ac:dyDescent="0.25">
      <c r="A145" s="5">
        <f t="shared" si="81"/>
        <v>142</v>
      </c>
      <c r="B145" s="16">
        <v>126291</v>
      </c>
      <c r="C145" s="70">
        <v>535</v>
      </c>
      <c r="D145" s="41" t="s">
        <v>1981</v>
      </c>
      <c r="E145" s="18" t="s">
        <v>1018</v>
      </c>
      <c r="F145" s="8" t="s">
        <v>1110</v>
      </c>
      <c r="G145" s="5" t="s">
        <v>1111</v>
      </c>
      <c r="H145" s="5" t="s">
        <v>362</v>
      </c>
      <c r="I145" s="42" t="s">
        <v>1112</v>
      </c>
      <c r="J145" s="2">
        <v>43493</v>
      </c>
      <c r="K145" s="2">
        <v>44344</v>
      </c>
      <c r="L145" s="17">
        <f t="shared" si="82"/>
        <v>85</v>
      </c>
      <c r="M145" s="16">
        <v>2</v>
      </c>
      <c r="N145" s="5" t="s">
        <v>186</v>
      </c>
      <c r="O145" s="5" t="s">
        <v>186</v>
      </c>
      <c r="P145" s="32" t="s">
        <v>174</v>
      </c>
      <c r="Q145" s="5" t="s">
        <v>34</v>
      </c>
      <c r="R145" s="114">
        <f t="shared" si="83"/>
        <v>1370650.5</v>
      </c>
      <c r="S145" s="1">
        <v>1370650.5</v>
      </c>
      <c r="T145" s="1">
        <v>0</v>
      </c>
      <c r="U145" s="4">
        <f t="shared" si="84"/>
        <v>209628.9</v>
      </c>
      <c r="V145" s="54">
        <v>209628.9</v>
      </c>
      <c r="W145" s="115">
        <v>0</v>
      </c>
      <c r="X145" s="4">
        <f t="shared" si="85"/>
        <v>32250.6</v>
      </c>
      <c r="Y145" s="116">
        <v>32250.6</v>
      </c>
      <c r="Z145" s="1">
        <v>0</v>
      </c>
      <c r="AA145" s="9">
        <f t="shared" si="86"/>
        <v>0</v>
      </c>
      <c r="AB145" s="9">
        <v>0</v>
      </c>
      <c r="AC145" s="9">
        <v>0</v>
      </c>
      <c r="AD145" s="45">
        <f t="shared" si="80"/>
        <v>1612530</v>
      </c>
      <c r="AE145" s="16"/>
      <c r="AF145" s="9">
        <f t="shared" si="87"/>
        <v>1612530</v>
      </c>
      <c r="AG145" s="60" t="s">
        <v>966</v>
      </c>
      <c r="AH145" s="60" t="s">
        <v>1885</v>
      </c>
      <c r="AI145" s="1">
        <f>355563.46+309565.75+152873.35+9352.55+84743.47</f>
        <v>912098.58</v>
      </c>
      <c r="AJ145" s="1">
        <f>54380.3+47345.35+23380.63+1430.39+12960.77</f>
        <v>139497.44</v>
      </c>
    </row>
    <row r="146" spans="1:37" ht="157.5" x14ac:dyDescent="0.25">
      <c r="A146" s="5">
        <f t="shared" si="81"/>
        <v>143</v>
      </c>
      <c r="B146" s="16">
        <v>128555</v>
      </c>
      <c r="C146" s="70">
        <v>679</v>
      </c>
      <c r="D146" s="41" t="s">
        <v>1981</v>
      </c>
      <c r="E146" s="18" t="s">
        <v>1246</v>
      </c>
      <c r="F146" s="8" t="s">
        <v>1436</v>
      </c>
      <c r="G146" s="5" t="s">
        <v>1111</v>
      </c>
      <c r="H146" s="145" t="s">
        <v>1605</v>
      </c>
      <c r="I146" s="42" t="s">
        <v>1437</v>
      </c>
      <c r="J146" s="2">
        <v>43690</v>
      </c>
      <c r="K146" s="2">
        <v>44178</v>
      </c>
      <c r="L146" s="17">
        <f t="shared" si="82"/>
        <v>84.193851603626115</v>
      </c>
      <c r="M146" s="16">
        <v>2</v>
      </c>
      <c r="N146" s="5" t="s">
        <v>186</v>
      </c>
      <c r="O146" s="5" t="s">
        <v>186</v>
      </c>
      <c r="P146" s="32" t="s">
        <v>174</v>
      </c>
      <c r="Q146" s="5" t="s">
        <v>34</v>
      </c>
      <c r="R146" s="114">
        <f t="shared" si="83"/>
        <v>298646.52</v>
      </c>
      <c r="S146" s="1">
        <v>298646.52</v>
      </c>
      <c r="T146" s="1">
        <v>0</v>
      </c>
      <c r="U146" s="4">
        <f t="shared" si="84"/>
        <v>48972.19</v>
      </c>
      <c r="V146" s="54">
        <v>48972.19</v>
      </c>
      <c r="W146" s="74">
        <v>0</v>
      </c>
      <c r="X146" s="4">
        <f t="shared" si="85"/>
        <v>3730.13</v>
      </c>
      <c r="Y146" s="116">
        <v>3730.13</v>
      </c>
      <c r="Z146" s="1">
        <v>0</v>
      </c>
      <c r="AA146" s="9">
        <f t="shared" si="86"/>
        <v>3364.14</v>
      </c>
      <c r="AB146" s="5">
        <v>3364.14</v>
      </c>
      <c r="AC146" s="1">
        <v>0</v>
      </c>
      <c r="AD146" s="45">
        <f t="shared" si="80"/>
        <v>354712.98000000004</v>
      </c>
      <c r="AE146" s="16"/>
      <c r="AF146" s="9">
        <f t="shared" si="87"/>
        <v>354712.98000000004</v>
      </c>
      <c r="AG146" s="60" t="s">
        <v>966</v>
      </c>
      <c r="AH146" s="60" t="s">
        <v>1952</v>
      </c>
      <c r="AI146" s="1">
        <f>185469.97+6878.14+35470+27093.36+4489.6</f>
        <v>259401.07000000004</v>
      </c>
      <c r="AJ146" s="1">
        <f>4005.59+20340.83+7694.75+10159.19+699.82</f>
        <v>42900.18</v>
      </c>
    </row>
    <row r="147" spans="1:37" ht="141.75" x14ac:dyDescent="0.25">
      <c r="A147" s="5">
        <f t="shared" si="81"/>
        <v>144</v>
      </c>
      <c r="B147" s="5">
        <v>111029</v>
      </c>
      <c r="C147" s="6">
        <v>126</v>
      </c>
      <c r="D147" s="41" t="s">
        <v>1981</v>
      </c>
      <c r="E147" s="18" t="s">
        <v>278</v>
      </c>
      <c r="F147" s="8" t="s">
        <v>334</v>
      </c>
      <c r="G147" s="5" t="s">
        <v>335</v>
      </c>
      <c r="H147" s="5" t="s">
        <v>151</v>
      </c>
      <c r="I147" s="42" t="s">
        <v>336</v>
      </c>
      <c r="J147" s="2">
        <v>43208</v>
      </c>
      <c r="K147" s="2">
        <v>43695</v>
      </c>
      <c r="L147" s="17">
        <f t="shared" ref="L147:L152" si="88">R147/AD147*100</f>
        <v>85.000001177275294</v>
      </c>
      <c r="M147" s="5">
        <v>3</v>
      </c>
      <c r="N147" s="5" t="s">
        <v>333</v>
      </c>
      <c r="O147" s="5" t="s">
        <v>333</v>
      </c>
      <c r="P147" s="3" t="s">
        <v>174</v>
      </c>
      <c r="Q147" s="5" t="s">
        <v>34</v>
      </c>
      <c r="R147" s="4">
        <f>S147+T147</f>
        <v>361003.08</v>
      </c>
      <c r="S147" s="9">
        <v>361003.08</v>
      </c>
      <c r="T147" s="9">
        <v>0</v>
      </c>
      <c r="U147" s="4">
        <f t="shared" ref="U147:U152" si="89">V147+W147</f>
        <v>55212.23</v>
      </c>
      <c r="V147" s="54">
        <v>55212.23</v>
      </c>
      <c r="W147" s="54"/>
      <c r="X147" s="4">
        <f t="shared" ref="X147:X152" si="90">Y147+Z147</f>
        <v>8494.19</v>
      </c>
      <c r="Y147" s="9">
        <v>8494.19</v>
      </c>
      <c r="Z147" s="9">
        <v>0</v>
      </c>
      <c r="AA147" s="9">
        <f t="shared" ref="AA147:AA152" si="91">AB147+AC147</f>
        <v>0</v>
      </c>
      <c r="AB147" s="9">
        <v>0</v>
      </c>
      <c r="AC147" s="9">
        <v>0</v>
      </c>
      <c r="AD147" s="45">
        <f t="shared" si="80"/>
        <v>424709.5</v>
      </c>
      <c r="AE147" s="9">
        <v>0</v>
      </c>
      <c r="AF147" s="9">
        <f t="shared" ref="AF147:AF152" si="92">AD147+AE147</f>
        <v>424709.5</v>
      </c>
      <c r="AG147" s="50" t="s">
        <v>966</v>
      </c>
      <c r="AH147" s="14" t="s">
        <v>151</v>
      </c>
      <c r="AI147" s="1">
        <v>306350.18</v>
      </c>
      <c r="AJ147" s="1">
        <v>46853.56</v>
      </c>
    </row>
    <row r="148" spans="1:37" ht="141.75" x14ac:dyDescent="0.25">
      <c r="A148" s="5">
        <f t="shared" si="81"/>
        <v>145</v>
      </c>
      <c r="B148" s="5">
        <v>116685</v>
      </c>
      <c r="C148" s="5">
        <v>407</v>
      </c>
      <c r="D148" s="8" t="s">
        <v>1982</v>
      </c>
      <c r="E148" s="18" t="s">
        <v>540</v>
      </c>
      <c r="F148" s="18" t="s">
        <v>712</v>
      </c>
      <c r="G148" s="5" t="s">
        <v>715</v>
      </c>
      <c r="H148" s="5" t="s">
        <v>713</v>
      </c>
      <c r="I148" s="42" t="s">
        <v>714</v>
      </c>
      <c r="J148" s="2">
        <v>43298</v>
      </c>
      <c r="K148" s="2">
        <v>43907</v>
      </c>
      <c r="L148" s="17">
        <f t="shared" si="88"/>
        <v>84.519132769277391</v>
      </c>
      <c r="M148" s="5">
        <v>3</v>
      </c>
      <c r="N148" s="5" t="s">
        <v>333</v>
      </c>
      <c r="O148" s="5" t="s">
        <v>333</v>
      </c>
      <c r="P148" s="3" t="s">
        <v>174</v>
      </c>
      <c r="Q148" s="5" t="s">
        <v>34</v>
      </c>
      <c r="R148" s="4">
        <f>S148+T148</f>
        <v>335058.15000000002</v>
      </c>
      <c r="S148" s="9">
        <v>335058.15000000002</v>
      </c>
      <c r="T148" s="9">
        <v>0</v>
      </c>
      <c r="U148" s="4">
        <f t="shared" si="89"/>
        <v>53442.06</v>
      </c>
      <c r="V148" s="54">
        <v>53442.06</v>
      </c>
      <c r="W148" s="54">
        <v>0</v>
      </c>
      <c r="X148" s="4">
        <f t="shared" si="90"/>
        <v>0</v>
      </c>
      <c r="Y148" s="9">
        <v>0</v>
      </c>
      <c r="Z148" s="9">
        <v>0</v>
      </c>
      <c r="AA148" s="9">
        <f t="shared" si="91"/>
        <v>7928.55</v>
      </c>
      <c r="AB148" s="9">
        <v>7928.55</v>
      </c>
      <c r="AC148" s="9">
        <v>0</v>
      </c>
      <c r="AD148" s="45">
        <f t="shared" si="80"/>
        <v>396428.76</v>
      </c>
      <c r="AE148" s="9">
        <v>0</v>
      </c>
      <c r="AF148" s="9">
        <f t="shared" si="92"/>
        <v>396428.76</v>
      </c>
      <c r="AG148" s="60" t="s">
        <v>966</v>
      </c>
      <c r="AH148" s="14" t="s">
        <v>1266</v>
      </c>
      <c r="AI148" s="1">
        <v>326035.62</v>
      </c>
      <c r="AJ148" s="1">
        <v>51899.82</v>
      </c>
    </row>
    <row r="149" spans="1:37" ht="409.5" x14ac:dyDescent="0.25">
      <c r="A149" s="5">
        <f t="shared" si="81"/>
        <v>146</v>
      </c>
      <c r="B149" s="5">
        <v>118751</v>
      </c>
      <c r="C149" s="5">
        <v>437</v>
      </c>
      <c r="D149" s="8" t="s">
        <v>1982</v>
      </c>
      <c r="E149" s="18" t="s">
        <v>540</v>
      </c>
      <c r="F149" s="8" t="s">
        <v>885</v>
      </c>
      <c r="G149" s="5" t="s">
        <v>335</v>
      </c>
      <c r="H149" s="5" t="s">
        <v>151</v>
      </c>
      <c r="I149" s="42" t="s">
        <v>1598</v>
      </c>
      <c r="J149" s="2">
        <v>43340</v>
      </c>
      <c r="K149" s="2">
        <v>43644</v>
      </c>
      <c r="L149" s="17">
        <f t="shared" si="88"/>
        <v>85.000001668371198</v>
      </c>
      <c r="M149" s="5">
        <v>3</v>
      </c>
      <c r="N149" s="5" t="s">
        <v>333</v>
      </c>
      <c r="O149" s="5" t="s">
        <v>333</v>
      </c>
      <c r="P149" s="3" t="s">
        <v>174</v>
      </c>
      <c r="Q149" s="5" t="s">
        <v>34</v>
      </c>
      <c r="R149" s="4">
        <v>254739.48</v>
      </c>
      <c r="S149" s="1">
        <v>254739.48</v>
      </c>
      <c r="T149" s="9">
        <v>0</v>
      </c>
      <c r="U149" s="4">
        <f t="shared" si="89"/>
        <v>38960.15</v>
      </c>
      <c r="V149" s="54">
        <v>38960.15</v>
      </c>
      <c r="W149" s="54">
        <v>0</v>
      </c>
      <c r="X149" s="4">
        <f t="shared" si="90"/>
        <v>5993.87</v>
      </c>
      <c r="Y149" s="9">
        <v>5993.87</v>
      </c>
      <c r="Z149" s="9">
        <v>0</v>
      </c>
      <c r="AA149" s="9">
        <f t="shared" si="91"/>
        <v>0</v>
      </c>
      <c r="AB149" s="9">
        <v>0</v>
      </c>
      <c r="AC149" s="9">
        <v>0</v>
      </c>
      <c r="AD149" s="45">
        <f t="shared" si="80"/>
        <v>299693.5</v>
      </c>
      <c r="AE149" s="9">
        <v>0</v>
      </c>
      <c r="AF149" s="9">
        <f t="shared" si="92"/>
        <v>299693.5</v>
      </c>
      <c r="AG149" s="50" t="s">
        <v>966</v>
      </c>
      <c r="AH149" s="14" t="s">
        <v>151</v>
      </c>
      <c r="AI149" s="1">
        <v>248993.41</v>
      </c>
      <c r="AJ149" s="1">
        <v>38081.339999999997</v>
      </c>
      <c r="AK149" s="52"/>
    </row>
    <row r="150" spans="1:37" ht="173.25" x14ac:dyDescent="0.25">
      <c r="A150" s="5">
        <f t="shared" si="81"/>
        <v>147</v>
      </c>
      <c r="B150" s="16">
        <v>126535</v>
      </c>
      <c r="C150" s="5">
        <v>564</v>
      </c>
      <c r="D150" s="41" t="s">
        <v>1981</v>
      </c>
      <c r="E150" s="18" t="s">
        <v>1018</v>
      </c>
      <c r="F150" s="16" t="s">
        <v>1069</v>
      </c>
      <c r="G150" s="5" t="s">
        <v>335</v>
      </c>
      <c r="H150" s="6" t="s">
        <v>151</v>
      </c>
      <c r="I150" s="8" t="s">
        <v>1070</v>
      </c>
      <c r="J150" s="2">
        <v>43447</v>
      </c>
      <c r="K150" s="2">
        <v>44543</v>
      </c>
      <c r="L150" s="17">
        <f t="shared" si="88"/>
        <v>85</v>
      </c>
      <c r="M150" s="5">
        <v>3</v>
      </c>
      <c r="N150" s="5" t="s">
        <v>333</v>
      </c>
      <c r="O150" s="5" t="s">
        <v>333</v>
      </c>
      <c r="P150" s="3" t="s">
        <v>174</v>
      </c>
      <c r="Q150" s="5" t="s">
        <v>34</v>
      </c>
      <c r="R150" s="4">
        <f>S150+T150</f>
        <v>3199377.9</v>
      </c>
      <c r="S150" s="1">
        <v>3199377.9</v>
      </c>
      <c r="T150" s="1">
        <v>0</v>
      </c>
      <c r="U150" s="4">
        <f t="shared" si="89"/>
        <v>489316.62</v>
      </c>
      <c r="V150" s="74">
        <v>489316.62</v>
      </c>
      <c r="W150" s="74">
        <v>0</v>
      </c>
      <c r="X150" s="4">
        <f t="shared" si="90"/>
        <v>75279.48</v>
      </c>
      <c r="Y150" s="9">
        <v>75279.48</v>
      </c>
      <c r="Z150" s="9">
        <v>0</v>
      </c>
      <c r="AA150" s="9">
        <f t="shared" si="91"/>
        <v>0</v>
      </c>
      <c r="AB150" s="1">
        <v>0</v>
      </c>
      <c r="AC150" s="1">
        <v>0</v>
      </c>
      <c r="AD150" s="45">
        <f t="shared" si="80"/>
        <v>3763974</v>
      </c>
      <c r="AE150" s="9">
        <v>0</v>
      </c>
      <c r="AF150" s="9">
        <f t="shared" si="92"/>
        <v>3763974</v>
      </c>
      <c r="AG150" s="60" t="s">
        <v>515</v>
      </c>
      <c r="AH150" s="14" t="s">
        <v>2029</v>
      </c>
      <c r="AI150" s="1">
        <f>436731.77-12762.45</f>
        <v>423969.32</v>
      </c>
      <c r="AJ150" s="1">
        <f>49783.81+15058.55</f>
        <v>64842.36</v>
      </c>
    </row>
    <row r="151" spans="1:37" ht="189" x14ac:dyDescent="0.25">
      <c r="A151" s="5">
        <f t="shared" si="81"/>
        <v>148</v>
      </c>
      <c r="B151" s="16">
        <v>135893</v>
      </c>
      <c r="C151" s="5">
        <v>791</v>
      </c>
      <c r="D151" s="41" t="s">
        <v>1981</v>
      </c>
      <c r="E151" s="18" t="s">
        <v>1700</v>
      </c>
      <c r="F151" s="16" t="s">
        <v>1720</v>
      </c>
      <c r="G151" s="5" t="s">
        <v>335</v>
      </c>
      <c r="H151" s="5" t="s">
        <v>151</v>
      </c>
      <c r="I151" s="42" t="s">
        <v>1721</v>
      </c>
      <c r="J151" s="64">
        <v>43959</v>
      </c>
      <c r="K151" s="64">
        <v>44873</v>
      </c>
      <c r="L151" s="17">
        <f t="shared" si="88"/>
        <v>85.000000000000014</v>
      </c>
      <c r="M151" s="63">
        <v>3</v>
      </c>
      <c r="N151" s="5" t="s">
        <v>333</v>
      </c>
      <c r="O151" s="5" t="s">
        <v>333</v>
      </c>
      <c r="P151" s="66" t="s">
        <v>174</v>
      </c>
      <c r="Q151" s="63" t="s">
        <v>34</v>
      </c>
      <c r="R151" s="4">
        <f>S151+T151</f>
        <v>3203800.45</v>
      </c>
      <c r="S151" s="1">
        <v>3203800.45</v>
      </c>
      <c r="T151" s="1">
        <v>0</v>
      </c>
      <c r="U151" s="4">
        <f t="shared" si="89"/>
        <v>489993.01</v>
      </c>
      <c r="V151" s="74">
        <v>489993.01</v>
      </c>
      <c r="W151" s="74">
        <v>0</v>
      </c>
      <c r="X151" s="4">
        <f t="shared" si="90"/>
        <v>75383.539999999994</v>
      </c>
      <c r="Y151" s="9">
        <v>75383.539999999994</v>
      </c>
      <c r="Z151" s="9">
        <v>0</v>
      </c>
      <c r="AA151" s="9">
        <f t="shared" si="91"/>
        <v>0</v>
      </c>
      <c r="AB151" s="1">
        <v>0</v>
      </c>
      <c r="AC151" s="1">
        <v>0</v>
      </c>
      <c r="AD151" s="45">
        <f t="shared" si="80"/>
        <v>3769177</v>
      </c>
      <c r="AE151" s="9">
        <v>0</v>
      </c>
      <c r="AF151" s="9">
        <f t="shared" si="92"/>
        <v>3769177</v>
      </c>
      <c r="AG151" s="60" t="s">
        <v>515</v>
      </c>
      <c r="AH151" s="14" t="s">
        <v>151</v>
      </c>
      <c r="AI151" s="1">
        <f>9077.15+222941-26473.23</f>
        <v>205544.91999999998</v>
      </c>
      <c r="AJ151" s="1">
        <f>1388.27+26473.23</f>
        <v>27861.5</v>
      </c>
    </row>
    <row r="152" spans="1:37" ht="198" x14ac:dyDescent="0.25">
      <c r="A152" s="5">
        <f t="shared" si="81"/>
        <v>149</v>
      </c>
      <c r="B152" s="62">
        <v>135244</v>
      </c>
      <c r="C152" s="118">
        <v>817</v>
      </c>
      <c r="D152" s="41" t="s">
        <v>1981</v>
      </c>
      <c r="E152" s="83" t="s">
        <v>1700</v>
      </c>
      <c r="F152" s="122" t="s">
        <v>1743</v>
      </c>
      <c r="G152" s="63" t="s">
        <v>715</v>
      </c>
      <c r="H152" s="63" t="s">
        <v>151</v>
      </c>
      <c r="I152" s="103" t="s">
        <v>1744</v>
      </c>
      <c r="J152" s="64">
        <v>43969</v>
      </c>
      <c r="K152" s="64">
        <v>44822</v>
      </c>
      <c r="L152" s="17">
        <f t="shared" si="88"/>
        <v>85.000000120245716</v>
      </c>
      <c r="M152" s="63">
        <v>3</v>
      </c>
      <c r="N152" s="5" t="s">
        <v>333</v>
      </c>
      <c r="O152" s="5" t="s">
        <v>333</v>
      </c>
      <c r="P152" s="66" t="s">
        <v>174</v>
      </c>
      <c r="Q152" s="63" t="s">
        <v>34</v>
      </c>
      <c r="R152" s="4">
        <f>S152+T152</f>
        <v>3180986.65</v>
      </c>
      <c r="S152" s="67">
        <v>3180986.65</v>
      </c>
      <c r="T152" s="67">
        <v>0</v>
      </c>
      <c r="U152" s="4">
        <f t="shared" si="89"/>
        <v>486503.83</v>
      </c>
      <c r="V152" s="69">
        <v>486503.83</v>
      </c>
      <c r="W152" s="69">
        <v>0</v>
      </c>
      <c r="X152" s="4">
        <f t="shared" si="90"/>
        <v>74846.75</v>
      </c>
      <c r="Y152" s="67">
        <v>74846.75</v>
      </c>
      <c r="Z152" s="67">
        <v>0</v>
      </c>
      <c r="AA152" s="9">
        <f t="shared" si="91"/>
        <v>0</v>
      </c>
      <c r="AB152" s="1">
        <v>0</v>
      </c>
      <c r="AC152" s="1">
        <v>0</v>
      </c>
      <c r="AD152" s="45">
        <f t="shared" si="80"/>
        <v>3742337.23</v>
      </c>
      <c r="AE152" s="9">
        <v>0</v>
      </c>
      <c r="AF152" s="9">
        <f t="shared" si="92"/>
        <v>3742337.23</v>
      </c>
      <c r="AG152" s="60" t="s">
        <v>515</v>
      </c>
      <c r="AH152" s="14" t="s">
        <v>151</v>
      </c>
      <c r="AI152" s="1">
        <f>108933+137399.08</f>
        <v>246332.08</v>
      </c>
      <c r="AJ152" s="1">
        <v>21013.98</v>
      </c>
    </row>
    <row r="153" spans="1:37" ht="141.75" x14ac:dyDescent="0.25">
      <c r="A153" s="5">
        <f t="shared" si="81"/>
        <v>150</v>
      </c>
      <c r="B153" s="5">
        <v>120638</v>
      </c>
      <c r="C153" s="6">
        <v>97</v>
      </c>
      <c r="D153" s="41" t="s">
        <v>1981</v>
      </c>
      <c r="E153" s="18" t="s">
        <v>278</v>
      </c>
      <c r="F153" s="8" t="s">
        <v>234</v>
      </c>
      <c r="G153" s="5" t="s">
        <v>2003</v>
      </c>
      <c r="H153" s="5" t="s">
        <v>151</v>
      </c>
      <c r="I153" s="77" t="s">
        <v>235</v>
      </c>
      <c r="J153" s="2">
        <v>43145</v>
      </c>
      <c r="K153" s="2">
        <v>43630</v>
      </c>
      <c r="L153" s="17">
        <f t="shared" ref="L153:L160" si="93">R153/AD153*100</f>
        <v>84.999998641808133</v>
      </c>
      <c r="M153" s="5">
        <v>4</v>
      </c>
      <c r="N153" s="5" t="s">
        <v>232</v>
      </c>
      <c r="O153" s="5" t="s">
        <v>233</v>
      </c>
      <c r="P153" s="3" t="s">
        <v>174</v>
      </c>
      <c r="Q153" s="5" t="s">
        <v>34</v>
      </c>
      <c r="R153" s="9">
        <f t="shared" ref="R153:R160" si="94">S153+T153</f>
        <v>312916.02</v>
      </c>
      <c r="S153" s="72">
        <v>312916.02</v>
      </c>
      <c r="T153" s="146">
        <v>0</v>
      </c>
      <c r="U153" s="4">
        <f t="shared" ref="U153:U165" si="95">V153+W153</f>
        <v>47857.75</v>
      </c>
      <c r="V153" s="54">
        <v>47857.75</v>
      </c>
      <c r="W153" s="54">
        <v>0</v>
      </c>
      <c r="X153" s="4">
        <f t="shared" ref="X153:X165" si="96">Y153+Z153</f>
        <v>7362.73</v>
      </c>
      <c r="Y153" s="9">
        <v>7362.73</v>
      </c>
      <c r="Z153" s="9">
        <v>0</v>
      </c>
      <c r="AA153" s="9">
        <f t="shared" ref="AA153:AA160" si="97">AB153+AC153</f>
        <v>0</v>
      </c>
      <c r="AB153" s="9">
        <v>0</v>
      </c>
      <c r="AC153" s="9">
        <v>0</v>
      </c>
      <c r="AD153" s="45">
        <f t="shared" si="80"/>
        <v>368136.5</v>
      </c>
      <c r="AE153" s="9">
        <v>0</v>
      </c>
      <c r="AF153" s="9">
        <f t="shared" ref="AF153:AF160" si="98">AD153+AE153</f>
        <v>368136.5</v>
      </c>
      <c r="AG153" s="50" t="s">
        <v>966</v>
      </c>
      <c r="AH153" s="14" t="s">
        <v>296</v>
      </c>
      <c r="AI153" s="1">
        <v>237555.28999999998</v>
      </c>
      <c r="AJ153" s="1">
        <v>36331.979999999996</v>
      </c>
    </row>
    <row r="154" spans="1:37" ht="141.75" x14ac:dyDescent="0.25">
      <c r="A154" s="5">
        <f t="shared" si="81"/>
        <v>151</v>
      </c>
      <c r="B154" s="70">
        <v>120714</v>
      </c>
      <c r="C154" s="6">
        <v>111</v>
      </c>
      <c r="D154" s="41" t="s">
        <v>1981</v>
      </c>
      <c r="E154" s="18" t="s">
        <v>278</v>
      </c>
      <c r="F154" s="8" t="s">
        <v>251</v>
      </c>
      <c r="G154" s="5" t="s">
        <v>1031</v>
      </c>
      <c r="H154" s="5" t="s">
        <v>250</v>
      </c>
      <c r="I154" s="42" t="s">
        <v>449</v>
      </c>
      <c r="J154" s="2">
        <v>43166</v>
      </c>
      <c r="K154" s="2">
        <v>43653</v>
      </c>
      <c r="L154" s="17">
        <f t="shared" si="93"/>
        <v>85</v>
      </c>
      <c r="M154" s="5">
        <v>4</v>
      </c>
      <c r="N154" s="5" t="s">
        <v>232</v>
      </c>
      <c r="O154" s="5" t="s">
        <v>233</v>
      </c>
      <c r="P154" s="3" t="s">
        <v>174</v>
      </c>
      <c r="Q154" s="5" t="s">
        <v>34</v>
      </c>
      <c r="R154" s="9">
        <f t="shared" si="94"/>
        <v>355906.39</v>
      </c>
      <c r="S154" s="89">
        <v>355906.39</v>
      </c>
      <c r="T154" s="89">
        <v>0</v>
      </c>
      <c r="U154" s="4">
        <f t="shared" si="95"/>
        <v>54432.74</v>
      </c>
      <c r="V154" s="54">
        <v>54432.74</v>
      </c>
      <c r="W154" s="54">
        <v>0</v>
      </c>
      <c r="X154" s="4">
        <f t="shared" si="96"/>
        <v>8374.27</v>
      </c>
      <c r="Y154" s="9">
        <v>8374.27</v>
      </c>
      <c r="Z154" s="9">
        <v>0</v>
      </c>
      <c r="AA154" s="9">
        <f t="shared" si="97"/>
        <v>0</v>
      </c>
      <c r="AB154" s="9">
        <v>0</v>
      </c>
      <c r="AC154" s="9">
        <v>0</v>
      </c>
      <c r="AD154" s="45">
        <f t="shared" si="80"/>
        <v>418713.4</v>
      </c>
      <c r="AE154" s="9">
        <v>0</v>
      </c>
      <c r="AF154" s="9">
        <f t="shared" si="98"/>
        <v>418713.4</v>
      </c>
      <c r="AG154" s="50" t="s">
        <v>966</v>
      </c>
      <c r="AH154" s="14" t="s">
        <v>151</v>
      </c>
      <c r="AI154" s="1">
        <v>292880.73</v>
      </c>
      <c r="AJ154" s="1">
        <v>44793.507300000012</v>
      </c>
    </row>
    <row r="155" spans="1:37" ht="157.5" x14ac:dyDescent="0.25">
      <c r="A155" s="5">
        <f t="shared" si="81"/>
        <v>152</v>
      </c>
      <c r="B155" s="70">
        <v>119758</v>
      </c>
      <c r="C155" s="6">
        <v>460</v>
      </c>
      <c r="D155" s="41" t="s">
        <v>1981</v>
      </c>
      <c r="E155" s="18" t="s">
        <v>474</v>
      </c>
      <c r="F155" s="147" t="s">
        <v>503</v>
      </c>
      <c r="G155" s="5" t="s">
        <v>504</v>
      </c>
      <c r="H155" s="5" t="s">
        <v>151</v>
      </c>
      <c r="I155" s="42" t="s">
        <v>505</v>
      </c>
      <c r="J155" s="2">
        <v>43264</v>
      </c>
      <c r="K155" s="2">
        <v>43751</v>
      </c>
      <c r="L155" s="17">
        <f t="shared" si="93"/>
        <v>85</v>
      </c>
      <c r="M155" s="5">
        <v>4</v>
      </c>
      <c r="N155" s="5" t="s">
        <v>232</v>
      </c>
      <c r="O155" s="5" t="s">
        <v>506</v>
      </c>
      <c r="P155" s="3" t="s">
        <v>174</v>
      </c>
      <c r="Q155" s="5" t="s">
        <v>34</v>
      </c>
      <c r="R155" s="9">
        <f t="shared" si="94"/>
        <v>356536.75</v>
      </c>
      <c r="S155" s="89">
        <v>356536.75</v>
      </c>
      <c r="T155" s="89">
        <v>0</v>
      </c>
      <c r="U155" s="4">
        <f t="shared" si="95"/>
        <v>54529.15</v>
      </c>
      <c r="V155" s="54">
        <v>54529.15</v>
      </c>
      <c r="W155" s="54"/>
      <c r="X155" s="4">
        <f t="shared" si="96"/>
        <v>8389.1</v>
      </c>
      <c r="Y155" s="9">
        <v>8389.1</v>
      </c>
      <c r="Z155" s="9">
        <v>0</v>
      </c>
      <c r="AA155" s="9">
        <f t="shared" si="97"/>
        <v>0</v>
      </c>
      <c r="AB155" s="9">
        <v>0</v>
      </c>
      <c r="AC155" s="9">
        <v>0</v>
      </c>
      <c r="AD155" s="45">
        <f t="shared" si="80"/>
        <v>419455</v>
      </c>
      <c r="AE155" s="9"/>
      <c r="AF155" s="9">
        <f t="shared" si="98"/>
        <v>419455</v>
      </c>
      <c r="AG155" s="50" t="s">
        <v>966</v>
      </c>
      <c r="AH155" s="14"/>
      <c r="AI155" s="1">
        <v>294297.16000000003</v>
      </c>
      <c r="AJ155" s="1">
        <v>45010.169999999991</v>
      </c>
    </row>
    <row r="156" spans="1:37" ht="141.75" x14ac:dyDescent="0.25">
      <c r="A156" s="5">
        <f t="shared" si="81"/>
        <v>153</v>
      </c>
      <c r="B156" s="70">
        <v>116766</v>
      </c>
      <c r="C156" s="6">
        <v>409</v>
      </c>
      <c r="D156" s="8" t="s">
        <v>1982</v>
      </c>
      <c r="E156" s="5" t="s">
        <v>540</v>
      </c>
      <c r="F156" s="8" t="s">
        <v>580</v>
      </c>
      <c r="G156" s="5" t="s">
        <v>2003</v>
      </c>
      <c r="H156" s="6" t="s">
        <v>151</v>
      </c>
      <c r="I156" s="8" t="s">
        <v>581</v>
      </c>
      <c r="J156" s="2">
        <v>43278</v>
      </c>
      <c r="K156" s="2">
        <v>43826</v>
      </c>
      <c r="L156" s="17">
        <f t="shared" si="93"/>
        <v>85.000000275422053</v>
      </c>
      <c r="M156" s="5">
        <v>4</v>
      </c>
      <c r="N156" s="5" t="s">
        <v>232</v>
      </c>
      <c r="O156" s="6" t="s">
        <v>582</v>
      </c>
      <c r="P156" s="6" t="s">
        <v>174</v>
      </c>
      <c r="Q156" s="5" t="s">
        <v>34</v>
      </c>
      <c r="R156" s="9">
        <f t="shared" si="94"/>
        <v>308617.27</v>
      </c>
      <c r="S156" s="89">
        <v>308617.27</v>
      </c>
      <c r="T156" s="89">
        <v>0</v>
      </c>
      <c r="U156" s="4">
        <f t="shared" si="95"/>
        <v>47200.29</v>
      </c>
      <c r="V156" s="54">
        <v>47200.29</v>
      </c>
      <c r="W156" s="54">
        <v>0</v>
      </c>
      <c r="X156" s="4">
        <f t="shared" si="96"/>
        <v>7261.58</v>
      </c>
      <c r="Y156" s="9">
        <v>7261.58</v>
      </c>
      <c r="Z156" s="4">
        <v>0</v>
      </c>
      <c r="AA156" s="9">
        <f t="shared" si="97"/>
        <v>0</v>
      </c>
      <c r="AB156" s="4">
        <v>0</v>
      </c>
      <c r="AC156" s="4">
        <v>0</v>
      </c>
      <c r="AD156" s="45">
        <f t="shared" si="80"/>
        <v>363079.14</v>
      </c>
      <c r="AE156" s="148">
        <v>0</v>
      </c>
      <c r="AF156" s="9">
        <f t="shared" si="98"/>
        <v>363079.14</v>
      </c>
      <c r="AG156" s="60" t="s">
        <v>966</v>
      </c>
      <c r="AH156" s="110" t="s">
        <v>1581</v>
      </c>
      <c r="AI156" s="1">
        <v>225079</v>
      </c>
      <c r="AJ156" s="1">
        <v>34423.869999999995</v>
      </c>
    </row>
    <row r="157" spans="1:37" ht="141.75" x14ac:dyDescent="0.25">
      <c r="A157" s="5">
        <f t="shared" si="81"/>
        <v>154</v>
      </c>
      <c r="B157" s="16">
        <v>126293</v>
      </c>
      <c r="C157" s="5">
        <v>523</v>
      </c>
      <c r="D157" s="41" t="s">
        <v>1981</v>
      </c>
      <c r="E157" s="5" t="s">
        <v>1018</v>
      </c>
      <c r="F157" s="8" t="s">
        <v>1059</v>
      </c>
      <c r="G157" s="5" t="s">
        <v>1031</v>
      </c>
      <c r="H157" s="6" t="s">
        <v>151</v>
      </c>
      <c r="I157" s="8" t="s">
        <v>1032</v>
      </c>
      <c r="J157" s="2">
        <v>43437</v>
      </c>
      <c r="K157" s="2">
        <v>44564</v>
      </c>
      <c r="L157" s="17">
        <f t="shared" si="93"/>
        <v>85.000000538702352</v>
      </c>
      <c r="M157" s="5">
        <v>4</v>
      </c>
      <c r="N157" s="5" t="s">
        <v>232</v>
      </c>
      <c r="O157" s="6" t="s">
        <v>582</v>
      </c>
      <c r="P157" s="6" t="s">
        <v>174</v>
      </c>
      <c r="Q157" s="5" t="s">
        <v>34</v>
      </c>
      <c r="R157" s="9">
        <f t="shared" si="94"/>
        <v>2366798.75</v>
      </c>
      <c r="S157" s="89">
        <v>2366798.75</v>
      </c>
      <c r="T157" s="89">
        <v>0</v>
      </c>
      <c r="U157" s="4">
        <f t="shared" si="95"/>
        <v>361980.97</v>
      </c>
      <c r="V157" s="54">
        <v>361980.97</v>
      </c>
      <c r="W157" s="54">
        <v>0</v>
      </c>
      <c r="X157" s="4">
        <f t="shared" si="96"/>
        <v>55689.38</v>
      </c>
      <c r="Y157" s="9">
        <v>55689.38</v>
      </c>
      <c r="Z157" s="1">
        <v>0</v>
      </c>
      <c r="AA157" s="9">
        <f t="shared" si="97"/>
        <v>0</v>
      </c>
      <c r="AB157" s="1">
        <v>0</v>
      </c>
      <c r="AC157" s="1">
        <v>0</v>
      </c>
      <c r="AD157" s="45">
        <f t="shared" si="80"/>
        <v>2784469.0999999996</v>
      </c>
      <c r="AE157" s="9">
        <v>129948</v>
      </c>
      <c r="AF157" s="9">
        <f t="shared" si="98"/>
        <v>2914417.0999999996</v>
      </c>
      <c r="AG157" s="60" t="s">
        <v>515</v>
      </c>
      <c r="AH157" s="110" t="s">
        <v>2161</v>
      </c>
      <c r="AI157" s="1">
        <f>319351.51+294803.9+201586.29+363120.54+102457.87+370209+338953.65+27108.2</f>
        <v>2017590.9599999997</v>
      </c>
      <c r="AJ157" s="1">
        <f>48841.98+45087.66+30830.84+55536.09+15670.03+56620.2+51839.97+4145.96</f>
        <v>308572.73000000004</v>
      </c>
    </row>
    <row r="158" spans="1:37" ht="141.75" x14ac:dyDescent="0.25">
      <c r="A158" s="5">
        <f t="shared" si="81"/>
        <v>155</v>
      </c>
      <c r="B158" s="16">
        <v>126212</v>
      </c>
      <c r="C158" s="5">
        <v>516</v>
      </c>
      <c r="D158" s="41" t="s">
        <v>1981</v>
      </c>
      <c r="E158" s="5" t="s">
        <v>1018</v>
      </c>
      <c r="F158" s="8" t="s">
        <v>1058</v>
      </c>
      <c r="G158" s="5" t="s">
        <v>504</v>
      </c>
      <c r="H158" s="6" t="s">
        <v>151</v>
      </c>
      <c r="I158" s="8" t="s">
        <v>1057</v>
      </c>
      <c r="J158" s="2">
        <v>43445</v>
      </c>
      <c r="K158" s="2">
        <v>44358</v>
      </c>
      <c r="L158" s="17">
        <f t="shared" si="93"/>
        <v>85.000000138721092</v>
      </c>
      <c r="M158" s="5">
        <v>4</v>
      </c>
      <c r="N158" s="5" t="s">
        <v>232</v>
      </c>
      <c r="O158" s="5" t="s">
        <v>506</v>
      </c>
      <c r="P158" s="5" t="s">
        <v>174</v>
      </c>
      <c r="Q158" s="5" t="s">
        <v>34</v>
      </c>
      <c r="R158" s="9">
        <f t="shared" si="94"/>
        <v>3063701.5</v>
      </c>
      <c r="S158" s="89">
        <v>3063701.5</v>
      </c>
      <c r="T158" s="89">
        <v>0</v>
      </c>
      <c r="U158" s="4">
        <f t="shared" si="95"/>
        <v>468566.11</v>
      </c>
      <c r="V158" s="54">
        <v>468566.11</v>
      </c>
      <c r="W158" s="54">
        <v>0</v>
      </c>
      <c r="X158" s="4">
        <f t="shared" si="96"/>
        <v>72087.09</v>
      </c>
      <c r="Y158" s="9">
        <v>72087.09</v>
      </c>
      <c r="Z158" s="1">
        <v>0</v>
      </c>
      <c r="AA158" s="9">
        <f t="shared" si="97"/>
        <v>0</v>
      </c>
      <c r="AB158" s="1">
        <v>0</v>
      </c>
      <c r="AC158" s="1">
        <v>0</v>
      </c>
      <c r="AD158" s="45">
        <f t="shared" si="80"/>
        <v>3604354.6999999997</v>
      </c>
      <c r="AE158" s="12">
        <v>0</v>
      </c>
      <c r="AF158" s="9">
        <f t="shared" si="98"/>
        <v>3604354.6999999997</v>
      </c>
      <c r="AG158" s="60" t="s">
        <v>966</v>
      </c>
      <c r="AH158" s="110" t="s">
        <v>151</v>
      </c>
      <c r="AI158" s="1">
        <f>990540.15-36410.86+95571.03+687657.15+681657-58693.25</f>
        <v>2360321.2200000002</v>
      </c>
      <c r="AJ158" s="1">
        <f>96435.54+49490.11+14616.74+105171.09+49194.6+46082.21</f>
        <v>360990.29</v>
      </c>
    </row>
    <row r="159" spans="1:37" ht="156.75" customHeight="1" x14ac:dyDescent="0.25">
      <c r="A159" s="5">
        <f t="shared" si="81"/>
        <v>156</v>
      </c>
      <c r="B159" s="70">
        <v>125603</v>
      </c>
      <c r="C159" s="6">
        <v>528</v>
      </c>
      <c r="D159" s="41" t="s">
        <v>1981</v>
      </c>
      <c r="E159" s="5" t="s">
        <v>1018</v>
      </c>
      <c r="F159" s="8" t="s">
        <v>1106</v>
      </c>
      <c r="G159" s="5" t="s">
        <v>2003</v>
      </c>
      <c r="H159" s="6" t="s">
        <v>151</v>
      </c>
      <c r="I159" s="8" t="s">
        <v>1107</v>
      </c>
      <c r="J159" s="2">
        <v>43486</v>
      </c>
      <c r="K159" s="2">
        <v>44582</v>
      </c>
      <c r="L159" s="17">
        <f t="shared" si="93"/>
        <v>85.000000127543871</v>
      </c>
      <c r="M159" s="5">
        <v>4</v>
      </c>
      <c r="N159" s="5" t="s">
        <v>232</v>
      </c>
      <c r="O159" s="6" t="s">
        <v>582</v>
      </c>
      <c r="P159" s="6" t="s">
        <v>174</v>
      </c>
      <c r="Q159" s="5" t="s">
        <v>34</v>
      </c>
      <c r="R159" s="9">
        <f t="shared" si="94"/>
        <v>2998968.16</v>
      </c>
      <c r="S159" s="89">
        <v>2998968.16</v>
      </c>
      <c r="T159" s="89">
        <v>0</v>
      </c>
      <c r="U159" s="4">
        <f t="shared" si="95"/>
        <v>458665.73</v>
      </c>
      <c r="V159" s="54">
        <v>458665.73</v>
      </c>
      <c r="W159" s="54">
        <v>0</v>
      </c>
      <c r="X159" s="4">
        <f t="shared" si="96"/>
        <v>70563.94</v>
      </c>
      <c r="Y159" s="9">
        <v>70563.94</v>
      </c>
      <c r="Z159" s="1">
        <v>0</v>
      </c>
      <c r="AA159" s="9">
        <f t="shared" si="97"/>
        <v>0</v>
      </c>
      <c r="AB159" s="1">
        <v>0</v>
      </c>
      <c r="AC159" s="1">
        <v>0</v>
      </c>
      <c r="AD159" s="45">
        <f t="shared" si="80"/>
        <v>3528197.83</v>
      </c>
      <c r="AE159" s="12">
        <v>0</v>
      </c>
      <c r="AF159" s="9">
        <f t="shared" si="98"/>
        <v>3528197.83</v>
      </c>
      <c r="AG159" s="60" t="s">
        <v>515</v>
      </c>
      <c r="AH159" s="110" t="s">
        <v>2151</v>
      </c>
      <c r="AI159" s="1">
        <f>222039.75+785175.49</f>
        <v>1007215.24</v>
      </c>
      <c r="AJ159" s="1">
        <f>33959.02+120085.66</f>
        <v>154044.68</v>
      </c>
    </row>
    <row r="160" spans="1:37" ht="156.75" customHeight="1" x14ac:dyDescent="0.25">
      <c r="A160" s="5">
        <f t="shared" si="81"/>
        <v>157</v>
      </c>
      <c r="B160" s="70">
        <v>135509</v>
      </c>
      <c r="C160" s="6">
        <v>769</v>
      </c>
      <c r="D160" s="41" t="s">
        <v>1981</v>
      </c>
      <c r="E160" s="18" t="s">
        <v>1700</v>
      </c>
      <c r="F160" s="8" t="s">
        <v>1737</v>
      </c>
      <c r="G160" s="5" t="s">
        <v>1031</v>
      </c>
      <c r="H160" s="6" t="s">
        <v>151</v>
      </c>
      <c r="I160" s="8" t="s">
        <v>2025</v>
      </c>
      <c r="J160" s="2">
        <v>43959</v>
      </c>
      <c r="K160" s="2">
        <v>44781</v>
      </c>
      <c r="L160" s="17">
        <f t="shared" si="93"/>
        <v>85.000001093049093</v>
      </c>
      <c r="M160" s="5">
        <v>4</v>
      </c>
      <c r="N160" s="5" t="s">
        <v>232</v>
      </c>
      <c r="O160" s="6" t="s">
        <v>582</v>
      </c>
      <c r="P160" s="6" t="s">
        <v>174</v>
      </c>
      <c r="Q160" s="5" t="s">
        <v>1713</v>
      </c>
      <c r="R160" s="9">
        <f t="shared" si="94"/>
        <v>777641.21</v>
      </c>
      <c r="S160" s="89">
        <v>777641.21</v>
      </c>
      <c r="T160" s="89">
        <v>0</v>
      </c>
      <c r="U160" s="4">
        <f t="shared" si="95"/>
        <v>118933.35</v>
      </c>
      <c r="V160" s="54">
        <v>118933.35</v>
      </c>
      <c r="W160" s="54">
        <v>0</v>
      </c>
      <c r="X160" s="4">
        <f t="shared" si="96"/>
        <v>18297.439999999999</v>
      </c>
      <c r="Y160" s="9">
        <v>18297.439999999999</v>
      </c>
      <c r="Z160" s="1">
        <v>0</v>
      </c>
      <c r="AA160" s="9">
        <f t="shared" si="97"/>
        <v>0</v>
      </c>
      <c r="AB160" s="1">
        <v>0</v>
      </c>
      <c r="AC160" s="1">
        <v>0</v>
      </c>
      <c r="AD160" s="45">
        <f t="shared" si="80"/>
        <v>914871.99999999988</v>
      </c>
      <c r="AE160" s="12">
        <v>0</v>
      </c>
      <c r="AF160" s="9">
        <f t="shared" si="98"/>
        <v>914871.99999999988</v>
      </c>
      <c r="AG160" s="60" t="s">
        <v>515</v>
      </c>
      <c r="AH160" s="110" t="s">
        <v>2156</v>
      </c>
      <c r="AI160" s="1">
        <f>13554.11+150600.21</f>
        <v>164154.32</v>
      </c>
      <c r="AJ160" s="1">
        <f>2072.97+23032.98</f>
        <v>25105.95</v>
      </c>
    </row>
    <row r="161" spans="1:37" ht="141.75" x14ac:dyDescent="0.25">
      <c r="A161" s="5">
        <f t="shared" si="81"/>
        <v>158</v>
      </c>
      <c r="B161" s="16">
        <v>111237</v>
      </c>
      <c r="C161" s="6">
        <v>124</v>
      </c>
      <c r="D161" s="41" t="s">
        <v>1981</v>
      </c>
      <c r="E161" s="18" t="s">
        <v>278</v>
      </c>
      <c r="F161" s="8" t="s">
        <v>450</v>
      </c>
      <c r="G161" s="5" t="s">
        <v>1475</v>
      </c>
      <c r="H161" s="5" t="s">
        <v>151</v>
      </c>
      <c r="I161" s="42" t="s">
        <v>451</v>
      </c>
      <c r="J161" s="2">
        <v>43145</v>
      </c>
      <c r="K161" s="2">
        <v>43783</v>
      </c>
      <c r="L161" s="17">
        <f t="shared" ref="L161:L165" si="99">R161/AD161*100</f>
        <v>85.000000000000014</v>
      </c>
      <c r="M161" s="5">
        <v>7</v>
      </c>
      <c r="N161" s="28" t="s">
        <v>223</v>
      </c>
      <c r="O161" s="5" t="s">
        <v>218</v>
      </c>
      <c r="P161" s="3" t="s">
        <v>174</v>
      </c>
      <c r="Q161" s="5" t="s">
        <v>34</v>
      </c>
      <c r="R161" s="149">
        <f t="shared" ref="R161:R165" si="100">S161+T161</f>
        <v>306686.8</v>
      </c>
      <c r="S161" s="89">
        <v>306686.8</v>
      </c>
      <c r="T161" s="150">
        <v>0</v>
      </c>
      <c r="U161" s="4">
        <f t="shared" si="95"/>
        <v>46905.04</v>
      </c>
      <c r="V161" s="54">
        <v>46905.04</v>
      </c>
      <c r="W161" s="54">
        <v>0</v>
      </c>
      <c r="X161" s="4">
        <f t="shared" si="96"/>
        <v>7216.16</v>
      </c>
      <c r="Y161" s="9">
        <v>7216.16</v>
      </c>
      <c r="Z161" s="9">
        <v>0</v>
      </c>
      <c r="AA161" s="9">
        <f t="shared" ref="AA161:AA165" si="101">AB161+AC161</f>
        <v>0</v>
      </c>
      <c r="AB161" s="9">
        <v>0</v>
      </c>
      <c r="AC161" s="9">
        <v>0</v>
      </c>
      <c r="AD161" s="45">
        <f t="shared" si="80"/>
        <v>360807.99999999994</v>
      </c>
      <c r="AE161" s="9">
        <v>0</v>
      </c>
      <c r="AF161" s="9">
        <f t="shared" ref="AF161:AF165" si="102">AD161+AE161</f>
        <v>360807.99999999994</v>
      </c>
      <c r="AG161" s="50" t="s">
        <v>966</v>
      </c>
      <c r="AH161" s="14" t="s">
        <v>1473</v>
      </c>
      <c r="AI161" s="1">
        <v>194851.21</v>
      </c>
      <c r="AJ161" s="1">
        <v>29800.81</v>
      </c>
      <c r="AK161" s="75"/>
    </row>
    <row r="162" spans="1:37" ht="259.5" customHeight="1" x14ac:dyDescent="0.25">
      <c r="A162" s="5">
        <f t="shared" si="81"/>
        <v>159</v>
      </c>
      <c r="B162" s="16">
        <v>126548</v>
      </c>
      <c r="C162" s="5">
        <v>533</v>
      </c>
      <c r="D162" s="41" t="s">
        <v>1981</v>
      </c>
      <c r="E162" s="18" t="s">
        <v>1018</v>
      </c>
      <c r="F162" s="8" t="s">
        <v>1224</v>
      </c>
      <c r="G162" s="5" t="s">
        <v>1225</v>
      </c>
      <c r="H162" s="8" t="s">
        <v>151</v>
      </c>
      <c r="I162" s="42" t="s">
        <v>1226</v>
      </c>
      <c r="J162" s="2">
        <v>43595</v>
      </c>
      <c r="K162" s="2">
        <v>44449</v>
      </c>
      <c r="L162" s="17">
        <f t="shared" si="99"/>
        <v>85.000007303770332</v>
      </c>
      <c r="M162" s="5">
        <v>7</v>
      </c>
      <c r="N162" s="28" t="s">
        <v>223</v>
      </c>
      <c r="O162" s="28" t="s">
        <v>223</v>
      </c>
      <c r="P162" s="3" t="s">
        <v>174</v>
      </c>
      <c r="Q162" s="5" t="s">
        <v>34</v>
      </c>
      <c r="R162" s="151">
        <f>S162+T162</f>
        <v>436418.46999999991</v>
      </c>
      <c r="S162" s="74">
        <v>436418.46999999991</v>
      </c>
      <c r="T162" s="74">
        <v>0</v>
      </c>
      <c r="U162" s="54">
        <f>V162+W162</f>
        <v>66746.31</v>
      </c>
      <c r="V162" s="74">
        <v>66746.31</v>
      </c>
      <c r="W162" s="74">
        <v>0</v>
      </c>
      <c r="X162" s="54">
        <f>Y162+Z162</f>
        <v>10268.67</v>
      </c>
      <c r="Y162" s="74">
        <v>10268.67</v>
      </c>
      <c r="Z162" s="74">
        <v>0</v>
      </c>
      <c r="AA162" s="54">
        <v>0</v>
      </c>
      <c r="AB162" s="54">
        <v>0</v>
      </c>
      <c r="AC162" s="54">
        <v>0</v>
      </c>
      <c r="AD162" s="45">
        <f t="shared" si="80"/>
        <v>513433.4499999999</v>
      </c>
      <c r="AE162" s="9">
        <v>0</v>
      </c>
      <c r="AF162" s="9">
        <v>513433.4499999999</v>
      </c>
      <c r="AG162" s="60" t="s">
        <v>515</v>
      </c>
      <c r="AH162" s="60" t="s">
        <v>2140</v>
      </c>
      <c r="AI162" s="1">
        <f>86309.8+49942.6+114116.43</f>
        <v>250368.83</v>
      </c>
      <c r="AJ162" s="1">
        <f>13200.3+7638.28+17453.1</f>
        <v>38291.679999999993</v>
      </c>
    </row>
    <row r="163" spans="1:37" ht="259.5" customHeight="1" x14ac:dyDescent="0.25">
      <c r="A163" s="5">
        <f t="shared" si="81"/>
        <v>160</v>
      </c>
      <c r="B163" s="70">
        <v>128765</v>
      </c>
      <c r="C163" s="6">
        <v>633</v>
      </c>
      <c r="D163" s="41" t="s">
        <v>1981</v>
      </c>
      <c r="E163" s="18" t="s">
        <v>1246</v>
      </c>
      <c r="F163" s="8" t="s">
        <v>1327</v>
      </c>
      <c r="G163" s="5" t="s">
        <v>934</v>
      </c>
      <c r="H163" s="8" t="s">
        <v>362</v>
      </c>
      <c r="I163" s="42" t="s">
        <v>1476</v>
      </c>
      <c r="J163" s="2">
        <v>43647</v>
      </c>
      <c r="K163" s="2">
        <v>44501</v>
      </c>
      <c r="L163" s="17">
        <f t="shared" si="99"/>
        <v>85.000000191241938</v>
      </c>
      <c r="M163" s="5">
        <v>7</v>
      </c>
      <c r="N163" s="28" t="s">
        <v>223</v>
      </c>
      <c r="O163" s="28" t="s">
        <v>1328</v>
      </c>
      <c r="P163" s="3" t="s">
        <v>174</v>
      </c>
      <c r="Q163" s="5" t="s">
        <v>34</v>
      </c>
      <c r="R163" s="149">
        <f t="shared" si="100"/>
        <v>2222316.08</v>
      </c>
      <c r="S163" s="1">
        <v>2222316.08</v>
      </c>
      <c r="T163" s="57">
        <v>0</v>
      </c>
      <c r="U163" s="4">
        <f t="shared" si="95"/>
        <v>339883.63</v>
      </c>
      <c r="V163" s="71">
        <v>339883.63</v>
      </c>
      <c r="W163" s="71">
        <v>0</v>
      </c>
      <c r="X163" s="4">
        <f t="shared" si="96"/>
        <v>52289.79</v>
      </c>
      <c r="Y163" s="82">
        <v>52289.79</v>
      </c>
      <c r="Z163" s="82">
        <v>0</v>
      </c>
      <c r="AA163" s="9">
        <f t="shared" si="101"/>
        <v>0</v>
      </c>
      <c r="AB163" s="57">
        <v>0</v>
      </c>
      <c r="AC163" s="57">
        <v>0</v>
      </c>
      <c r="AD163" s="45">
        <f t="shared" si="80"/>
        <v>2614489.5</v>
      </c>
      <c r="AE163" s="9">
        <v>0</v>
      </c>
      <c r="AF163" s="9">
        <f t="shared" si="102"/>
        <v>2614489.5</v>
      </c>
      <c r="AG163" s="60" t="s">
        <v>515</v>
      </c>
      <c r="AH163" s="12"/>
      <c r="AI163" s="1">
        <f>57017.37+1947946.74</f>
        <v>2004964.11</v>
      </c>
      <c r="AJ163" s="1">
        <f>8135.13+297921.27</f>
        <v>306056.40000000002</v>
      </c>
    </row>
    <row r="164" spans="1:37" ht="259.5" customHeight="1" x14ac:dyDescent="0.25">
      <c r="A164" s="5">
        <f t="shared" si="81"/>
        <v>161</v>
      </c>
      <c r="B164" s="70">
        <v>129281</v>
      </c>
      <c r="C164" s="6">
        <v>658</v>
      </c>
      <c r="D164" s="41" t="s">
        <v>1981</v>
      </c>
      <c r="E164" s="18" t="s">
        <v>1246</v>
      </c>
      <c r="F164" s="8" t="s">
        <v>1474</v>
      </c>
      <c r="G164" s="5" t="s">
        <v>1475</v>
      </c>
      <c r="H164" s="8" t="s">
        <v>362</v>
      </c>
      <c r="I164" s="42" t="s">
        <v>1477</v>
      </c>
      <c r="J164" s="2">
        <v>43710</v>
      </c>
      <c r="K164" s="2">
        <v>44532</v>
      </c>
      <c r="L164" s="17">
        <f t="shared" si="99"/>
        <v>85.000000187352825</v>
      </c>
      <c r="M164" s="5">
        <v>7</v>
      </c>
      <c r="N164" s="28" t="s">
        <v>223</v>
      </c>
      <c r="O164" s="28" t="s">
        <v>218</v>
      </c>
      <c r="P164" s="3" t="s">
        <v>174</v>
      </c>
      <c r="Q164" s="5" t="s">
        <v>34</v>
      </c>
      <c r="R164" s="149">
        <f t="shared" si="100"/>
        <v>2495291.94</v>
      </c>
      <c r="S164" s="1">
        <v>2495291.94</v>
      </c>
      <c r="T164" s="57">
        <v>0</v>
      </c>
      <c r="U164" s="4">
        <f t="shared" si="95"/>
        <v>381632.89</v>
      </c>
      <c r="V164" s="71">
        <v>381632.89</v>
      </c>
      <c r="W164" s="71">
        <v>0</v>
      </c>
      <c r="X164" s="4">
        <f t="shared" si="96"/>
        <v>58712.74</v>
      </c>
      <c r="Y164" s="82">
        <v>58712.74</v>
      </c>
      <c r="Z164" s="82">
        <v>0</v>
      </c>
      <c r="AA164" s="9">
        <f t="shared" si="101"/>
        <v>0</v>
      </c>
      <c r="AB164" s="57">
        <v>0</v>
      </c>
      <c r="AC164" s="57">
        <v>0</v>
      </c>
      <c r="AD164" s="45">
        <f t="shared" si="80"/>
        <v>2935637.5700000003</v>
      </c>
      <c r="AE164" s="9">
        <v>0</v>
      </c>
      <c r="AF164" s="9">
        <f t="shared" si="102"/>
        <v>2935637.5700000003</v>
      </c>
      <c r="AG164" s="60" t="s">
        <v>515</v>
      </c>
      <c r="AH164" s="12"/>
      <c r="AI164" s="1">
        <v>505.75</v>
      </c>
      <c r="AJ164" s="1">
        <v>77.349999999999994</v>
      </c>
    </row>
    <row r="165" spans="1:37" ht="187.5" customHeight="1" x14ac:dyDescent="0.25">
      <c r="A165" s="5">
        <f t="shared" si="81"/>
        <v>162</v>
      </c>
      <c r="B165" s="70">
        <v>135297</v>
      </c>
      <c r="C165" s="6">
        <v>797</v>
      </c>
      <c r="D165" s="41" t="s">
        <v>1981</v>
      </c>
      <c r="E165" s="18" t="s">
        <v>1700</v>
      </c>
      <c r="F165" s="8" t="s">
        <v>1810</v>
      </c>
      <c r="G165" s="5" t="s">
        <v>1811</v>
      </c>
      <c r="H165" s="8" t="s">
        <v>362</v>
      </c>
      <c r="I165" s="42" t="s">
        <v>1812</v>
      </c>
      <c r="J165" s="2">
        <v>43987</v>
      </c>
      <c r="K165" s="2">
        <v>44778</v>
      </c>
      <c r="L165" s="17">
        <f t="shared" si="99"/>
        <v>85.000000104918257</v>
      </c>
      <c r="M165" s="5">
        <v>7</v>
      </c>
      <c r="N165" s="28" t="s">
        <v>223</v>
      </c>
      <c r="O165" s="28" t="s">
        <v>1813</v>
      </c>
      <c r="P165" s="3" t="s">
        <v>174</v>
      </c>
      <c r="Q165" s="5" t="s">
        <v>34</v>
      </c>
      <c r="R165" s="149">
        <f t="shared" si="100"/>
        <v>2430463.5</v>
      </c>
      <c r="S165" s="1">
        <v>2430463.5</v>
      </c>
      <c r="T165" s="57">
        <v>0</v>
      </c>
      <c r="U165" s="4">
        <f t="shared" si="95"/>
        <v>371717.94</v>
      </c>
      <c r="V165" s="71">
        <v>371717.94</v>
      </c>
      <c r="W165" s="71">
        <v>0</v>
      </c>
      <c r="X165" s="4">
        <f t="shared" si="96"/>
        <v>57187.38</v>
      </c>
      <c r="Y165" s="82">
        <v>57187.38</v>
      </c>
      <c r="Z165" s="82">
        <v>0</v>
      </c>
      <c r="AA165" s="9">
        <f t="shared" si="101"/>
        <v>0</v>
      </c>
      <c r="AB165" s="71">
        <v>0</v>
      </c>
      <c r="AC165" s="71">
        <v>0</v>
      </c>
      <c r="AD165" s="45">
        <f t="shared" si="80"/>
        <v>2859368.82</v>
      </c>
      <c r="AE165" s="9">
        <v>0</v>
      </c>
      <c r="AF165" s="9">
        <f t="shared" si="102"/>
        <v>2859368.82</v>
      </c>
      <c r="AG165" s="60" t="s">
        <v>515</v>
      </c>
      <c r="AH165" s="12"/>
      <c r="AI165" s="1">
        <v>0</v>
      </c>
      <c r="AJ165" s="1">
        <v>0</v>
      </c>
    </row>
    <row r="166" spans="1:37" ht="173.25" x14ac:dyDescent="0.25">
      <c r="A166" s="5">
        <f t="shared" si="81"/>
        <v>163</v>
      </c>
      <c r="B166" s="16">
        <v>120617</v>
      </c>
      <c r="C166" s="6">
        <v>79</v>
      </c>
      <c r="D166" s="41" t="s">
        <v>1981</v>
      </c>
      <c r="E166" s="18" t="s">
        <v>278</v>
      </c>
      <c r="F166" s="18" t="s">
        <v>211</v>
      </c>
      <c r="G166" s="16" t="s">
        <v>212</v>
      </c>
      <c r="H166" s="5" t="s">
        <v>151</v>
      </c>
      <c r="I166" s="42" t="s">
        <v>215</v>
      </c>
      <c r="J166" s="2">
        <v>43145</v>
      </c>
      <c r="K166" s="2">
        <v>43630</v>
      </c>
      <c r="L166" s="17">
        <f t="shared" ref="L166:L178" si="103">R166/AD166*100</f>
        <v>84.999999644441075</v>
      </c>
      <c r="M166" s="5">
        <v>5</v>
      </c>
      <c r="N166" s="5" t="s">
        <v>221</v>
      </c>
      <c r="O166" s="5" t="s">
        <v>216</v>
      </c>
      <c r="P166" s="3" t="s">
        <v>174</v>
      </c>
      <c r="Q166" s="5" t="s">
        <v>34</v>
      </c>
      <c r="R166" s="9">
        <f>S166+T166</f>
        <v>358590.34</v>
      </c>
      <c r="S166" s="89">
        <v>358590.34</v>
      </c>
      <c r="T166" s="9">
        <v>0</v>
      </c>
      <c r="U166" s="4">
        <f t="shared" ref="U166:U178" si="104">V166+W166</f>
        <v>54843.23</v>
      </c>
      <c r="V166" s="131">
        <v>54843.23</v>
      </c>
      <c r="W166" s="54">
        <v>0</v>
      </c>
      <c r="X166" s="4">
        <f t="shared" ref="X166:X178" si="105">Y166+Z166</f>
        <v>8437.42</v>
      </c>
      <c r="Y166" s="89">
        <v>8437.42</v>
      </c>
      <c r="Z166" s="4">
        <v>0</v>
      </c>
      <c r="AA166" s="9">
        <f t="shared" ref="AA166:AA178" si="106">AB166+AC166</f>
        <v>0</v>
      </c>
      <c r="AB166" s="9">
        <v>0</v>
      </c>
      <c r="AC166" s="9">
        <v>0</v>
      </c>
      <c r="AD166" s="45">
        <f t="shared" si="80"/>
        <v>421870.99</v>
      </c>
      <c r="AE166" s="9">
        <v>0</v>
      </c>
      <c r="AF166" s="9">
        <f t="shared" ref="AF166:AF178" si="107">AD166+AE166</f>
        <v>421870.99</v>
      </c>
      <c r="AG166" s="50" t="s">
        <v>966</v>
      </c>
      <c r="AH166" s="14" t="s">
        <v>151</v>
      </c>
      <c r="AI166" s="1">
        <v>257973.22999999998</v>
      </c>
      <c r="AJ166" s="1">
        <v>39454.700000000004</v>
      </c>
    </row>
    <row r="167" spans="1:37" ht="141.75" x14ac:dyDescent="0.25">
      <c r="A167" s="5">
        <f t="shared" si="81"/>
        <v>164</v>
      </c>
      <c r="B167" s="70">
        <v>118193</v>
      </c>
      <c r="C167" s="6">
        <v>424</v>
      </c>
      <c r="D167" s="8" t="s">
        <v>1982</v>
      </c>
      <c r="E167" s="18" t="s">
        <v>540</v>
      </c>
      <c r="F167" s="18" t="s">
        <v>639</v>
      </c>
      <c r="G167" s="16" t="s">
        <v>640</v>
      </c>
      <c r="H167" s="5" t="s">
        <v>151</v>
      </c>
      <c r="I167" s="8" t="s">
        <v>709</v>
      </c>
      <c r="J167" s="2">
        <v>43285</v>
      </c>
      <c r="K167" s="2">
        <v>43773</v>
      </c>
      <c r="L167" s="17">
        <f t="shared" si="103"/>
        <v>85.000000000000014</v>
      </c>
      <c r="M167" s="6">
        <v>5</v>
      </c>
      <c r="N167" s="5" t="s">
        <v>641</v>
      </c>
      <c r="O167" s="5" t="s">
        <v>642</v>
      </c>
      <c r="P167" s="5" t="s">
        <v>174</v>
      </c>
      <c r="Q167" s="5" t="s">
        <v>34</v>
      </c>
      <c r="R167" s="9">
        <v>239111.8</v>
      </c>
      <c r="S167" s="73">
        <v>239111.8</v>
      </c>
      <c r="T167" s="57">
        <v>0</v>
      </c>
      <c r="U167" s="4">
        <f t="shared" si="104"/>
        <v>36570.04</v>
      </c>
      <c r="V167" s="74">
        <v>36570.04</v>
      </c>
      <c r="W167" s="71"/>
      <c r="X167" s="4">
        <f t="shared" si="105"/>
        <v>5626.16</v>
      </c>
      <c r="Y167" s="1">
        <v>5626.16</v>
      </c>
      <c r="Z167" s="82">
        <v>0</v>
      </c>
      <c r="AA167" s="9">
        <f t="shared" si="106"/>
        <v>0</v>
      </c>
      <c r="AB167" s="9">
        <v>0</v>
      </c>
      <c r="AC167" s="9">
        <v>0</v>
      </c>
      <c r="AD167" s="45">
        <f t="shared" si="80"/>
        <v>281307.99999999994</v>
      </c>
      <c r="AE167" s="12"/>
      <c r="AF167" s="9">
        <f t="shared" si="107"/>
        <v>281307.99999999994</v>
      </c>
      <c r="AG167" s="50" t="s">
        <v>966</v>
      </c>
      <c r="AH167" s="12"/>
      <c r="AI167" s="1">
        <v>185666.26</v>
      </c>
      <c r="AJ167" s="1">
        <v>28396.000000000004</v>
      </c>
    </row>
    <row r="168" spans="1:37" ht="204.75" x14ac:dyDescent="0.25">
      <c r="A168" s="5">
        <f t="shared" si="81"/>
        <v>165</v>
      </c>
      <c r="B168" s="16">
        <v>117483</v>
      </c>
      <c r="C168" s="16">
        <v>412</v>
      </c>
      <c r="D168" s="8" t="s">
        <v>1982</v>
      </c>
      <c r="E168" s="18" t="s">
        <v>540</v>
      </c>
      <c r="F168" s="18" t="s">
        <v>777</v>
      </c>
      <c r="G168" s="33" t="s">
        <v>212</v>
      </c>
      <c r="H168" s="5" t="s">
        <v>151</v>
      </c>
      <c r="I168" s="8" t="s">
        <v>778</v>
      </c>
      <c r="J168" s="2">
        <v>43314</v>
      </c>
      <c r="K168" s="2">
        <v>43679</v>
      </c>
      <c r="L168" s="17">
        <f t="shared" si="103"/>
        <v>85.000000000000014</v>
      </c>
      <c r="M168" s="6">
        <v>5</v>
      </c>
      <c r="N168" s="5" t="s">
        <v>641</v>
      </c>
      <c r="O168" s="5" t="s">
        <v>216</v>
      </c>
      <c r="P168" s="3" t="s">
        <v>174</v>
      </c>
      <c r="Q168" s="5" t="s">
        <v>34</v>
      </c>
      <c r="R168" s="9">
        <v>242732.46</v>
      </c>
      <c r="S168" s="72">
        <f>R168</f>
        <v>242732.46</v>
      </c>
      <c r="T168" s="9">
        <v>0</v>
      </c>
      <c r="U168" s="4">
        <f t="shared" si="104"/>
        <v>37123.78</v>
      </c>
      <c r="V168" s="85">
        <v>37123.78</v>
      </c>
      <c r="W168" s="54">
        <v>0</v>
      </c>
      <c r="X168" s="4">
        <f t="shared" si="105"/>
        <v>5711.36</v>
      </c>
      <c r="Y168" s="72">
        <v>5711.36</v>
      </c>
      <c r="Z168" s="4">
        <v>0</v>
      </c>
      <c r="AA168" s="9">
        <f t="shared" si="106"/>
        <v>0</v>
      </c>
      <c r="AB168" s="9">
        <v>0</v>
      </c>
      <c r="AC168" s="9">
        <v>0</v>
      </c>
      <c r="AD168" s="45">
        <f t="shared" si="80"/>
        <v>285567.59999999998</v>
      </c>
      <c r="AE168" s="9">
        <v>0</v>
      </c>
      <c r="AF168" s="9">
        <f t="shared" si="107"/>
        <v>285567.59999999998</v>
      </c>
      <c r="AG168" s="50" t="s">
        <v>966</v>
      </c>
      <c r="AH168" s="14" t="s">
        <v>151</v>
      </c>
      <c r="AI168" s="1">
        <v>231572.1</v>
      </c>
      <c r="AJ168" s="1">
        <v>35416.890000000014</v>
      </c>
      <c r="AK168" s="152"/>
    </row>
    <row r="169" spans="1:37" ht="141.75" x14ac:dyDescent="0.25">
      <c r="A169" s="5">
        <f t="shared" si="81"/>
        <v>166</v>
      </c>
      <c r="B169" s="16">
        <v>126237</v>
      </c>
      <c r="C169" s="6">
        <v>529</v>
      </c>
      <c r="D169" s="41" t="s">
        <v>1981</v>
      </c>
      <c r="E169" s="5" t="s">
        <v>1018</v>
      </c>
      <c r="F169" s="8" t="s">
        <v>1075</v>
      </c>
      <c r="G169" s="5" t="s">
        <v>1060</v>
      </c>
      <c r="H169" s="5" t="s">
        <v>151</v>
      </c>
      <c r="I169" s="77" t="s">
        <v>1076</v>
      </c>
      <c r="J169" s="2">
        <v>43446</v>
      </c>
      <c r="K169" s="2">
        <v>44177</v>
      </c>
      <c r="L169" s="17">
        <f t="shared" si="103"/>
        <v>85.000000000000014</v>
      </c>
      <c r="M169" s="5">
        <v>5</v>
      </c>
      <c r="N169" s="5" t="s">
        <v>641</v>
      </c>
      <c r="O169" s="5" t="s">
        <v>641</v>
      </c>
      <c r="P169" s="3" t="s">
        <v>174</v>
      </c>
      <c r="Q169" s="5" t="s">
        <v>34</v>
      </c>
      <c r="R169" s="9">
        <f t="shared" ref="R169:R178" si="108">S169+T169</f>
        <v>2072800.65</v>
      </c>
      <c r="S169" s="89">
        <v>2072800.65</v>
      </c>
      <c r="T169" s="9">
        <v>0</v>
      </c>
      <c r="U169" s="4">
        <f t="shared" si="104"/>
        <v>317016.56999999995</v>
      </c>
      <c r="V169" s="54">
        <v>317016.56999999995</v>
      </c>
      <c r="W169" s="54">
        <v>0</v>
      </c>
      <c r="X169" s="4">
        <f t="shared" si="105"/>
        <v>48771.78</v>
      </c>
      <c r="Y169" s="9">
        <v>48771.78</v>
      </c>
      <c r="Z169" s="9">
        <v>0</v>
      </c>
      <c r="AA169" s="9">
        <f t="shared" si="106"/>
        <v>0</v>
      </c>
      <c r="AB169" s="9">
        <v>0</v>
      </c>
      <c r="AC169" s="9">
        <v>0</v>
      </c>
      <c r="AD169" s="45">
        <f t="shared" si="80"/>
        <v>2438588.9999999995</v>
      </c>
      <c r="AE169" s="9">
        <v>0</v>
      </c>
      <c r="AF169" s="9">
        <f t="shared" si="107"/>
        <v>2438588.9999999995</v>
      </c>
      <c r="AG169" s="60" t="s">
        <v>966</v>
      </c>
      <c r="AH169" s="14" t="s">
        <v>151</v>
      </c>
      <c r="AI169" s="1">
        <f>1135968.56+22786.8+371374.35+170009.35</f>
        <v>1700139.06</v>
      </c>
      <c r="AJ169" s="1">
        <f>173736.37+3485.04+56798.43+26001.43</f>
        <v>260021.27</v>
      </c>
    </row>
    <row r="170" spans="1:37" ht="156" customHeight="1" x14ac:dyDescent="0.25">
      <c r="A170" s="5">
        <f t="shared" si="81"/>
        <v>167</v>
      </c>
      <c r="B170" s="70">
        <v>126422</v>
      </c>
      <c r="C170" s="6">
        <v>536</v>
      </c>
      <c r="D170" s="41" t="s">
        <v>1981</v>
      </c>
      <c r="E170" s="5" t="s">
        <v>1018</v>
      </c>
      <c r="F170" s="8" t="s">
        <v>1196</v>
      </c>
      <c r="G170" s="28" t="s">
        <v>640</v>
      </c>
      <c r="H170" s="124" t="s">
        <v>1197</v>
      </c>
      <c r="I170" s="77" t="s">
        <v>1198</v>
      </c>
      <c r="J170" s="2">
        <v>43556</v>
      </c>
      <c r="K170" s="2">
        <v>44652</v>
      </c>
      <c r="L170" s="17">
        <f t="shared" si="103"/>
        <v>84.449828692364051</v>
      </c>
      <c r="M170" s="5">
        <v>5</v>
      </c>
      <c r="N170" s="5" t="s">
        <v>641</v>
      </c>
      <c r="O170" s="6" t="s">
        <v>642</v>
      </c>
      <c r="P170" s="3" t="s">
        <v>174</v>
      </c>
      <c r="Q170" s="5" t="s">
        <v>34</v>
      </c>
      <c r="R170" s="9">
        <f t="shared" si="108"/>
        <v>3195443.02</v>
      </c>
      <c r="S170" s="1">
        <v>3195443.02</v>
      </c>
      <c r="T170" s="1">
        <v>0</v>
      </c>
      <c r="U170" s="4">
        <f t="shared" si="104"/>
        <v>512716.26</v>
      </c>
      <c r="V170" s="74">
        <v>512716.26</v>
      </c>
      <c r="W170" s="54">
        <v>0</v>
      </c>
      <c r="X170" s="4">
        <f t="shared" si="105"/>
        <v>51185.440000000002</v>
      </c>
      <c r="Y170" s="1">
        <v>51185.440000000002</v>
      </c>
      <c r="Z170" s="1">
        <v>0</v>
      </c>
      <c r="AA170" s="9">
        <f t="shared" si="106"/>
        <v>24491.279999999999</v>
      </c>
      <c r="AB170" s="1">
        <v>24491.279999999999</v>
      </c>
      <c r="AC170" s="57">
        <v>0</v>
      </c>
      <c r="AD170" s="45">
        <f t="shared" si="80"/>
        <v>3783836</v>
      </c>
      <c r="AE170" s="9">
        <v>0</v>
      </c>
      <c r="AF170" s="9">
        <f t="shared" si="107"/>
        <v>3783836</v>
      </c>
      <c r="AG170" s="60" t="s">
        <v>515</v>
      </c>
      <c r="AH170" s="14" t="s">
        <v>2185</v>
      </c>
      <c r="AI170" s="1">
        <f>297354.9+119241.06-4498.53+225425.62+116929.56+16351.81+266529.22+121365.47</f>
        <v>1158699.1100000001</v>
      </c>
      <c r="AJ170" s="1">
        <f>48764.85+1616.42+20029.95+39781+22699.08+26424.14+21924.92</f>
        <v>181240.36</v>
      </c>
    </row>
    <row r="171" spans="1:37" ht="379.5" customHeight="1" x14ac:dyDescent="0.25">
      <c r="A171" s="5">
        <f t="shared" si="81"/>
        <v>168</v>
      </c>
      <c r="B171" s="70">
        <v>127741</v>
      </c>
      <c r="C171" s="6">
        <v>642</v>
      </c>
      <c r="D171" s="41" t="s">
        <v>1981</v>
      </c>
      <c r="E171" s="5" t="s">
        <v>1246</v>
      </c>
      <c r="F171" s="8" t="s">
        <v>1278</v>
      </c>
      <c r="G171" s="28" t="s">
        <v>1279</v>
      </c>
      <c r="H171" s="124" t="s">
        <v>151</v>
      </c>
      <c r="I171" s="77" t="s">
        <v>1280</v>
      </c>
      <c r="J171" s="2">
        <v>43622</v>
      </c>
      <c r="K171" s="2">
        <v>44445</v>
      </c>
      <c r="L171" s="17">
        <f t="shared" si="103"/>
        <v>85.000000180308987</v>
      </c>
      <c r="M171" s="5">
        <v>5</v>
      </c>
      <c r="N171" s="5" t="s">
        <v>641</v>
      </c>
      <c r="O171" s="6" t="s">
        <v>1281</v>
      </c>
      <c r="P171" s="3" t="s">
        <v>174</v>
      </c>
      <c r="Q171" s="5" t="s">
        <v>34</v>
      </c>
      <c r="R171" s="9">
        <f t="shared" si="108"/>
        <v>2357064.88</v>
      </c>
      <c r="S171" s="1">
        <v>2357064.88</v>
      </c>
      <c r="T171" s="1">
        <v>0</v>
      </c>
      <c r="U171" s="4">
        <f t="shared" si="104"/>
        <v>360492.27</v>
      </c>
      <c r="V171" s="74">
        <v>360492.27</v>
      </c>
      <c r="W171" s="71">
        <v>0</v>
      </c>
      <c r="X171" s="4">
        <f t="shared" si="105"/>
        <v>55460.35</v>
      </c>
      <c r="Y171" s="1">
        <v>55460.35</v>
      </c>
      <c r="Z171" s="1">
        <v>0</v>
      </c>
      <c r="AA171" s="9">
        <f t="shared" si="106"/>
        <v>0</v>
      </c>
      <c r="AB171" s="82"/>
      <c r="AC171" s="57">
        <v>0</v>
      </c>
      <c r="AD171" s="45">
        <f t="shared" si="80"/>
        <v>2773017.5</v>
      </c>
      <c r="AE171" s="9">
        <v>1</v>
      </c>
      <c r="AF171" s="9">
        <f t="shared" si="107"/>
        <v>2773018.5</v>
      </c>
      <c r="AG171" s="60" t="s">
        <v>515</v>
      </c>
      <c r="AH171" s="14" t="s">
        <v>1967</v>
      </c>
      <c r="AI171" s="1">
        <v>1332746.83</v>
      </c>
      <c r="AJ171" s="1">
        <v>203831.86</v>
      </c>
    </row>
    <row r="172" spans="1:37" ht="379.5" customHeight="1" x14ac:dyDescent="0.25">
      <c r="A172" s="5">
        <f t="shared" si="81"/>
        <v>169</v>
      </c>
      <c r="B172" s="70">
        <v>128531</v>
      </c>
      <c r="C172" s="6">
        <v>643</v>
      </c>
      <c r="D172" s="41" t="s">
        <v>1981</v>
      </c>
      <c r="E172" s="5" t="s">
        <v>1246</v>
      </c>
      <c r="F172" s="8" t="s">
        <v>1297</v>
      </c>
      <c r="G172" s="28" t="s">
        <v>1296</v>
      </c>
      <c r="H172" s="124" t="s">
        <v>151</v>
      </c>
      <c r="I172" s="77" t="s">
        <v>1298</v>
      </c>
      <c r="J172" s="2">
        <v>43634</v>
      </c>
      <c r="K172" s="2">
        <v>44548</v>
      </c>
      <c r="L172" s="17">
        <f t="shared" si="103"/>
        <v>85</v>
      </c>
      <c r="M172" s="5">
        <v>5</v>
      </c>
      <c r="N172" s="5" t="s">
        <v>641</v>
      </c>
      <c r="O172" s="6" t="s">
        <v>1299</v>
      </c>
      <c r="P172" s="3" t="s">
        <v>174</v>
      </c>
      <c r="Q172" s="5" t="s">
        <v>34</v>
      </c>
      <c r="R172" s="9">
        <f t="shared" si="108"/>
        <v>2728625.8</v>
      </c>
      <c r="S172" s="82">
        <v>2728625.8</v>
      </c>
      <c r="T172" s="82">
        <v>0</v>
      </c>
      <c r="U172" s="4">
        <f t="shared" si="104"/>
        <v>417319.24</v>
      </c>
      <c r="V172" s="71">
        <v>417319.24</v>
      </c>
      <c r="W172" s="71">
        <v>0</v>
      </c>
      <c r="X172" s="4">
        <f t="shared" si="105"/>
        <v>64202.96</v>
      </c>
      <c r="Y172" s="82">
        <v>64202.96</v>
      </c>
      <c r="Z172" s="82">
        <v>0</v>
      </c>
      <c r="AA172" s="9">
        <f t="shared" si="106"/>
        <v>0</v>
      </c>
      <c r="AB172" s="9">
        <v>0</v>
      </c>
      <c r="AC172" s="9">
        <v>0</v>
      </c>
      <c r="AD172" s="45">
        <f t="shared" si="80"/>
        <v>3210148</v>
      </c>
      <c r="AE172" s="9"/>
      <c r="AF172" s="9">
        <f t="shared" si="107"/>
        <v>3210148</v>
      </c>
      <c r="AG172" s="60" t="s">
        <v>515</v>
      </c>
      <c r="AH172" s="14" t="s">
        <v>2144</v>
      </c>
      <c r="AI172" s="1">
        <f>217687.62+240049.18+215955.25+105468.61+857119.81+199574.05+108838.08+79362.29</f>
        <v>2024054.8900000004</v>
      </c>
      <c r="AJ172" s="1">
        <f>32312.38+36713.4+33028.45+17111.51+131088.92+30523.09+16645.82+12137.76</f>
        <v>309561.33</v>
      </c>
    </row>
    <row r="173" spans="1:37" ht="379.5" customHeight="1" x14ac:dyDescent="0.25">
      <c r="A173" s="5">
        <f t="shared" si="81"/>
        <v>170</v>
      </c>
      <c r="B173" s="70">
        <v>129575</v>
      </c>
      <c r="C173" s="6">
        <v>659</v>
      </c>
      <c r="D173" s="41" t="s">
        <v>1981</v>
      </c>
      <c r="E173" s="5" t="s">
        <v>1246</v>
      </c>
      <c r="F173" s="8" t="s">
        <v>1318</v>
      </c>
      <c r="G173" s="28" t="s">
        <v>1316</v>
      </c>
      <c r="H173" s="124" t="s">
        <v>151</v>
      </c>
      <c r="I173" s="77" t="s">
        <v>1319</v>
      </c>
      <c r="J173" s="2">
        <v>43640</v>
      </c>
      <c r="K173" s="2">
        <v>44432</v>
      </c>
      <c r="L173" s="17">
        <f t="shared" si="103"/>
        <v>84.999999883898255</v>
      </c>
      <c r="M173" s="5">
        <v>5</v>
      </c>
      <c r="N173" s="5" t="s">
        <v>641</v>
      </c>
      <c r="O173" s="6" t="s">
        <v>1317</v>
      </c>
      <c r="P173" s="3" t="s">
        <v>174</v>
      </c>
      <c r="Q173" s="5" t="s">
        <v>34</v>
      </c>
      <c r="R173" s="9">
        <f t="shared" si="108"/>
        <v>2562407.54</v>
      </c>
      <c r="S173" s="82">
        <v>2562407.54</v>
      </c>
      <c r="T173" s="82">
        <v>0</v>
      </c>
      <c r="U173" s="4">
        <f t="shared" si="104"/>
        <v>391897.63</v>
      </c>
      <c r="V173" s="71">
        <v>391897.63</v>
      </c>
      <c r="W173" s="71">
        <v>0</v>
      </c>
      <c r="X173" s="4">
        <f t="shared" si="105"/>
        <v>60291.939999999981</v>
      </c>
      <c r="Y173" s="82">
        <v>60291.939999999981</v>
      </c>
      <c r="Z173" s="82">
        <v>0</v>
      </c>
      <c r="AA173" s="9">
        <f t="shared" si="106"/>
        <v>0</v>
      </c>
      <c r="AB173" s="82">
        <v>0</v>
      </c>
      <c r="AC173" s="82">
        <v>0</v>
      </c>
      <c r="AD173" s="45">
        <f t="shared" si="80"/>
        <v>3014597.11</v>
      </c>
      <c r="AE173" s="9">
        <v>0</v>
      </c>
      <c r="AF173" s="9">
        <f t="shared" si="107"/>
        <v>3014597.11</v>
      </c>
      <c r="AG173" s="60" t="s">
        <v>515</v>
      </c>
      <c r="AH173" s="14" t="s">
        <v>2165</v>
      </c>
      <c r="AI173" s="1">
        <f>649821.42+332457.04-19866.57+315838.48+399197.23+240858.26-28723.66</f>
        <v>1889582.2000000002</v>
      </c>
      <c r="AJ173" s="1">
        <f>50197.04+50846.37+19866.57+25399.72+61053.69+36837.15+28723.66</f>
        <v>272924.2</v>
      </c>
    </row>
    <row r="174" spans="1:37" ht="379.5" customHeight="1" x14ac:dyDescent="0.25">
      <c r="A174" s="5">
        <f t="shared" si="81"/>
        <v>171</v>
      </c>
      <c r="B174" s="5">
        <v>128870</v>
      </c>
      <c r="C174" s="6">
        <v>668</v>
      </c>
      <c r="D174" s="41" t="s">
        <v>1981</v>
      </c>
      <c r="E174" s="18" t="s">
        <v>1246</v>
      </c>
      <c r="F174" s="8" t="s">
        <v>1451</v>
      </c>
      <c r="G174" s="5" t="s">
        <v>212</v>
      </c>
      <c r="H174" s="5" t="s">
        <v>151</v>
      </c>
      <c r="I174" s="42" t="s">
        <v>1452</v>
      </c>
      <c r="J174" s="2">
        <v>43697</v>
      </c>
      <c r="K174" s="2">
        <v>44428</v>
      </c>
      <c r="L174" s="17">
        <f t="shared" si="103"/>
        <v>85.000000000000014</v>
      </c>
      <c r="M174" s="5">
        <v>5</v>
      </c>
      <c r="N174" s="5" t="s">
        <v>641</v>
      </c>
      <c r="O174" s="5" t="s">
        <v>216</v>
      </c>
      <c r="P174" s="3" t="s">
        <v>174</v>
      </c>
      <c r="Q174" s="5" t="s">
        <v>34</v>
      </c>
      <c r="R174" s="4">
        <v>2288366.6000000006</v>
      </c>
      <c r="S174" s="9">
        <v>2288366.6000000006</v>
      </c>
      <c r="T174" s="9">
        <v>0</v>
      </c>
      <c r="U174" s="4">
        <v>349985.48</v>
      </c>
      <c r="V174" s="54">
        <v>349985.48</v>
      </c>
      <c r="W174" s="54">
        <v>0</v>
      </c>
      <c r="X174" s="4">
        <v>53843.92</v>
      </c>
      <c r="Y174" s="9">
        <v>53843.92</v>
      </c>
      <c r="Z174" s="9">
        <v>0</v>
      </c>
      <c r="AA174" s="9">
        <v>0</v>
      </c>
      <c r="AB174" s="9">
        <v>0</v>
      </c>
      <c r="AC174" s="9">
        <v>0</v>
      </c>
      <c r="AD174" s="45">
        <f t="shared" si="80"/>
        <v>2692196.0000000005</v>
      </c>
      <c r="AE174" s="9">
        <v>0</v>
      </c>
      <c r="AF174" s="9">
        <v>2692196.0000000005</v>
      </c>
      <c r="AG174" s="60" t="s">
        <v>515</v>
      </c>
      <c r="AH174" s="14" t="s">
        <v>151</v>
      </c>
      <c r="AI174" s="1">
        <f>246216.09+160994.99-19780.05+275583.18+223439.59+743140.22-32529.53+227704.03-3644.8</f>
        <v>1821123.72</v>
      </c>
      <c r="AJ174" s="1">
        <f>23002.91+12411.49+19780.05+42148.01+37418.04+73296.86+32529.53+17518.55+3644.8</f>
        <v>261750.23999999996</v>
      </c>
    </row>
    <row r="175" spans="1:37" ht="301.5" customHeight="1" x14ac:dyDescent="0.25">
      <c r="A175" s="5">
        <f t="shared" si="81"/>
        <v>172</v>
      </c>
      <c r="B175" s="5">
        <v>128738</v>
      </c>
      <c r="C175" s="6">
        <v>627</v>
      </c>
      <c r="D175" s="41" t="s">
        <v>1981</v>
      </c>
      <c r="E175" s="18" t="s">
        <v>1246</v>
      </c>
      <c r="F175" s="8" t="s">
        <v>1672</v>
      </c>
      <c r="G175" s="5" t="s">
        <v>1780</v>
      </c>
      <c r="H175" s="5" t="s">
        <v>151</v>
      </c>
      <c r="I175" s="42" t="s">
        <v>1674</v>
      </c>
      <c r="J175" s="2">
        <v>43838</v>
      </c>
      <c r="K175" s="2">
        <v>44569</v>
      </c>
      <c r="L175" s="17">
        <f t="shared" si="103"/>
        <v>84.999999882123163</v>
      </c>
      <c r="M175" s="5">
        <v>5</v>
      </c>
      <c r="N175" s="5" t="s">
        <v>641</v>
      </c>
      <c r="O175" s="5" t="s">
        <v>1673</v>
      </c>
      <c r="P175" s="3" t="s">
        <v>174</v>
      </c>
      <c r="Q175" s="5" t="s">
        <v>34</v>
      </c>
      <c r="R175" s="4">
        <f t="shared" si="108"/>
        <v>1802729.17</v>
      </c>
      <c r="S175" s="9">
        <v>1802729.17</v>
      </c>
      <c r="T175" s="9">
        <v>0</v>
      </c>
      <c r="U175" s="4">
        <f t="shared" si="104"/>
        <v>275711.53999999998</v>
      </c>
      <c r="V175" s="54">
        <v>275711.53999999998</v>
      </c>
      <c r="W175" s="54">
        <v>0</v>
      </c>
      <c r="X175" s="4">
        <f t="shared" si="105"/>
        <v>42417.14</v>
      </c>
      <c r="Y175" s="9">
        <v>42417.14</v>
      </c>
      <c r="Z175" s="9">
        <v>0</v>
      </c>
      <c r="AA175" s="9">
        <f t="shared" si="106"/>
        <v>0</v>
      </c>
      <c r="AB175" s="9">
        <v>0</v>
      </c>
      <c r="AC175" s="9">
        <v>0</v>
      </c>
      <c r="AD175" s="45">
        <f t="shared" si="80"/>
        <v>2120857.85</v>
      </c>
      <c r="AE175" s="9">
        <v>0</v>
      </c>
      <c r="AF175" s="9">
        <f t="shared" si="107"/>
        <v>2120857.85</v>
      </c>
      <c r="AG175" s="60" t="s">
        <v>515</v>
      </c>
      <c r="AH175" s="14" t="s">
        <v>151</v>
      </c>
      <c r="AI175" s="1">
        <f>112000-9678.11+77447.46+267216.34+620115.86+71682.9+448633.63+54519.85</f>
        <v>1641937.9300000002</v>
      </c>
      <c r="AJ175" s="1">
        <f>9678.11+4051.32+40868.39+94841.24+10045.62+68614.55+8338.33</f>
        <v>236437.55999999997</v>
      </c>
    </row>
    <row r="176" spans="1:37" ht="212.25" customHeight="1" x14ac:dyDescent="0.25">
      <c r="A176" s="5">
        <f t="shared" si="81"/>
        <v>173</v>
      </c>
      <c r="B176" s="5">
        <v>135237</v>
      </c>
      <c r="C176" s="6">
        <v>793</v>
      </c>
      <c r="D176" s="41" t="s">
        <v>1981</v>
      </c>
      <c r="E176" s="18" t="s">
        <v>1700</v>
      </c>
      <c r="F176" s="8" t="s">
        <v>1709</v>
      </c>
      <c r="G176" s="5" t="s">
        <v>640</v>
      </c>
      <c r="H176" s="5" t="s">
        <v>151</v>
      </c>
      <c r="I176" s="42" t="s">
        <v>1710</v>
      </c>
      <c r="J176" s="2">
        <v>43949</v>
      </c>
      <c r="K176" s="2">
        <v>44854</v>
      </c>
      <c r="L176" s="17">
        <f t="shared" si="103"/>
        <v>84.999999628092681</v>
      </c>
      <c r="M176" s="5">
        <v>5</v>
      </c>
      <c r="N176" s="5" t="s">
        <v>641</v>
      </c>
      <c r="O176" s="5" t="s">
        <v>642</v>
      </c>
      <c r="P176" s="3" t="s">
        <v>174</v>
      </c>
      <c r="Q176" s="5" t="s">
        <v>34</v>
      </c>
      <c r="R176" s="4">
        <f t="shared" si="108"/>
        <v>2399791.5</v>
      </c>
      <c r="S176" s="9">
        <v>2399791.5</v>
      </c>
      <c r="T176" s="9">
        <v>0</v>
      </c>
      <c r="U176" s="4">
        <f t="shared" si="104"/>
        <v>367026.95</v>
      </c>
      <c r="V176" s="54">
        <v>367026.95</v>
      </c>
      <c r="W176" s="54">
        <v>0</v>
      </c>
      <c r="X176" s="4">
        <f t="shared" si="105"/>
        <v>56465.68</v>
      </c>
      <c r="Y176" s="9">
        <v>56465.68</v>
      </c>
      <c r="Z176" s="9">
        <v>0</v>
      </c>
      <c r="AA176" s="9">
        <f t="shared" si="106"/>
        <v>0</v>
      </c>
      <c r="AB176" s="9">
        <v>0</v>
      </c>
      <c r="AC176" s="9">
        <v>0</v>
      </c>
      <c r="AD176" s="45">
        <f t="shared" si="80"/>
        <v>2823284.1300000004</v>
      </c>
      <c r="AE176" s="9">
        <v>0</v>
      </c>
      <c r="AF176" s="9">
        <f t="shared" si="107"/>
        <v>2823284.1300000004</v>
      </c>
      <c r="AG176" s="60" t="s">
        <v>515</v>
      </c>
      <c r="AH176" s="14" t="s">
        <v>151</v>
      </c>
      <c r="AI176" s="1">
        <f>282328.41-3301.74-10148.36</f>
        <v>268878.31</v>
      </c>
      <c r="AJ176" s="1">
        <f>3301.74+10148.36</f>
        <v>13450.1</v>
      </c>
    </row>
    <row r="177" spans="1:36" ht="204.75" x14ac:dyDescent="0.25">
      <c r="A177" s="5">
        <f t="shared" si="81"/>
        <v>174</v>
      </c>
      <c r="B177" s="5">
        <v>136172</v>
      </c>
      <c r="C177" s="6">
        <v>798</v>
      </c>
      <c r="D177" s="41" t="s">
        <v>1981</v>
      </c>
      <c r="E177" s="18" t="s">
        <v>1700</v>
      </c>
      <c r="F177" s="8" t="s">
        <v>1779</v>
      </c>
      <c r="G177" s="5" t="s">
        <v>1780</v>
      </c>
      <c r="H177" s="5" t="s">
        <v>151</v>
      </c>
      <c r="I177" s="42" t="s">
        <v>1781</v>
      </c>
      <c r="J177" s="2">
        <v>43969</v>
      </c>
      <c r="K177" s="2">
        <v>44699</v>
      </c>
      <c r="L177" s="17">
        <f t="shared" si="103"/>
        <v>85.000000403987528</v>
      </c>
      <c r="M177" s="5">
        <v>5</v>
      </c>
      <c r="N177" s="5" t="s">
        <v>641</v>
      </c>
      <c r="O177" s="5" t="s">
        <v>1673</v>
      </c>
      <c r="P177" s="3" t="s">
        <v>174</v>
      </c>
      <c r="Q177" s="5" t="s">
        <v>34</v>
      </c>
      <c r="R177" s="4">
        <f t="shared" si="108"/>
        <v>3156038.03</v>
      </c>
      <c r="S177" s="9">
        <v>3156038.03</v>
      </c>
      <c r="T177" s="9">
        <v>0</v>
      </c>
      <c r="U177" s="4">
        <f t="shared" si="104"/>
        <v>482688.15</v>
      </c>
      <c r="V177" s="54">
        <v>482688.15</v>
      </c>
      <c r="W177" s="54">
        <v>0</v>
      </c>
      <c r="X177" s="4">
        <f t="shared" si="105"/>
        <v>74259.72</v>
      </c>
      <c r="Y177" s="9">
        <v>74259.72</v>
      </c>
      <c r="Z177" s="9">
        <v>0</v>
      </c>
      <c r="AA177" s="9">
        <f t="shared" si="106"/>
        <v>0</v>
      </c>
      <c r="AB177" s="9">
        <v>0</v>
      </c>
      <c r="AC177" s="9">
        <v>0</v>
      </c>
      <c r="AD177" s="45">
        <f t="shared" si="80"/>
        <v>3712985.9</v>
      </c>
      <c r="AE177" s="9">
        <v>0</v>
      </c>
      <c r="AF177" s="9">
        <f t="shared" si="107"/>
        <v>3712985.9</v>
      </c>
      <c r="AG177" s="60" t="s">
        <v>515</v>
      </c>
      <c r="AH177" s="14" t="s">
        <v>151</v>
      </c>
      <c r="AI177" s="1">
        <f>80000-10419.72+98548.63-3498.98+284928.39+331545.9-11548.44</f>
        <v>769555.78</v>
      </c>
      <c r="AJ177" s="1">
        <f>10419.72+3498.98+8954.92+50707.02+11548.44</f>
        <v>85129.08</v>
      </c>
    </row>
    <row r="178" spans="1:36" ht="346.5" x14ac:dyDescent="0.25">
      <c r="A178" s="5">
        <f t="shared" si="81"/>
        <v>175</v>
      </c>
      <c r="B178" s="5">
        <v>136022</v>
      </c>
      <c r="C178" s="6">
        <v>809</v>
      </c>
      <c r="D178" s="41" t="s">
        <v>1981</v>
      </c>
      <c r="E178" s="18" t="s">
        <v>1700</v>
      </c>
      <c r="F178" s="8" t="s">
        <v>1871</v>
      </c>
      <c r="G178" s="5" t="s">
        <v>1316</v>
      </c>
      <c r="H178" s="5" t="s">
        <v>151</v>
      </c>
      <c r="I178" s="42" t="s">
        <v>1872</v>
      </c>
      <c r="J178" s="2">
        <v>44014</v>
      </c>
      <c r="K178" s="2">
        <v>44744</v>
      </c>
      <c r="L178" s="17">
        <f t="shared" si="103"/>
        <v>85.000000140255977</v>
      </c>
      <c r="M178" s="5">
        <v>5</v>
      </c>
      <c r="N178" s="5" t="s">
        <v>641</v>
      </c>
      <c r="O178" s="5" t="s">
        <v>1317</v>
      </c>
      <c r="P178" s="3" t="s">
        <v>174</v>
      </c>
      <c r="Q178" s="5" t="s">
        <v>34</v>
      </c>
      <c r="R178" s="4">
        <f t="shared" si="108"/>
        <v>3030173.76</v>
      </c>
      <c r="S178" s="9">
        <v>3030173.76</v>
      </c>
      <c r="T178" s="9">
        <v>0</v>
      </c>
      <c r="U178" s="4">
        <f t="shared" si="104"/>
        <v>463438.33</v>
      </c>
      <c r="V178" s="54">
        <v>463438.33</v>
      </c>
      <c r="W178" s="54">
        <v>0</v>
      </c>
      <c r="X178" s="4">
        <f t="shared" si="105"/>
        <v>71298.210000000006</v>
      </c>
      <c r="Y178" s="9">
        <v>71298.210000000006</v>
      </c>
      <c r="Z178" s="9">
        <v>0</v>
      </c>
      <c r="AA178" s="9">
        <f t="shared" si="106"/>
        <v>0</v>
      </c>
      <c r="AB178" s="9">
        <v>0</v>
      </c>
      <c r="AC178" s="9">
        <v>0</v>
      </c>
      <c r="AD178" s="45">
        <f t="shared" si="80"/>
        <v>3564910.3</v>
      </c>
      <c r="AE178" s="9">
        <v>0</v>
      </c>
      <c r="AF178" s="9">
        <f t="shared" si="107"/>
        <v>3564910.3</v>
      </c>
      <c r="AG178" s="60" t="s">
        <v>515</v>
      </c>
      <c r="AH178" s="14" t="s">
        <v>151</v>
      </c>
      <c r="AI178" s="1">
        <f>356491+211105-27180.46+204898.83</f>
        <v>745314.37</v>
      </c>
      <c r="AJ178" s="1">
        <f>32286.64+27180.46</f>
        <v>59467.1</v>
      </c>
    </row>
    <row r="179" spans="1:36" ht="173.25" x14ac:dyDescent="0.25">
      <c r="A179" s="5">
        <f t="shared" si="81"/>
        <v>176</v>
      </c>
      <c r="B179" s="16">
        <v>120482</v>
      </c>
      <c r="C179" s="6">
        <v>68</v>
      </c>
      <c r="D179" s="41" t="s">
        <v>1981</v>
      </c>
      <c r="E179" s="18" t="s">
        <v>278</v>
      </c>
      <c r="F179" s="8" t="s">
        <v>236</v>
      </c>
      <c r="G179" s="5" t="s">
        <v>239</v>
      </c>
      <c r="H179" s="5" t="s">
        <v>151</v>
      </c>
      <c r="I179" s="77" t="s">
        <v>240</v>
      </c>
      <c r="J179" s="2">
        <v>43145</v>
      </c>
      <c r="K179" s="2">
        <v>43630</v>
      </c>
      <c r="L179" s="17">
        <f t="shared" ref="L179:L188" si="109">R179/AD179*100</f>
        <v>85</v>
      </c>
      <c r="M179" s="5">
        <v>3</v>
      </c>
      <c r="N179" s="5" t="s">
        <v>241</v>
      </c>
      <c r="O179" s="5" t="s">
        <v>242</v>
      </c>
      <c r="P179" s="3" t="s">
        <v>174</v>
      </c>
      <c r="Q179" s="5" t="s">
        <v>34</v>
      </c>
      <c r="R179" s="9">
        <f t="shared" ref="R179:R184" si="110">S179+T179</f>
        <v>508342.5</v>
      </c>
      <c r="S179" s="89">
        <v>508342.5</v>
      </c>
      <c r="T179" s="9">
        <v>0</v>
      </c>
      <c r="U179" s="4">
        <f t="shared" ref="U179:U188" si="111">V179+W179</f>
        <v>77746.5</v>
      </c>
      <c r="V179" s="54">
        <v>77746.5</v>
      </c>
      <c r="W179" s="54">
        <v>0</v>
      </c>
      <c r="X179" s="4">
        <f t="shared" ref="X179:X188" si="112">Y179+Z179</f>
        <v>11961</v>
      </c>
      <c r="Y179" s="9">
        <v>11961</v>
      </c>
      <c r="Z179" s="9">
        <v>0</v>
      </c>
      <c r="AA179" s="9">
        <f>AB179+AC179</f>
        <v>0</v>
      </c>
      <c r="AB179" s="9">
        <v>0</v>
      </c>
      <c r="AC179" s="9">
        <v>0</v>
      </c>
      <c r="AD179" s="45">
        <f t="shared" si="80"/>
        <v>598050</v>
      </c>
      <c r="AE179" s="9">
        <v>0</v>
      </c>
      <c r="AF179" s="9">
        <f t="shared" ref="AF179:AF188" si="113">AD179+AE179</f>
        <v>598050</v>
      </c>
      <c r="AG179" s="50" t="s">
        <v>966</v>
      </c>
      <c r="AH179" s="14"/>
      <c r="AI179" s="1">
        <v>385296.94</v>
      </c>
      <c r="AJ179" s="1">
        <v>58927.729999999996</v>
      </c>
    </row>
    <row r="180" spans="1:36" ht="330.75" x14ac:dyDescent="0.25">
      <c r="A180" s="5">
        <f t="shared" si="81"/>
        <v>177</v>
      </c>
      <c r="B180" s="16">
        <v>122108</v>
      </c>
      <c r="C180" s="6">
        <v>83</v>
      </c>
      <c r="D180" s="41" t="s">
        <v>1981</v>
      </c>
      <c r="E180" s="18" t="s">
        <v>278</v>
      </c>
      <c r="F180" s="8" t="s">
        <v>402</v>
      </c>
      <c r="G180" s="5" t="s">
        <v>1324</v>
      </c>
      <c r="H180" s="5" t="s">
        <v>151</v>
      </c>
      <c r="I180" s="77" t="s">
        <v>452</v>
      </c>
      <c r="J180" s="2">
        <v>43234</v>
      </c>
      <c r="K180" s="2">
        <v>43722</v>
      </c>
      <c r="L180" s="17">
        <f t="shared" si="109"/>
        <v>84.999995128143141</v>
      </c>
      <c r="M180" s="5">
        <v>3</v>
      </c>
      <c r="N180" s="5" t="s">
        <v>241</v>
      </c>
      <c r="O180" s="5" t="s">
        <v>403</v>
      </c>
      <c r="P180" s="3" t="s">
        <v>174</v>
      </c>
      <c r="Q180" s="5" t="s">
        <v>34</v>
      </c>
      <c r="R180" s="9">
        <f t="shared" si="110"/>
        <v>322772.19</v>
      </c>
      <c r="S180" s="72">
        <v>322772.19</v>
      </c>
      <c r="T180" s="153">
        <v>0</v>
      </c>
      <c r="U180" s="4">
        <f t="shared" si="111"/>
        <v>49365.18</v>
      </c>
      <c r="V180" s="54">
        <v>49365.18</v>
      </c>
      <c r="W180" s="54">
        <v>0</v>
      </c>
      <c r="X180" s="4">
        <f t="shared" si="112"/>
        <v>7594.64</v>
      </c>
      <c r="Y180" s="9">
        <v>7594.64</v>
      </c>
      <c r="Z180" s="9">
        <v>0</v>
      </c>
      <c r="AA180" s="9">
        <f>AB180+AC180</f>
        <v>0</v>
      </c>
      <c r="AB180" s="9">
        <v>0</v>
      </c>
      <c r="AC180" s="9">
        <v>0</v>
      </c>
      <c r="AD180" s="45">
        <f t="shared" si="80"/>
        <v>379732.01</v>
      </c>
      <c r="AE180" s="9">
        <v>55635.199999999997</v>
      </c>
      <c r="AF180" s="9">
        <f t="shared" si="113"/>
        <v>435367.21</v>
      </c>
      <c r="AG180" s="50" t="s">
        <v>966</v>
      </c>
      <c r="AH180" s="14" t="s">
        <v>1273</v>
      </c>
      <c r="AI180" s="1">
        <v>218039.20999999996</v>
      </c>
      <c r="AJ180" s="1">
        <v>33347.15</v>
      </c>
    </row>
    <row r="181" spans="1:36" ht="204.75" x14ac:dyDescent="0.25">
      <c r="A181" s="5">
        <f t="shared" si="81"/>
        <v>178</v>
      </c>
      <c r="B181" s="16">
        <v>118782</v>
      </c>
      <c r="C181" s="5">
        <v>444</v>
      </c>
      <c r="D181" s="8" t="s">
        <v>1982</v>
      </c>
      <c r="E181" s="18" t="s">
        <v>540</v>
      </c>
      <c r="F181" s="8" t="s">
        <v>744</v>
      </c>
      <c r="G181" s="5" t="s">
        <v>1267</v>
      </c>
      <c r="H181" s="6"/>
      <c r="I181" s="61" t="s">
        <v>743</v>
      </c>
      <c r="J181" s="2">
        <v>43304</v>
      </c>
      <c r="K181" s="2">
        <v>43792</v>
      </c>
      <c r="L181" s="17">
        <f t="shared" si="109"/>
        <v>85</v>
      </c>
      <c r="M181" s="6">
        <v>3</v>
      </c>
      <c r="N181" s="5" t="s">
        <v>241</v>
      </c>
      <c r="O181" s="5" t="s">
        <v>745</v>
      </c>
      <c r="P181" s="3" t="s">
        <v>174</v>
      </c>
      <c r="Q181" s="5" t="s">
        <v>34</v>
      </c>
      <c r="R181" s="9">
        <f t="shared" si="110"/>
        <v>242091.39</v>
      </c>
      <c r="S181" s="11">
        <v>242091.39</v>
      </c>
      <c r="T181" s="57">
        <v>0</v>
      </c>
      <c r="U181" s="4">
        <f t="shared" si="111"/>
        <v>37025.74</v>
      </c>
      <c r="V181" s="74">
        <v>37025.74</v>
      </c>
      <c r="W181" s="71">
        <v>0</v>
      </c>
      <c r="X181" s="4">
        <f t="shared" si="112"/>
        <v>5696.27</v>
      </c>
      <c r="Y181" s="1">
        <v>5696.27</v>
      </c>
      <c r="Z181" s="1">
        <v>0</v>
      </c>
      <c r="AA181" s="9">
        <f>AB181+AC181</f>
        <v>0</v>
      </c>
      <c r="AB181" s="55">
        <v>0</v>
      </c>
      <c r="AC181" s="55">
        <v>0</v>
      </c>
      <c r="AD181" s="45">
        <f t="shared" si="80"/>
        <v>284813.40000000002</v>
      </c>
      <c r="AE181" s="82">
        <v>0</v>
      </c>
      <c r="AF181" s="9">
        <f t="shared" si="113"/>
        <v>284813.40000000002</v>
      </c>
      <c r="AG181" s="50" t="s">
        <v>966</v>
      </c>
      <c r="AH181" s="12" t="s">
        <v>1386</v>
      </c>
      <c r="AI181" s="1">
        <v>218691.65000000002</v>
      </c>
      <c r="AJ181" s="1">
        <v>33446.97</v>
      </c>
    </row>
    <row r="182" spans="1:36" s="75" customFormat="1" ht="237.75" customHeight="1" x14ac:dyDescent="0.25">
      <c r="A182" s="5">
        <f t="shared" si="81"/>
        <v>179</v>
      </c>
      <c r="B182" s="16">
        <v>118562</v>
      </c>
      <c r="C182" s="5">
        <v>430</v>
      </c>
      <c r="D182" s="8" t="s">
        <v>1982</v>
      </c>
      <c r="E182" s="18" t="s">
        <v>540</v>
      </c>
      <c r="F182" s="8" t="s">
        <v>799</v>
      </c>
      <c r="G182" s="5" t="s">
        <v>800</v>
      </c>
      <c r="H182" s="6" t="s">
        <v>151</v>
      </c>
      <c r="I182" s="61" t="s">
        <v>801</v>
      </c>
      <c r="J182" s="2">
        <v>43318</v>
      </c>
      <c r="K182" s="2">
        <v>43683</v>
      </c>
      <c r="L182" s="17">
        <f t="shared" si="109"/>
        <v>85</v>
      </c>
      <c r="M182" s="6">
        <v>3</v>
      </c>
      <c r="N182" s="5" t="s">
        <v>241</v>
      </c>
      <c r="O182" s="5" t="s">
        <v>242</v>
      </c>
      <c r="P182" s="3" t="s">
        <v>174</v>
      </c>
      <c r="Q182" s="5" t="s">
        <v>34</v>
      </c>
      <c r="R182" s="9">
        <f t="shared" si="110"/>
        <v>244199.22</v>
      </c>
      <c r="S182" s="11">
        <v>244199.22</v>
      </c>
      <c r="T182" s="57">
        <v>0</v>
      </c>
      <c r="U182" s="4">
        <f t="shared" si="111"/>
        <v>37348.11</v>
      </c>
      <c r="V182" s="74">
        <v>37348.11</v>
      </c>
      <c r="W182" s="71">
        <v>0</v>
      </c>
      <c r="X182" s="4">
        <f t="shared" si="112"/>
        <v>5745.87</v>
      </c>
      <c r="Y182" s="1">
        <v>5745.87</v>
      </c>
      <c r="Z182" s="1">
        <v>0</v>
      </c>
      <c r="AB182" s="57">
        <v>0</v>
      </c>
      <c r="AC182" s="57">
        <v>0</v>
      </c>
      <c r="AD182" s="45">
        <f t="shared" si="80"/>
        <v>287293.2</v>
      </c>
      <c r="AE182" s="12">
        <v>0</v>
      </c>
      <c r="AF182" s="9">
        <f t="shared" si="113"/>
        <v>287293.2</v>
      </c>
      <c r="AG182" s="50" t="s">
        <v>966</v>
      </c>
      <c r="AH182" s="12"/>
      <c r="AI182" s="1">
        <v>187221.18</v>
      </c>
      <c r="AJ182" s="1">
        <v>28633.829999999994</v>
      </c>
    </row>
    <row r="183" spans="1:36" s="75" customFormat="1" ht="237.75" customHeight="1" x14ac:dyDescent="0.25">
      <c r="A183" s="5">
        <f t="shared" si="81"/>
        <v>180</v>
      </c>
      <c r="B183" s="16">
        <v>128788</v>
      </c>
      <c r="C183" s="5">
        <v>632</v>
      </c>
      <c r="D183" s="41" t="s">
        <v>1981</v>
      </c>
      <c r="E183" s="18" t="s">
        <v>1246</v>
      </c>
      <c r="F183" s="8" t="s">
        <v>1270</v>
      </c>
      <c r="G183" s="5" t="s">
        <v>1267</v>
      </c>
      <c r="H183" s="6" t="s">
        <v>151</v>
      </c>
      <c r="I183" s="61" t="s">
        <v>1269</v>
      </c>
      <c r="J183" s="2">
        <v>43622</v>
      </c>
      <c r="K183" s="2">
        <v>44626</v>
      </c>
      <c r="L183" s="17">
        <f t="shared" si="109"/>
        <v>85.000000230035937</v>
      </c>
      <c r="M183" s="6">
        <v>3</v>
      </c>
      <c r="N183" s="5" t="s">
        <v>241</v>
      </c>
      <c r="O183" s="5" t="s">
        <v>1268</v>
      </c>
      <c r="P183" s="3" t="s">
        <v>174</v>
      </c>
      <c r="Q183" s="5" t="s">
        <v>34</v>
      </c>
      <c r="R183" s="9">
        <f t="shared" si="110"/>
        <v>1847537.48</v>
      </c>
      <c r="S183" s="11">
        <v>1847537.48</v>
      </c>
      <c r="T183" s="57">
        <v>0</v>
      </c>
      <c r="U183" s="4">
        <f t="shared" si="111"/>
        <v>282564.55</v>
      </c>
      <c r="V183" s="74">
        <v>282564.55</v>
      </c>
      <c r="W183" s="71">
        <v>0</v>
      </c>
      <c r="X183" s="4">
        <f t="shared" si="112"/>
        <v>43471.47</v>
      </c>
      <c r="Y183" s="1">
        <v>43471.47</v>
      </c>
      <c r="Z183" s="1">
        <v>0</v>
      </c>
      <c r="AA183" s="1">
        <f t="shared" ref="AA183:AA188" si="114">AB183+AC183</f>
        <v>0</v>
      </c>
      <c r="AB183" s="57">
        <v>0</v>
      </c>
      <c r="AC183" s="57">
        <v>0</v>
      </c>
      <c r="AD183" s="45">
        <f t="shared" si="80"/>
        <v>2173573.5</v>
      </c>
      <c r="AE183" s="12">
        <v>0</v>
      </c>
      <c r="AF183" s="9">
        <f t="shared" si="113"/>
        <v>2173573.5</v>
      </c>
      <c r="AG183" s="60" t="s">
        <v>515</v>
      </c>
      <c r="AH183" s="60" t="s">
        <v>2141</v>
      </c>
      <c r="AI183" s="1">
        <f>159761.73+205286.29-12744.7-6213.9+144175.74-19413.29</f>
        <v>470851.87</v>
      </c>
      <c r="AJ183" s="1">
        <f>14235.89+8544.38+12744.7+6213.9+19413.29</f>
        <v>61152.160000000003</v>
      </c>
    </row>
    <row r="184" spans="1:36" s="75" customFormat="1" ht="232.5" customHeight="1" x14ac:dyDescent="0.25">
      <c r="A184" s="5">
        <f t="shared" si="81"/>
        <v>181</v>
      </c>
      <c r="B184" s="16">
        <v>129218</v>
      </c>
      <c r="C184" s="5">
        <v>645</v>
      </c>
      <c r="D184" s="41" t="s">
        <v>1981</v>
      </c>
      <c r="E184" s="18" t="s">
        <v>1246</v>
      </c>
      <c r="F184" s="106" t="s">
        <v>1323</v>
      </c>
      <c r="G184" s="5" t="s">
        <v>1324</v>
      </c>
      <c r="H184" s="6" t="s">
        <v>151</v>
      </c>
      <c r="I184" s="61" t="s">
        <v>1325</v>
      </c>
      <c r="J184" s="2">
        <v>43643</v>
      </c>
      <c r="K184" s="2">
        <v>44282</v>
      </c>
      <c r="L184" s="17">
        <f t="shared" si="109"/>
        <v>84.999999707660962</v>
      </c>
      <c r="M184" s="6">
        <v>3</v>
      </c>
      <c r="N184" s="5" t="s">
        <v>241</v>
      </c>
      <c r="O184" s="5" t="s">
        <v>403</v>
      </c>
      <c r="P184" s="3" t="s">
        <v>174</v>
      </c>
      <c r="Q184" s="5" t="s">
        <v>34</v>
      </c>
      <c r="R184" s="9">
        <f t="shared" si="110"/>
        <v>2326066.37</v>
      </c>
      <c r="S184" s="11">
        <v>2326066.37</v>
      </c>
      <c r="T184" s="57">
        <v>0</v>
      </c>
      <c r="U184" s="4">
        <f t="shared" si="111"/>
        <v>355751.33</v>
      </c>
      <c r="V184" s="74">
        <v>355751.33</v>
      </c>
      <c r="W184" s="71">
        <v>0</v>
      </c>
      <c r="X184" s="4">
        <f t="shared" si="112"/>
        <v>54730.98</v>
      </c>
      <c r="Y184" s="1">
        <v>54730.98</v>
      </c>
      <c r="Z184" s="1">
        <v>0</v>
      </c>
      <c r="AA184" s="1">
        <f t="shared" si="114"/>
        <v>0</v>
      </c>
      <c r="AB184" s="57">
        <v>0</v>
      </c>
      <c r="AC184" s="57">
        <v>0</v>
      </c>
      <c r="AD184" s="45">
        <f t="shared" si="80"/>
        <v>2736548.68</v>
      </c>
      <c r="AE184" s="12">
        <v>0</v>
      </c>
      <c r="AF184" s="9">
        <f t="shared" si="113"/>
        <v>2736548.68</v>
      </c>
      <c r="AG184" s="60" t="s">
        <v>966</v>
      </c>
      <c r="AH184" s="60" t="s">
        <v>2051</v>
      </c>
      <c r="AI184" s="1">
        <f>1079226.9+25907.15+1092653.83+34194.23</f>
        <v>2231982.11</v>
      </c>
      <c r="AJ184" s="1">
        <f>165058.24+3962.27+167111.76+5229.7</f>
        <v>341361.97000000003</v>
      </c>
    </row>
    <row r="185" spans="1:36" s="75" customFormat="1" ht="175.5" customHeight="1" x14ac:dyDescent="0.25">
      <c r="A185" s="5">
        <f t="shared" si="81"/>
        <v>182</v>
      </c>
      <c r="B185" s="62">
        <v>136346</v>
      </c>
      <c r="C185" s="118">
        <v>803</v>
      </c>
      <c r="D185" s="41" t="s">
        <v>1981</v>
      </c>
      <c r="E185" s="18" t="s">
        <v>1700</v>
      </c>
      <c r="F185" s="56" t="s">
        <v>1704</v>
      </c>
      <c r="G185" s="5" t="s">
        <v>1324</v>
      </c>
      <c r="H185" s="5" t="s">
        <v>151</v>
      </c>
      <c r="I185" s="42" t="s">
        <v>1705</v>
      </c>
      <c r="J185" s="64">
        <v>43949</v>
      </c>
      <c r="K185" s="64">
        <v>44497</v>
      </c>
      <c r="L185" s="65">
        <f t="shared" si="109"/>
        <v>84.999999931876232</v>
      </c>
      <c r="M185" s="63">
        <v>3</v>
      </c>
      <c r="N185" s="63" t="s">
        <v>1706</v>
      </c>
      <c r="O185" s="63" t="s">
        <v>403</v>
      </c>
      <c r="P185" s="66" t="s">
        <v>174</v>
      </c>
      <c r="Q185" s="63" t="s">
        <v>34</v>
      </c>
      <c r="R185" s="67">
        <f>S185+T185</f>
        <v>2495457.98</v>
      </c>
      <c r="S185" s="67">
        <v>2495457.98</v>
      </c>
      <c r="T185" s="67">
        <v>0</v>
      </c>
      <c r="U185" s="68">
        <f t="shared" si="111"/>
        <v>381658.28</v>
      </c>
      <c r="V185" s="69">
        <v>381658.28</v>
      </c>
      <c r="W185" s="69">
        <v>0</v>
      </c>
      <c r="X185" s="68">
        <f t="shared" si="112"/>
        <v>58716.66</v>
      </c>
      <c r="Y185" s="67">
        <v>58716.66</v>
      </c>
      <c r="Z185" s="67">
        <v>0</v>
      </c>
      <c r="AA185" s="67">
        <f t="shared" si="114"/>
        <v>0</v>
      </c>
      <c r="AB185" s="67">
        <v>0</v>
      </c>
      <c r="AC185" s="67">
        <v>0</v>
      </c>
      <c r="AD185" s="45">
        <f t="shared" si="80"/>
        <v>2935832.92</v>
      </c>
      <c r="AE185" s="67">
        <v>0</v>
      </c>
      <c r="AF185" s="67">
        <f t="shared" si="113"/>
        <v>2935832.92</v>
      </c>
      <c r="AG185" s="60" t="s">
        <v>515</v>
      </c>
      <c r="AH185" s="12"/>
      <c r="AI185" s="1">
        <f>55951.7+71473.21+23932.81+846333.53</f>
        <v>997691.25</v>
      </c>
      <c r="AJ185" s="1">
        <f>8557.32+10931.2+3660.31+129439.24</f>
        <v>152588.07</v>
      </c>
    </row>
    <row r="186" spans="1:36" s="75" customFormat="1" ht="175.5" customHeight="1" x14ac:dyDescent="0.25">
      <c r="A186" s="5">
        <f t="shared" si="81"/>
        <v>183</v>
      </c>
      <c r="B186" s="62">
        <v>135154</v>
      </c>
      <c r="C186" s="118">
        <v>800</v>
      </c>
      <c r="D186" s="41" t="s">
        <v>1981</v>
      </c>
      <c r="E186" s="18" t="s">
        <v>1700</v>
      </c>
      <c r="F186" s="56" t="s">
        <v>1756</v>
      </c>
      <c r="G186" s="5" t="s">
        <v>800</v>
      </c>
      <c r="H186" s="5" t="s">
        <v>151</v>
      </c>
      <c r="I186" s="42" t="s">
        <v>1757</v>
      </c>
      <c r="J186" s="64">
        <v>43969</v>
      </c>
      <c r="K186" s="64">
        <v>44669</v>
      </c>
      <c r="L186" s="65">
        <f t="shared" si="109"/>
        <v>85</v>
      </c>
      <c r="M186" s="63">
        <v>3</v>
      </c>
      <c r="N186" s="63" t="s">
        <v>1706</v>
      </c>
      <c r="O186" s="63" t="s">
        <v>242</v>
      </c>
      <c r="P186" s="66" t="s">
        <v>174</v>
      </c>
      <c r="Q186" s="63" t="s">
        <v>34</v>
      </c>
      <c r="R186" s="67">
        <f>S186+T186</f>
        <v>1599713.6</v>
      </c>
      <c r="S186" s="67">
        <v>1599713.6</v>
      </c>
      <c r="T186" s="67">
        <v>0</v>
      </c>
      <c r="U186" s="68">
        <f t="shared" si="111"/>
        <v>244662.08</v>
      </c>
      <c r="V186" s="69">
        <v>244662.08</v>
      </c>
      <c r="W186" s="69">
        <v>0</v>
      </c>
      <c r="X186" s="68">
        <f t="shared" si="112"/>
        <v>37640.32</v>
      </c>
      <c r="Y186" s="67">
        <v>37640.32</v>
      </c>
      <c r="Z186" s="67">
        <v>0</v>
      </c>
      <c r="AA186" s="67">
        <f t="shared" si="114"/>
        <v>0</v>
      </c>
      <c r="AB186" s="67">
        <v>0</v>
      </c>
      <c r="AC186" s="67">
        <v>0</v>
      </c>
      <c r="AD186" s="45">
        <f t="shared" si="80"/>
        <v>1882016.0000000002</v>
      </c>
      <c r="AE186" s="67">
        <v>0</v>
      </c>
      <c r="AF186" s="67">
        <f t="shared" si="113"/>
        <v>1882016.0000000002</v>
      </c>
      <c r="AG186" s="60" t="s">
        <v>515</v>
      </c>
      <c r="AH186" s="12"/>
      <c r="AI186" s="1">
        <v>2551.5</v>
      </c>
      <c r="AJ186" s="1">
        <v>390.23</v>
      </c>
    </row>
    <row r="187" spans="1:36" s="75" customFormat="1" ht="175.5" customHeight="1" x14ac:dyDescent="0.25">
      <c r="A187" s="5">
        <f t="shared" si="81"/>
        <v>184</v>
      </c>
      <c r="B187" s="62">
        <v>135954</v>
      </c>
      <c r="C187" s="118">
        <v>801</v>
      </c>
      <c r="D187" s="41" t="s">
        <v>1981</v>
      </c>
      <c r="E187" s="18" t="s">
        <v>1700</v>
      </c>
      <c r="F187" s="56" t="s">
        <v>1758</v>
      </c>
      <c r="G187" s="5" t="s">
        <v>1759</v>
      </c>
      <c r="H187" s="5" t="s">
        <v>151</v>
      </c>
      <c r="I187" s="42" t="s">
        <v>1760</v>
      </c>
      <c r="J187" s="64">
        <v>43969</v>
      </c>
      <c r="K187" s="64">
        <v>44822</v>
      </c>
      <c r="L187" s="65">
        <f t="shared" si="109"/>
        <v>84.999999779520635</v>
      </c>
      <c r="M187" s="63">
        <v>3</v>
      </c>
      <c r="N187" s="63" t="s">
        <v>1706</v>
      </c>
      <c r="O187" s="63" t="s">
        <v>1706</v>
      </c>
      <c r="P187" s="66" t="s">
        <v>174</v>
      </c>
      <c r="Q187" s="63" t="s">
        <v>34</v>
      </c>
      <c r="R187" s="67">
        <f>S187+T187</f>
        <v>1927618.01</v>
      </c>
      <c r="S187" s="67">
        <v>1927618.01</v>
      </c>
      <c r="T187" s="67">
        <v>0</v>
      </c>
      <c r="U187" s="68">
        <f t="shared" si="111"/>
        <v>294812.18</v>
      </c>
      <c r="V187" s="69">
        <v>294812.18</v>
      </c>
      <c r="W187" s="69">
        <v>0</v>
      </c>
      <c r="X187" s="68">
        <f t="shared" si="112"/>
        <v>45355.71</v>
      </c>
      <c r="Y187" s="67">
        <v>45355.71</v>
      </c>
      <c r="Z187" s="67">
        <v>0</v>
      </c>
      <c r="AA187" s="67">
        <f t="shared" si="114"/>
        <v>0</v>
      </c>
      <c r="AB187" s="67">
        <v>0</v>
      </c>
      <c r="AC187" s="67">
        <v>0</v>
      </c>
      <c r="AD187" s="45">
        <f t="shared" si="80"/>
        <v>2267785.9</v>
      </c>
      <c r="AE187" s="67">
        <v>0</v>
      </c>
      <c r="AF187" s="67">
        <f t="shared" si="113"/>
        <v>2267785.9</v>
      </c>
      <c r="AG187" s="60" t="s">
        <v>515</v>
      </c>
      <c r="AH187" s="12"/>
      <c r="AI187" s="1">
        <f>11293.7+181280.25+37633.87</f>
        <v>230207.82</v>
      </c>
      <c r="AJ187" s="1">
        <f>1727.28+27725.21+5755.77</f>
        <v>35208.259999999995</v>
      </c>
    </row>
    <row r="188" spans="1:36" s="75" customFormat="1" ht="175.5" customHeight="1" x14ac:dyDescent="0.25">
      <c r="A188" s="5">
        <f t="shared" si="81"/>
        <v>185</v>
      </c>
      <c r="B188" s="62">
        <v>135870</v>
      </c>
      <c r="C188" s="118">
        <v>796</v>
      </c>
      <c r="D188" s="41" t="s">
        <v>1981</v>
      </c>
      <c r="E188" s="18" t="s">
        <v>1700</v>
      </c>
      <c r="F188" s="56" t="s">
        <v>1886</v>
      </c>
      <c r="G188" s="5" t="s">
        <v>1267</v>
      </c>
      <c r="H188" s="5" t="s">
        <v>151</v>
      </c>
      <c r="I188" s="42" t="s">
        <v>1887</v>
      </c>
      <c r="J188" s="64">
        <v>44020</v>
      </c>
      <c r="K188" s="64">
        <v>44812</v>
      </c>
      <c r="L188" s="65">
        <f t="shared" si="109"/>
        <v>85.000000069296306</v>
      </c>
      <c r="M188" s="63">
        <v>3</v>
      </c>
      <c r="N188" s="63" t="s">
        <v>1706</v>
      </c>
      <c r="O188" s="63" t="s">
        <v>1268</v>
      </c>
      <c r="P188" s="66" t="s">
        <v>174</v>
      </c>
      <c r="Q188" s="63" t="s">
        <v>34</v>
      </c>
      <c r="R188" s="67">
        <f>S188+T188</f>
        <v>3066541.05</v>
      </c>
      <c r="S188" s="67">
        <v>3066541.05</v>
      </c>
      <c r="T188" s="67">
        <v>0</v>
      </c>
      <c r="U188" s="68">
        <f t="shared" si="111"/>
        <v>469000.39</v>
      </c>
      <c r="V188" s="69">
        <v>469000.39</v>
      </c>
      <c r="W188" s="69">
        <v>0</v>
      </c>
      <c r="X188" s="68">
        <f t="shared" si="112"/>
        <v>72153.91</v>
      </c>
      <c r="Y188" s="67">
        <v>72153.91</v>
      </c>
      <c r="Z188" s="67">
        <v>0</v>
      </c>
      <c r="AA188" s="67">
        <f t="shared" si="114"/>
        <v>0</v>
      </c>
      <c r="AB188" s="67">
        <v>0</v>
      </c>
      <c r="AC188" s="67">
        <v>0</v>
      </c>
      <c r="AD188" s="45">
        <f t="shared" si="80"/>
        <v>3607695.35</v>
      </c>
      <c r="AE188" s="67">
        <v>0</v>
      </c>
      <c r="AF188" s="67">
        <f t="shared" si="113"/>
        <v>3607695.35</v>
      </c>
      <c r="AG188" s="60" t="s">
        <v>515</v>
      </c>
      <c r="AH188" s="12"/>
      <c r="AI188" s="1">
        <f>71325-8183.89+206458.91</f>
        <v>269600.02</v>
      </c>
      <c r="AJ188" s="1">
        <f>8183.89</f>
        <v>8183.89</v>
      </c>
    </row>
    <row r="189" spans="1:36" ht="155.25" customHeight="1" x14ac:dyDescent="0.25">
      <c r="A189" s="5">
        <f t="shared" si="81"/>
        <v>186</v>
      </c>
      <c r="B189" s="5">
        <v>128275</v>
      </c>
      <c r="C189" s="5">
        <v>636</v>
      </c>
      <c r="D189" s="41" t="s">
        <v>1981</v>
      </c>
      <c r="E189" s="84" t="s">
        <v>1246</v>
      </c>
      <c r="F189" s="18" t="s">
        <v>1285</v>
      </c>
      <c r="G189" s="3" t="s">
        <v>1877</v>
      </c>
      <c r="H189" s="6" t="s">
        <v>151</v>
      </c>
      <c r="I189" s="8" t="s">
        <v>1289</v>
      </c>
      <c r="J189" s="2">
        <v>43629</v>
      </c>
      <c r="K189" s="2">
        <v>44360</v>
      </c>
      <c r="L189" s="17">
        <f>R189/AD189*100</f>
        <v>85.000000189128897</v>
      </c>
      <c r="M189" s="5">
        <v>1</v>
      </c>
      <c r="N189" s="5" t="s">
        <v>732</v>
      </c>
      <c r="O189" s="5" t="s">
        <v>1287</v>
      </c>
      <c r="P189" s="5" t="s">
        <v>174</v>
      </c>
      <c r="Q189" s="5" t="s">
        <v>34</v>
      </c>
      <c r="R189" s="9">
        <f>S189+T189</f>
        <v>2247144.58</v>
      </c>
      <c r="S189" s="1">
        <v>2247144.58</v>
      </c>
      <c r="T189" s="1">
        <v>0</v>
      </c>
      <c r="U189" s="4">
        <f t="shared" ref="U189:U198" si="115">V189+W189</f>
        <v>343680.93</v>
      </c>
      <c r="V189" s="74">
        <v>343680.93</v>
      </c>
      <c r="W189" s="74">
        <v>0</v>
      </c>
      <c r="X189" s="4">
        <f t="shared" ref="X189:X198" si="116">Y189+Z189</f>
        <v>52873.99</v>
      </c>
      <c r="Y189" s="1">
        <v>52873.99</v>
      </c>
      <c r="Z189" s="154">
        <v>0</v>
      </c>
      <c r="AA189" s="11">
        <f>AB189+AC189</f>
        <v>0</v>
      </c>
      <c r="AB189" s="1">
        <v>0</v>
      </c>
      <c r="AC189" s="154">
        <v>0</v>
      </c>
      <c r="AD189" s="45">
        <f t="shared" si="80"/>
        <v>2643699.5000000005</v>
      </c>
      <c r="AE189" s="25">
        <v>0</v>
      </c>
      <c r="AF189" s="9">
        <f>AD189+AE189</f>
        <v>2643699.5000000005</v>
      </c>
      <c r="AG189" s="60" t="s">
        <v>966</v>
      </c>
      <c r="AH189" s="12"/>
      <c r="AI189" s="1">
        <f>116746.84+110612.24+605723.6+756305.01</f>
        <v>1589387.69</v>
      </c>
      <c r="AJ189" s="1">
        <f>11751.31+6104.09+16917.17+92640.08+115670.18</f>
        <v>243082.83</v>
      </c>
    </row>
    <row r="190" spans="1:36" ht="155.25" customHeight="1" x14ac:dyDescent="0.25">
      <c r="A190" s="5">
        <f t="shared" si="81"/>
        <v>187</v>
      </c>
      <c r="B190" s="5">
        <v>136247</v>
      </c>
      <c r="C190" s="5">
        <v>837</v>
      </c>
      <c r="D190" s="41" t="s">
        <v>1981</v>
      </c>
      <c r="E190" s="83" t="s">
        <v>1700</v>
      </c>
      <c r="F190" s="18" t="s">
        <v>1797</v>
      </c>
      <c r="G190" s="3" t="s">
        <v>1798</v>
      </c>
      <c r="H190" s="6" t="s">
        <v>151</v>
      </c>
      <c r="I190" s="8" t="s">
        <v>1799</v>
      </c>
      <c r="J190" s="2">
        <v>43973</v>
      </c>
      <c r="K190" s="2">
        <v>44887</v>
      </c>
      <c r="L190" s="17">
        <f>R190/AD190*100</f>
        <v>85</v>
      </c>
      <c r="M190" s="5">
        <v>1</v>
      </c>
      <c r="N190" s="5" t="s">
        <v>732</v>
      </c>
      <c r="O190" s="5" t="s">
        <v>732</v>
      </c>
      <c r="P190" s="66" t="s">
        <v>174</v>
      </c>
      <c r="Q190" s="63" t="s">
        <v>34</v>
      </c>
      <c r="R190" s="9">
        <f>S190+T190</f>
        <v>3008302.15</v>
      </c>
      <c r="S190" s="1">
        <v>3008302.15</v>
      </c>
      <c r="T190" s="1">
        <v>0</v>
      </c>
      <c r="U190" s="4">
        <f t="shared" si="115"/>
        <v>460093.27</v>
      </c>
      <c r="V190" s="74">
        <v>460093.27</v>
      </c>
      <c r="W190" s="74">
        <v>0</v>
      </c>
      <c r="X190" s="4">
        <f t="shared" si="116"/>
        <v>70783.58</v>
      </c>
      <c r="Y190" s="1">
        <v>70783.58</v>
      </c>
      <c r="Z190" s="154">
        <v>0</v>
      </c>
      <c r="AA190" s="11">
        <f>AB190+AC190</f>
        <v>0</v>
      </c>
      <c r="AB190" s="1">
        <v>0</v>
      </c>
      <c r="AC190" s="154">
        <v>0</v>
      </c>
      <c r="AD190" s="45">
        <f t="shared" si="80"/>
        <v>3539179</v>
      </c>
      <c r="AE190" s="25">
        <v>0</v>
      </c>
      <c r="AF190" s="9">
        <f>AD190+AE190</f>
        <v>3539179</v>
      </c>
      <c r="AG190" s="60" t="s">
        <v>515</v>
      </c>
      <c r="AH190" s="12"/>
      <c r="AI190" s="1">
        <f>19875.98+34896.75</f>
        <v>54772.729999999996</v>
      </c>
      <c r="AJ190" s="1">
        <f>3039.85+5337.15</f>
        <v>8377</v>
      </c>
    </row>
    <row r="191" spans="1:36" ht="155.25" customHeight="1" x14ac:dyDescent="0.25">
      <c r="A191" s="5">
        <f t="shared" si="81"/>
        <v>188</v>
      </c>
      <c r="B191" s="5">
        <v>136308</v>
      </c>
      <c r="C191" s="5">
        <v>841</v>
      </c>
      <c r="D191" s="41" t="s">
        <v>1981</v>
      </c>
      <c r="E191" s="83" t="s">
        <v>1700</v>
      </c>
      <c r="F191" s="18" t="s">
        <v>1878</v>
      </c>
      <c r="G191" s="3" t="s">
        <v>1877</v>
      </c>
      <c r="H191" s="6" t="s">
        <v>151</v>
      </c>
      <c r="I191" s="8" t="s">
        <v>1879</v>
      </c>
      <c r="J191" s="2">
        <v>44014</v>
      </c>
      <c r="K191" s="2">
        <v>44928</v>
      </c>
      <c r="L191" s="17">
        <f>R191/AD191*100</f>
        <v>85.000000279577478</v>
      </c>
      <c r="M191" s="5">
        <v>1</v>
      </c>
      <c r="N191" s="5" t="s">
        <v>732</v>
      </c>
      <c r="O191" s="5" t="s">
        <v>1287</v>
      </c>
      <c r="P191" s="66" t="s">
        <v>174</v>
      </c>
      <c r="Q191" s="63" t="s">
        <v>34</v>
      </c>
      <c r="R191" s="9">
        <f>S191+T191</f>
        <v>3040302.11</v>
      </c>
      <c r="S191" s="1">
        <v>3040302.11</v>
      </c>
      <c r="T191" s="1">
        <v>0</v>
      </c>
      <c r="U191" s="4">
        <f t="shared" si="115"/>
        <v>464987.37</v>
      </c>
      <c r="V191" s="74">
        <v>464987.37</v>
      </c>
      <c r="W191" s="74">
        <v>0</v>
      </c>
      <c r="X191" s="4">
        <f t="shared" si="116"/>
        <v>71536.52</v>
      </c>
      <c r="Y191" s="1">
        <v>71536.52</v>
      </c>
      <c r="Z191" s="154">
        <v>0</v>
      </c>
      <c r="AA191" s="11">
        <f>AB191+AC191</f>
        <v>0</v>
      </c>
      <c r="AB191" s="1">
        <v>0</v>
      </c>
      <c r="AC191" s="154">
        <v>0</v>
      </c>
      <c r="AD191" s="45">
        <f t="shared" si="80"/>
        <v>3576826</v>
      </c>
      <c r="AE191" s="25">
        <v>0</v>
      </c>
      <c r="AF191" s="9">
        <f>AD191+AE191</f>
        <v>3576826</v>
      </c>
      <c r="AG191" s="60" t="s">
        <v>515</v>
      </c>
      <c r="AH191" s="12"/>
      <c r="AI191" s="1">
        <v>40833.14</v>
      </c>
      <c r="AJ191" s="1">
        <v>6245.07</v>
      </c>
    </row>
    <row r="192" spans="1:36" ht="270" customHeight="1" x14ac:dyDescent="0.25">
      <c r="A192" s="5">
        <f t="shared" si="81"/>
        <v>189</v>
      </c>
      <c r="B192" s="5">
        <v>119895</v>
      </c>
      <c r="C192" s="5">
        <v>458</v>
      </c>
      <c r="D192" s="41" t="s">
        <v>1981</v>
      </c>
      <c r="E192" s="84" t="s">
        <v>754</v>
      </c>
      <c r="F192" s="18" t="s">
        <v>762</v>
      </c>
      <c r="G192" s="3" t="s">
        <v>763</v>
      </c>
      <c r="H192" s="6" t="s">
        <v>151</v>
      </c>
      <c r="I192" s="8" t="s">
        <v>764</v>
      </c>
      <c r="J192" s="2">
        <v>43312</v>
      </c>
      <c r="K192" s="2">
        <v>43861</v>
      </c>
      <c r="L192" s="17">
        <f>R192/AD192*100</f>
        <v>79.999998251321642</v>
      </c>
      <c r="M192" s="5">
        <v>8</v>
      </c>
      <c r="N192" s="5" t="s">
        <v>765</v>
      </c>
      <c r="O192" s="5" t="s">
        <v>765</v>
      </c>
      <c r="P192" s="5" t="s">
        <v>174</v>
      </c>
      <c r="Q192" s="5" t="s">
        <v>34</v>
      </c>
      <c r="R192" s="9">
        <f>S192+T192</f>
        <v>457488.35</v>
      </c>
      <c r="S192" s="155">
        <v>0</v>
      </c>
      <c r="T192" s="89">
        <v>457488.35</v>
      </c>
      <c r="U192" s="4">
        <f t="shared" si="115"/>
        <v>102934.89</v>
      </c>
      <c r="V192" s="131">
        <v>0</v>
      </c>
      <c r="W192" s="85">
        <v>102934.89</v>
      </c>
      <c r="X192" s="4">
        <f t="shared" si="116"/>
        <v>11437.21</v>
      </c>
      <c r="Y192" s="89">
        <v>0</v>
      </c>
      <c r="Z192" s="156">
        <v>11437.21</v>
      </c>
      <c r="AA192" s="9">
        <f>AB192+AC192</f>
        <v>0</v>
      </c>
      <c r="AB192" s="89">
        <v>0</v>
      </c>
      <c r="AC192" s="156">
        <v>0</v>
      </c>
      <c r="AD192" s="45">
        <f t="shared" si="80"/>
        <v>571860.44999999995</v>
      </c>
      <c r="AE192" s="9">
        <v>0</v>
      </c>
      <c r="AF192" s="9">
        <f>AD192+AE192</f>
        <v>571860.44999999995</v>
      </c>
      <c r="AG192" s="60" t="s">
        <v>966</v>
      </c>
      <c r="AH192" s="12" t="s">
        <v>1643</v>
      </c>
      <c r="AI192" s="1">
        <v>446392.8</v>
      </c>
      <c r="AJ192" s="1">
        <v>100438.38</v>
      </c>
    </row>
    <row r="193" spans="1:36" ht="142.5" customHeight="1" x14ac:dyDescent="0.25">
      <c r="A193" s="5">
        <f t="shared" si="81"/>
        <v>190</v>
      </c>
      <c r="B193" s="16">
        <v>126391</v>
      </c>
      <c r="C193" s="5">
        <v>508</v>
      </c>
      <c r="D193" s="41" t="s">
        <v>1981</v>
      </c>
      <c r="E193" s="5" t="s">
        <v>1025</v>
      </c>
      <c r="F193" s="8" t="s">
        <v>1078</v>
      </c>
      <c r="G193" s="3" t="s">
        <v>763</v>
      </c>
      <c r="H193" s="6" t="s">
        <v>151</v>
      </c>
      <c r="I193" s="8" t="s">
        <v>1079</v>
      </c>
      <c r="J193" s="2">
        <v>43452</v>
      </c>
      <c r="K193" s="2">
        <v>44669</v>
      </c>
      <c r="L193" s="17">
        <f>R193/AD193*100</f>
        <v>80.000000098352359</v>
      </c>
      <c r="M193" s="5">
        <v>8</v>
      </c>
      <c r="N193" s="5" t="s">
        <v>765</v>
      </c>
      <c r="O193" s="5" t="s">
        <v>765</v>
      </c>
      <c r="P193" s="5" t="s">
        <v>174</v>
      </c>
      <c r="Q193" s="5" t="s">
        <v>34</v>
      </c>
      <c r="R193" s="9">
        <f>S193+T193</f>
        <v>1626803.97</v>
      </c>
      <c r="S193" s="157">
        <v>0</v>
      </c>
      <c r="T193" s="158">
        <v>1626803.97</v>
      </c>
      <c r="U193" s="4">
        <f t="shared" si="115"/>
        <v>366030.89</v>
      </c>
      <c r="V193" s="74">
        <v>0</v>
      </c>
      <c r="W193" s="74">
        <v>366030.89</v>
      </c>
      <c r="X193" s="4">
        <f t="shared" si="116"/>
        <v>40670.1</v>
      </c>
      <c r="Y193" s="1">
        <v>0</v>
      </c>
      <c r="Z193" s="1">
        <v>40670.1</v>
      </c>
      <c r="AA193" s="9">
        <f>AB193+AC193</f>
        <v>0</v>
      </c>
      <c r="AB193" s="1">
        <v>0</v>
      </c>
      <c r="AC193" s="1">
        <v>0</v>
      </c>
      <c r="AD193" s="45">
        <f t="shared" si="80"/>
        <v>2033504.96</v>
      </c>
      <c r="AE193" s="11">
        <v>485522.74</v>
      </c>
      <c r="AF193" s="9">
        <f>AD193+AE193</f>
        <v>2519027.7000000002</v>
      </c>
      <c r="AG193" s="60" t="s">
        <v>515</v>
      </c>
      <c r="AH193" s="12" t="s">
        <v>2166</v>
      </c>
      <c r="AI193" s="1">
        <v>5712</v>
      </c>
      <c r="AJ193" s="1">
        <f>1285.2</f>
        <v>1285.2</v>
      </c>
    </row>
    <row r="194" spans="1:36" ht="142.5" customHeight="1" x14ac:dyDescent="0.25">
      <c r="A194" s="5">
        <f t="shared" si="81"/>
        <v>191</v>
      </c>
      <c r="B194" s="16">
        <v>128946</v>
      </c>
      <c r="C194" s="5">
        <v>654</v>
      </c>
      <c r="D194" s="41" t="s">
        <v>1981</v>
      </c>
      <c r="E194" s="5" t="s">
        <v>1303</v>
      </c>
      <c r="F194" s="8" t="s">
        <v>1356</v>
      </c>
      <c r="G194" s="3" t="s">
        <v>763</v>
      </c>
      <c r="H194" s="6" t="s">
        <v>151</v>
      </c>
      <c r="I194" s="8" t="s">
        <v>1357</v>
      </c>
      <c r="J194" s="2">
        <v>43657</v>
      </c>
      <c r="K194" s="2">
        <v>44388</v>
      </c>
      <c r="L194" s="17">
        <f>R194/AD194*100</f>
        <v>80</v>
      </c>
      <c r="M194" s="5">
        <v>8</v>
      </c>
      <c r="N194" s="5" t="s">
        <v>765</v>
      </c>
      <c r="O194" s="5" t="s">
        <v>765</v>
      </c>
      <c r="P194" s="5" t="s">
        <v>174</v>
      </c>
      <c r="Q194" s="5" t="s">
        <v>34</v>
      </c>
      <c r="R194" s="9">
        <f>S194+T194</f>
        <v>271938.8</v>
      </c>
      <c r="S194" s="1">
        <v>0</v>
      </c>
      <c r="T194" s="1">
        <v>271938.8</v>
      </c>
      <c r="U194" s="4">
        <f t="shared" si="115"/>
        <v>61186.239999999998</v>
      </c>
      <c r="V194" s="74">
        <v>0</v>
      </c>
      <c r="W194" s="74">
        <v>61186.239999999998</v>
      </c>
      <c r="X194" s="4">
        <f t="shared" si="116"/>
        <v>6798.46</v>
      </c>
      <c r="Y194" s="1">
        <v>0</v>
      </c>
      <c r="Z194" s="1">
        <v>6798.46</v>
      </c>
      <c r="AA194" s="9">
        <f>AB194+AC194</f>
        <v>0</v>
      </c>
      <c r="AB194" s="1">
        <v>0</v>
      </c>
      <c r="AC194" s="1">
        <v>0</v>
      </c>
      <c r="AD194" s="45">
        <f t="shared" si="80"/>
        <v>339923.5</v>
      </c>
      <c r="AE194" s="11">
        <v>0</v>
      </c>
      <c r="AF194" s="9">
        <f>AD194+AE194</f>
        <v>339923.5</v>
      </c>
      <c r="AG194" s="60" t="s">
        <v>966</v>
      </c>
      <c r="AH194" s="12" t="s">
        <v>2035</v>
      </c>
      <c r="AI194" s="1">
        <f>15124.98+24552.84+71590.4</f>
        <v>111268.22</v>
      </c>
      <c r="AJ194" s="1">
        <f>3403.11+5524.39+16107.84</f>
        <v>25035.34</v>
      </c>
    </row>
    <row r="195" spans="1:36" ht="150" customHeight="1" x14ac:dyDescent="0.25">
      <c r="A195" s="5">
        <f t="shared" si="81"/>
        <v>192</v>
      </c>
      <c r="B195" s="16">
        <v>122738</v>
      </c>
      <c r="C195" s="6">
        <v>73</v>
      </c>
      <c r="D195" s="41" t="s">
        <v>1981</v>
      </c>
      <c r="E195" s="18" t="s">
        <v>278</v>
      </c>
      <c r="F195" s="106" t="s">
        <v>625</v>
      </c>
      <c r="G195" s="5" t="s">
        <v>626</v>
      </c>
      <c r="H195" s="6" t="s">
        <v>151</v>
      </c>
      <c r="I195" s="8" t="s">
        <v>1220</v>
      </c>
      <c r="J195" s="2">
        <v>43284</v>
      </c>
      <c r="K195" s="2">
        <v>43772</v>
      </c>
      <c r="L195" s="17">
        <f>R195/AD195*100</f>
        <v>85.000002334434541</v>
      </c>
      <c r="M195" s="5">
        <v>6</v>
      </c>
      <c r="N195" s="5" t="s">
        <v>627</v>
      </c>
      <c r="O195" s="5" t="s">
        <v>628</v>
      </c>
      <c r="P195" s="3" t="s">
        <v>174</v>
      </c>
      <c r="Q195" s="5" t="s">
        <v>34</v>
      </c>
      <c r="R195" s="4">
        <f>S195+T195</f>
        <v>527965.13</v>
      </c>
      <c r="S195" s="89">
        <v>527965.13</v>
      </c>
      <c r="T195" s="9">
        <v>0</v>
      </c>
      <c r="U195" s="4">
        <f t="shared" si="115"/>
        <v>80747.570000000007</v>
      </c>
      <c r="V195" s="131">
        <v>80747.570000000007</v>
      </c>
      <c r="W195" s="54">
        <v>0</v>
      </c>
      <c r="X195" s="4">
        <f t="shared" si="116"/>
        <v>12422.73</v>
      </c>
      <c r="Y195" s="159">
        <v>12422.73</v>
      </c>
      <c r="Z195" s="9">
        <v>0</v>
      </c>
      <c r="AA195" s="9">
        <f>AB195+AC195</f>
        <v>0</v>
      </c>
      <c r="AB195" s="9">
        <v>0</v>
      </c>
      <c r="AC195" s="9">
        <v>0</v>
      </c>
      <c r="AD195" s="45">
        <f t="shared" si="80"/>
        <v>621135.42999999993</v>
      </c>
      <c r="AE195" s="9">
        <v>0</v>
      </c>
      <c r="AF195" s="9">
        <f>AD195+AE195</f>
        <v>621135.42999999993</v>
      </c>
      <c r="AG195" s="50" t="s">
        <v>966</v>
      </c>
      <c r="AH195" s="14"/>
      <c r="AI195" s="1">
        <v>494682.26</v>
      </c>
      <c r="AJ195" s="1">
        <v>75657.279999999999</v>
      </c>
    </row>
    <row r="196" spans="1:36" ht="173.25" x14ac:dyDescent="0.25">
      <c r="A196" s="5">
        <f t="shared" si="81"/>
        <v>193</v>
      </c>
      <c r="B196" s="16">
        <v>126337</v>
      </c>
      <c r="C196" s="6">
        <v>556</v>
      </c>
      <c r="D196" s="41" t="s">
        <v>1981</v>
      </c>
      <c r="E196" s="18" t="s">
        <v>1018</v>
      </c>
      <c r="F196" s="8" t="s">
        <v>1219</v>
      </c>
      <c r="G196" s="5" t="s">
        <v>626</v>
      </c>
      <c r="H196" s="6" t="s">
        <v>151</v>
      </c>
      <c r="I196" s="8" t="s">
        <v>1221</v>
      </c>
      <c r="J196" s="2">
        <v>43577</v>
      </c>
      <c r="K196" s="2">
        <v>44491</v>
      </c>
      <c r="L196" s="17">
        <f>R196/AD196*100</f>
        <v>85.000000695857267</v>
      </c>
      <c r="M196" s="5">
        <v>6</v>
      </c>
      <c r="N196" s="5" t="s">
        <v>627</v>
      </c>
      <c r="O196" s="5" t="s">
        <v>628</v>
      </c>
      <c r="P196" s="3" t="s">
        <v>174</v>
      </c>
      <c r="Q196" s="5" t="s">
        <v>34</v>
      </c>
      <c r="R196" s="9">
        <f>S196+T196</f>
        <v>3359165.9</v>
      </c>
      <c r="S196" s="89">
        <v>3359165.9</v>
      </c>
      <c r="T196" s="9">
        <v>0</v>
      </c>
      <c r="U196" s="4">
        <f t="shared" si="115"/>
        <v>513754.75</v>
      </c>
      <c r="V196" s="131">
        <v>513754.75</v>
      </c>
      <c r="W196" s="54">
        <v>0</v>
      </c>
      <c r="X196" s="4">
        <f t="shared" si="116"/>
        <v>79039.199999999997</v>
      </c>
      <c r="Y196" s="159">
        <v>79039.199999999997</v>
      </c>
      <c r="Z196" s="9">
        <v>0</v>
      </c>
      <c r="AA196" s="9">
        <f>AB196+AC196</f>
        <v>0</v>
      </c>
      <c r="AB196" s="9">
        <v>0</v>
      </c>
      <c r="AC196" s="9">
        <v>0</v>
      </c>
      <c r="AD196" s="45">
        <f t="shared" si="80"/>
        <v>3951959.85</v>
      </c>
      <c r="AE196" s="9">
        <v>15981.7</v>
      </c>
      <c r="AF196" s="9">
        <f>AD196+AE196</f>
        <v>3967941.5500000003</v>
      </c>
      <c r="AG196" s="60" t="s">
        <v>515</v>
      </c>
      <c r="AH196" s="60" t="s">
        <v>2018</v>
      </c>
      <c r="AI196" s="1">
        <f>124564.71+42628.15+210319.83+1627651.3+14510.35+346253.02</f>
        <v>2365927.3600000003</v>
      </c>
      <c r="AJ196" s="1">
        <f>19051.05+6519.6+32166.56+248934.88+2219.23+52956.34</f>
        <v>361847.66000000003</v>
      </c>
    </row>
    <row r="197" spans="1:36" ht="173.25" x14ac:dyDescent="0.25">
      <c r="A197" s="5">
        <f t="shared" si="81"/>
        <v>194</v>
      </c>
      <c r="B197" s="16">
        <v>129243</v>
      </c>
      <c r="C197" s="6">
        <v>683</v>
      </c>
      <c r="D197" s="41" t="s">
        <v>1981</v>
      </c>
      <c r="E197" s="18" t="s">
        <v>1246</v>
      </c>
      <c r="F197" s="8" t="s">
        <v>1542</v>
      </c>
      <c r="G197" s="5" t="s">
        <v>1543</v>
      </c>
      <c r="H197" s="5" t="s">
        <v>1544</v>
      </c>
      <c r="I197" s="8" t="s">
        <v>1545</v>
      </c>
      <c r="J197" s="2">
        <v>43745</v>
      </c>
      <c r="K197" s="2">
        <v>44658</v>
      </c>
      <c r="L197" s="17">
        <f>R197/AD197*100</f>
        <v>84.762119683347478</v>
      </c>
      <c r="M197" s="5">
        <v>7</v>
      </c>
      <c r="N197" s="5" t="s">
        <v>627</v>
      </c>
      <c r="O197" s="5" t="s">
        <v>628</v>
      </c>
      <c r="P197" s="3" t="s">
        <v>174</v>
      </c>
      <c r="Q197" s="5" t="s">
        <v>34</v>
      </c>
      <c r="R197" s="9">
        <f>S197+T197</f>
        <v>2892355.61</v>
      </c>
      <c r="S197" s="9">
        <v>2892355.61</v>
      </c>
      <c r="T197" s="9">
        <v>0</v>
      </c>
      <c r="U197" s="4">
        <f t="shared" si="115"/>
        <v>451718.97</v>
      </c>
      <c r="V197" s="54">
        <v>451718.97</v>
      </c>
      <c r="W197" s="54">
        <v>0</v>
      </c>
      <c r="X197" s="4">
        <f t="shared" si="116"/>
        <v>58696.72</v>
      </c>
      <c r="Y197" s="9">
        <v>58696.72</v>
      </c>
      <c r="Z197" s="9">
        <v>0</v>
      </c>
      <c r="AA197" s="9">
        <f>AB197+AC197</f>
        <v>9549.7000000000007</v>
      </c>
      <c r="AB197" s="9">
        <v>9549.7000000000007</v>
      </c>
      <c r="AC197" s="9">
        <v>0</v>
      </c>
      <c r="AD197" s="45">
        <f t="shared" ref="AD197:AD260" si="117">R197+U197+X197+AA197</f>
        <v>3412321.0000000005</v>
      </c>
      <c r="AE197" s="9">
        <v>0</v>
      </c>
      <c r="AF197" s="9">
        <f>AD197+AE197</f>
        <v>3412321.0000000005</v>
      </c>
      <c r="AG197" s="60" t="s">
        <v>515</v>
      </c>
      <c r="AH197" s="12"/>
      <c r="AI197" s="1">
        <f>404117.15+47748.5-9345.4+24374.07+31812.91+39199.68+303094.82</f>
        <v>841001.73</v>
      </c>
      <c r="AJ197" s="1">
        <f>39188.8+9345.4+12408.84+16703.81+4274.95</f>
        <v>81921.8</v>
      </c>
    </row>
    <row r="198" spans="1:36" ht="141.75" x14ac:dyDescent="0.25">
      <c r="A198" s="5">
        <f t="shared" ref="A198:A261" si="118">A197+1</f>
        <v>195</v>
      </c>
      <c r="B198" s="16">
        <v>136164</v>
      </c>
      <c r="C198" s="6">
        <v>838</v>
      </c>
      <c r="D198" s="41" t="s">
        <v>1981</v>
      </c>
      <c r="E198" s="18" t="s">
        <v>1700</v>
      </c>
      <c r="F198" s="8" t="s">
        <v>1831</v>
      </c>
      <c r="G198" s="5" t="s">
        <v>1543</v>
      </c>
      <c r="H198" s="5" t="s">
        <v>1543</v>
      </c>
      <c r="I198" s="8" t="s">
        <v>1832</v>
      </c>
      <c r="J198" s="2">
        <v>43998</v>
      </c>
      <c r="K198" s="2">
        <v>44728</v>
      </c>
      <c r="L198" s="17">
        <f>R198/AD198*100</f>
        <v>85</v>
      </c>
      <c r="M198" s="5">
        <v>7</v>
      </c>
      <c r="N198" s="5" t="s">
        <v>627</v>
      </c>
      <c r="O198" s="5" t="s">
        <v>628</v>
      </c>
      <c r="P198" s="3" t="s">
        <v>174</v>
      </c>
      <c r="Q198" s="5" t="s">
        <v>34</v>
      </c>
      <c r="R198" s="9">
        <f>S198+T198</f>
        <v>2037216.25</v>
      </c>
      <c r="S198" s="9">
        <v>2037216.25</v>
      </c>
      <c r="T198" s="9">
        <v>0</v>
      </c>
      <c r="U198" s="4">
        <f t="shared" si="115"/>
        <v>311574.25</v>
      </c>
      <c r="V198" s="54">
        <v>311574.25</v>
      </c>
      <c r="W198" s="54">
        <v>0</v>
      </c>
      <c r="X198" s="4">
        <f t="shared" si="116"/>
        <v>47934.5</v>
      </c>
      <c r="Y198" s="9">
        <v>47934.5</v>
      </c>
      <c r="Z198" s="9">
        <v>0</v>
      </c>
      <c r="AA198" s="9">
        <f>AB198+AC198</f>
        <v>0</v>
      </c>
      <c r="AB198" s="9">
        <v>0</v>
      </c>
      <c r="AC198" s="9">
        <v>0</v>
      </c>
      <c r="AD198" s="45">
        <f t="shared" si="117"/>
        <v>2396725</v>
      </c>
      <c r="AE198" s="9">
        <v>0</v>
      </c>
      <c r="AF198" s="9">
        <f>AD198+AE198</f>
        <v>2396725</v>
      </c>
      <c r="AG198" s="60" t="s">
        <v>515</v>
      </c>
      <c r="AH198" s="60" t="s">
        <v>2206</v>
      </c>
      <c r="AI198" s="1">
        <f>239000-2570.36-3498.3-2564.11</f>
        <v>230367.23000000004</v>
      </c>
      <c r="AJ198" s="1">
        <f>2570.36+3498.3+2564.11</f>
        <v>8632.77</v>
      </c>
    </row>
    <row r="199" spans="1:36" ht="173.25" x14ac:dyDescent="0.25">
      <c r="A199" s="5">
        <f t="shared" si="118"/>
        <v>196</v>
      </c>
      <c r="B199" s="16">
        <v>110238</v>
      </c>
      <c r="C199" s="6">
        <v>120</v>
      </c>
      <c r="D199" s="41" t="s">
        <v>1981</v>
      </c>
      <c r="E199" s="18" t="s">
        <v>278</v>
      </c>
      <c r="F199" s="106" t="s">
        <v>246</v>
      </c>
      <c r="G199" s="5" t="s">
        <v>757</v>
      </c>
      <c r="H199" s="5" t="s">
        <v>151</v>
      </c>
      <c r="I199" s="42" t="s">
        <v>260</v>
      </c>
      <c r="J199" s="2">
        <v>43166</v>
      </c>
      <c r="K199" s="2">
        <v>43837</v>
      </c>
      <c r="L199" s="17">
        <f t="shared" ref="L199:L203" si="119">R199/AD199*100</f>
        <v>85.000000235397167</v>
      </c>
      <c r="M199" s="5">
        <v>4</v>
      </c>
      <c r="N199" s="5" t="s">
        <v>249</v>
      </c>
      <c r="O199" s="5" t="s">
        <v>248</v>
      </c>
      <c r="P199" s="3" t="s">
        <v>174</v>
      </c>
      <c r="Q199" s="5" t="s">
        <v>34</v>
      </c>
      <c r="R199" s="4">
        <f>S199+T199</f>
        <v>361091.85</v>
      </c>
      <c r="S199" s="72">
        <v>361091.85</v>
      </c>
      <c r="T199" s="9">
        <v>0</v>
      </c>
      <c r="U199" s="4">
        <f>V199+W199</f>
        <v>55225.82</v>
      </c>
      <c r="V199" s="85">
        <v>55225.82</v>
      </c>
      <c r="W199" s="54">
        <v>0</v>
      </c>
      <c r="X199" s="4">
        <f>Y199+Z199</f>
        <v>8496.27</v>
      </c>
      <c r="Y199" s="160">
        <v>8496.27</v>
      </c>
      <c r="Z199" s="9">
        <v>0</v>
      </c>
      <c r="AA199" s="9">
        <f>AB199+AC199</f>
        <v>0</v>
      </c>
      <c r="AB199" s="9">
        <v>0</v>
      </c>
      <c r="AC199" s="9">
        <v>0</v>
      </c>
      <c r="AD199" s="45">
        <f t="shared" si="117"/>
        <v>424813.94</v>
      </c>
      <c r="AE199" s="9">
        <v>0</v>
      </c>
      <c r="AF199" s="9">
        <f>AD199+AE199</f>
        <v>424813.94</v>
      </c>
      <c r="AG199" s="60" t="s">
        <v>966</v>
      </c>
      <c r="AH199" s="14" t="s">
        <v>1235</v>
      </c>
      <c r="AI199" s="1">
        <v>348222.91000000003</v>
      </c>
      <c r="AJ199" s="1">
        <v>53257.61</v>
      </c>
    </row>
    <row r="200" spans="1:36" ht="173.25" x14ac:dyDescent="0.25">
      <c r="A200" s="5">
        <f t="shared" si="118"/>
        <v>197</v>
      </c>
      <c r="B200" s="16">
        <v>117741</v>
      </c>
      <c r="C200" s="5">
        <v>415</v>
      </c>
      <c r="D200" s="8" t="s">
        <v>1982</v>
      </c>
      <c r="E200" s="8" t="s">
        <v>540</v>
      </c>
      <c r="F200" s="8" t="s">
        <v>756</v>
      </c>
      <c r="G200" s="5" t="s">
        <v>757</v>
      </c>
      <c r="H200" s="5" t="s">
        <v>664</v>
      </c>
      <c r="I200" s="8" t="s">
        <v>758</v>
      </c>
      <c r="J200" s="2">
        <v>43311</v>
      </c>
      <c r="K200" s="2">
        <v>43707</v>
      </c>
      <c r="L200" s="17">
        <f t="shared" si="119"/>
        <v>84.15024511492409</v>
      </c>
      <c r="M200" s="5">
        <v>4</v>
      </c>
      <c r="N200" s="5" t="s">
        <v>249</v>
      </c>
      <c r="O200" s="5" t="s">
        <v>248</v>
      </c>
      <c r="P200" s="5" t="s">
        <v>174</v>
      </c>
      <c r="Q200" s="5" t="s">
        <v>34</v>
      </c>
      <c r="R200" s="4">
        <f>S200+T200</f>
        <v>242958.31</v>
      </c>
      <c r="S200" s="1">
        <v>242958.31</v>
      </c>
      <c r="T200" s="9">
        <v>0</v>
      </c>
      <c r="U200" s="4">
        <f>V200+W200</f>
        <v>39986.97</v>
      </c>
      <c r="V200" s="74">
        <v>39986.97</v>
      </c>
      <c r="W200" s="54">
        <v>0</v>
      </c>
      <c r="X200" s="4">
        <f>Y200+Z200</f>
        <v>2888.03</v>
      </c>
      <c r="Y200" s="1">
        <v>2888.03</v>
      </c>
      <c r="Z200" s="1">
        <v>0</v>
      </c>
      <c r="AA200" s="9">
        <f>AB200+AC200</f>
        <v>2886.36</v>
      </c>
      <c r="AB200" s="1">
        <v>2886.36</v>
      </c>
      <c r="AC200" s="73">
        <v>0</v>
      </c>
      <c r="AD200" s="45">
        <f t="shared" si="117"/>
        <v>288719.67000000004</v>
      </c>
      <c r="AE200" s="60"/>
      <c r="AF200" s="9">
        <f>AD200+AE200</f>
        <v>288719.67000000004</v>
      </c>
      <c r="AG200" s="50" t="s">
        <v>966</v>
      </c>
      <c r="AH200" s="60" t="s">
        <v>1394</v>
      </c>
      <c r="AI200" s="1">
        <v>154052.83000000002</v>
      </c>
      <c r="AJ200" s="1">
        <v>25737.5</v>
      </c>
    </row>
    <row r="201" spans="1:36" ht="172.5" customHeight="1" x14ac:dyDescent="0.25">
      <c r="A201" s="5">
        <f t="shared" si="118"/>
        <v>198</v>
      </c>
      <c r="B201" s="70">
        <v>126246</v>
      </c>
      <c r="C201" s="6">
        <v>537</v>
      </c>
      <c r="D201" s="41" t="s">
        <v>1981</v>
      </c>
      <c r="E201" s="18" t="s">
        <v>1018</v>
      </c>
      <c r="F201" s="8" t="s">
        <v>1161</v>
      </c>
      <c r="G201" s="5" t="s">
        <v>757</v>
      </c>
      <c r="H201" s="5" t="s">
        <v>527</v>
      </c>
      <c r="I201" s="42" t="s">
        <v>1162</v>
      </c>
      <c r="J201" s="2">
        <v>43532</v>
      </c>
      <c r="K201" s="2">
        <v>44447</v>
      </c>
      <c r="L201" s="17">
        <f t="shared" si="119"/>
        <v>84.376572868603944</v>
      </c>
      <c r="M201" s="5">
        <v>4</v>
      </c>
      <c r="N201" s="5" t="s">
        <v>249</v>
      </c>
      <c r="O201" s="5" t="s">
        <v>248</v>
      </c>
      <c r="P201" s="5" t="s">
        <v>174</v>
      </c>
      <c r="Q201" s="5" t="s">
        <v>34</v>
      </c>
      <c r="R201" s="4">
        <f>S201+T201</f>
        <v>3134478.71</v>
      </c>
      <c r="S201" s="82">
        <v>3134478.71</v>
      </c>
      <c r="T201" s="9">
        <v>0</v>
      </c>
      <c r="U201" s="4">
        <f>V201+W201</f>
        <v>506092.39</v>
      </c>
      <c r="V201" s="71">
        <v>506092.39</v>
      </c>
      <c r="W201" s="54">
        <v>0</v>
      </c>
      <c r="X201" s="4">
        <f>Y201+Z201</f>
        <v>47050.879999999997</v>
      </c>
      <c r="Y201" s="82">
        <v>47050.879999999997</v>
      </c>
      <c r="Z201" s="82">
        <v>0</v>
      </c>
      <c r="AA201" s="9">
        <f>AB201+AC201</f>
        <v>27246.5</v>
      </c>
      <c r="AB201" s="82">
        <v>27246.5</v>
      </c>
      <c r="AC201" s="57">
        <v>0</v>
      </c>
      <c r="AD201" s="45">
        <f t="shared" si="117"/>
        <v>3714868.48</v>
      </c>
      <c r="AE201" s="12">
        <v>0</v>
      </c>
      <c r="AF201" s="9">
        <f>AD201+AE201</f>
        <v>3714868.48</v>
      </c>
      <c r="AG201" s="60" t="s">
        <v>515</v>
      </c>
      <c r="AH201" s="12"/>
      <c r="AI201" s="1">
        <f>561658.42-14692.77+100771.01+103124.13-13629.24+122496.25+66492.5-5752.3+44782.25+116689.97-16767.99+92786.64-13103.59</f>
        <v>1144855.2799999998</v>
      </c>
      <c r="AJ201" s="1">
        <f>78790.01+14692.77+17180.78+13629.24+23582.31+5752.3+6849.05+3956.65+16767.99+13103.59</f>
        <v>194304.68999999997</v>
      </c>
    </row>
    <row r="202" spans="1:36" ht="274.5" customHeight="1" x14ac:dyDescent="0.25">
      <c r="A202" s="5">
        <f t="shared" si="118"/>
        <v>199</v>
      </c>
      <c r="B202" s="70">
        <v>135982</v>
      </c>
      <c r="C202" s="6">
        <v>815</v>
      </c>
      <c r="D202" s="41" t="s">
        <v>1981</v>
      </c>
      <c r="E202" s="18" t="s">
        <v>1700</v>
      </c>
      <c r="F202" s="56" t="s">
        <v>1723</v>
      </c>
      <c r="G202" s="5" t="s">
        <v>757</v>
      </c>
      <c r="H202" s="5" t="s">
        <v>151</v>
      </c>
      <c r="I202" s="42" t="s">
        <v>1724</v>
      </c>
      <c r="J202" s="2">
        <v>43959</v>
      </c>
      <c r="K202" s="2">
        <v>44689</v>
      </c>
      <c r="L202" s="17">
        <f t="shared" si="119"/>
        <v>85.000000040154887</v>
      </c>
      <c r="M202" s="5">
        <v>4</v>
      </c>
      <c r="N202" s="5" t="s">
        <v>249</v>
      </c>
      <c r="O202" s="5" t="s">
        <v>248</v>
      </c>
      <c r="P202" s="5" t="s">
        <v>174</v>
      </c>
      <c r="Q202" s="63" t="s">
        <v>34</v>
      </c>
      <c r="R202" s="4">
        <f>S202+T202</f>
        <v>3175204.76</v>
      </c>
      <c r="S202" s="82">
        <v>3175204.76</v>
      </c>
      <c r="T202" s="9">
        <v>0</v>
      </c>
      <c r="U202" s="4">
        <f>V202+W202</f>
        <v>485619.55</v>
      </c>
      <c r="V202" s="71">
        <v>485619.55</v>
      </c>
      <c r="W202" s="54">
        <v>0</v>
      </c>
      <c r="X202" s="4">
        <f>Y202+Z202</f>
        <v>74710.7</v>
      </c>
      <c r="Y202" s="82">
        <v>74710.7</v>
      </c>
      <c r="Z202" s="82">
        <v>0</v>
      </c>
      <c r="AA202" s="9">
        <f>AB202+AC202</f>
        <v>0</v>
      </c>
      <c r="AB202" s="82">
        <v>0</v>
      </c>
      <c r="AC202" s="57">
        <v>0</v>
      </c>
      <c r="AD202" s="45">
        <f t="shared" si="117"/>
        <v>3735535.01</v>
      </c>
      <c r="AE202" s="12">
        <v>0</v>
      </c>
      <c r="AF202" s="9">
        <f>AD202+AE202</f>
        <v>3735535.01</v>
      </c>
      <c r="AG202" s="60" t="s">
        <v>515</v>
      </c>
      <c r="AH202" s="14" t="s">
        <v>151</v>
      </c>
      <c r="AI202" s="1">
        <f>40778.75+103935.07</f>
        <v>144713.82</v>
      </c>
      <c r="AJ202" s="1">
        <f>6236.75+15895.95</f>
        <v>22132.7</v>
      </c>
    </row>
    <row r="203" spans="1:36" ht="409.5" x14ac:dyDescent="0.25">
      <c r="A203" s="5">
        <f t="shared" si="118"/>
        <v>200</v>
      </c>
      <c r="B203" s="70">
        <v>135980</v>
      </c>
      <c r="C203" s="6">
        <v>785</v>
      </c>
      <c r="D203" s="41" t="s">
        <v>1981</v>
      </c>
      <c r="E203" s="18" t="s">
        <v>1700</v>
      </c>
      <c r="F203" s="56" t="s">
        <v>1765</v>
      </c>
      <c r="G203" s="5" t="s">
        <v>1766</v>
      </c>
      <c r="H203" s="5" t="s">
        <v>151</v>
      </c>
      <c r="I203" s="42" t="s">
        <v>1767</v>
      </c>
      <c r="J203" s="2">
        <v>43969</v>
      </c>
      <c r="K203" s="2">
        <v>44760</v>
      </c>
      <c r="L203" s="17">
        <f t="shared" si="119"/>
        <v>85.000000000000014</v>
      </c>
      <c r="M203" s="5">
        <v>4</v>
      </c>
      <c r="N203" s="5" t="s">
        <v>249</v>
      </c>
      <c r="O203" s="5" t="s">
        <v>1768</v>
      </c>
      <c r="P203" s="5" t="s">
        <v>174</v>
      </c>
      <c r="Q203" s="63" t="s">
        <v>34</v>
      </c>
      <c r="R203" s="4">
        <f>S203+T203</f>
        <v>2466463.7000000002</v>
      </c>
      <c r="S203" s="82">
        <v>2466463.7000000002</v>
      </c>
      <c r="T203" s="9">
        <v>0</v>
      </c>
      <c r="U203" s="4">
        <f>V203+W203</f>
        <v>377223.86</v>
      </c>
      <c r="V203" s="71">
        <v>377223.86</v>
      </c>
      <c r="W203" s="54">
        <v>0</v>
      </c>
      <c r="X203" s="4">
        <f>Y203+Z203</f>
        <v>58034.44</v>
      </c>
      <c r="Y203" s="82">
        <v>58034.44</v>
      </c>
      <c r="Z203" s="82">
        <v>0</v>
      </c>
      <c r="AA203" s="9">
        <f>AB203+AC203</f>
        <v>0</v>
      </c>
      <c r="AB203" s="82">
        <v>0</v>
      </c>
      <c r="AC203" s="57">
        <v>0</v>
      </c>
      <c r="AD203" s="45">
        <f t="shared" si="117"/>
        <v>2901722</v>
      </c>
      <c r="AE203" s="12">
        <v>0</v>
      </c>
      <c r="AF203" s="9">
        <f>AD203+AE203</f>
        <v>2901722</v>
      </c>
      <c r="AG203" s="60" t="s">
        <v>515</v>
      </c>
      <c r="AH203" s="14" t="s">
        <v>151</v>
      </c>
      <c r="AI203" s="1">
        <f>57510.16+41820+20836.05+34875.5+35599.7+34006.8</f>
        <v>224648.21000000002</v>
      </c>
      <c r="AJ203" s="1">
        <f>8795.67+6396+3186.69+5333.9+5444.66+5201.04</f>
        <v>34357.96</v>
      </c>
    </row>
    <row r="204" spans="1:36" s="102" customFormat="1" ht="157.5" x14ac:dyDescent="0.25">
      <c r="A204" s="5">
        <f t="shared" si="118"/>
        <v>201</v>
      </c>
      <c r="B204" s="16">
        <v>120531</v>
      </c>
      <c r="C204" s="6">
        <v>76</v>
      </c>
      <c r="D204" s="41" t="s">
        <v>1981</v>
      </c>
      <c r="E204" s="18" t="s">
        <v>278</v>
      </c>
      <c r="F204" s="19" t="s">
        <v>190</v>
      </c>
      <c r="G204" s="3" t="s">
        <v>191</v>
      </c>
      <c r="H204" s="5" t="s">
        <v>151</v>
      </c>
      <c r="I204" s="8" t="s">
        <v>192</v>
      </c>
      <c r="J204" s="2">
        <v>43129</v>
      </c>
      <c r="K204" s="2">
        <v>43798</v>
      </c>
      <c r="L204" s="17">
        <f t="shared" ref="L204:L213" si="120">R204/AD204*100</f>
        <v>85.000000405063261</v>
      </c>
      <c r="M204" s="5">
        <v>3</v>
      </c>
      <c r="N204" s="5" t="s">
        <v>194</v>
      </c>
      <c r="O204" s="5" t="s">
        <v>193</v>
      </c>
      <c r="P204" s="3" t="s">
        <v>174</v>
      </c>
      <c r="Q204" s="5" t="s">
        <v>34</v>
      </c>
      <c r="R204" s="9">
        <f t="shared" ref="R204:R213" si="121">S204+T204</f>
        <v>524609.42000000004</v>
      </c>
      <c r="S204" s="89">
        <v>524609.42000000004</v>
      </c>
      <c r="T204" s="9">
        <v>0</v>
      </c>
      <c r="U204" s="4">
        <f t="shared" ref="U204:U213" si="122">V204+W204</f>
        <v>80234.38</v>
      </c>
      <c r="V204" s="131">
        <v>80234.38</v>
      </c>
      <c r="W204" s="54">
        <v>0</v>
      </c>
      <c r="X204" s="4">
        <f t="shared" ref="X204:X213" si="123">Y204+Z204</f>
        <v>12343.75</v>
      </c>
      <c r="Y204" s="89">
        <v>12343.75</v>
      </c>
      <c r="Z204" s="9">
        <v>0</v>
      </c>
      <c r="AA204" s="9">
        <f t="shared" ref="AA204:AA213" si="124">AB204+AC204</f>
        <v>0</v>
      </c>
      <c r="AB204" s="9">
        <v>0</v>
      </c>
      <c r="AC204" s="9">
        <v>0</v>
      </c>
      <c r="AD204" s="45">
        <f t="shared" si="117"/>
        <v>617187.55000000005</v>
      </c>
      <c r="AE204" s="9">
        <v>0</v>
      </c>
      <c r="AF204" s="9">
        <f t="shared" ref="AF204:AF213" si="125">AD204+AE204</f>
        <v>617187.55000000005</v>
      </c>
      <c r="AG204" s="50" t="s">
        <v>966</v>
      </c>
      <c r="AH204" s="14" t="s">
        <v>151</v>
      </c>
      <c r="AI204" s="1">
        <v>398279.01</v>
      </c>
      <c r="AJ204" s="1">
        <v>60913.25</v>
      </c>
    </row>
    <row r="205" spans="1:36" s="161" customFormat="1" ht="157.5" x14ac:dyDescent="0.25">
      <c r="A205" s="5">
        <f t="shared" si="118"/>
        <v>202</v>
      </c>
      <c r="B205" s="16">
        <v>119702</v>
      </c>
      <c r="C205" s="6">
        <v>462</v>
      </c>
      <c r="D205" s="41" t="s">
        <v>1981</v>
      </c>
      <c r="E205" s="104" t="s">
        <v>474</v>
      </c>
      <c r="F205" s="8" t="s">
        <v>533</v>
      </c>
      <c r="G205" s="5" t="s">
        <v>191</v>
      </c>
      <c r="H205" s="5" t="s">
        <v>151</v>
      </c>
      <c r="I205" s="8" t="s">
        <v>535</v>
      </c>
      <c r="J205" s="2">
        <v>43269</v>
      </c>
      <c r="K205" s="2">
        <v>43756</v>
      </c>
      <c r="L205" s="17">
        <f t="shared" si="120"/>
        <v>85.000000000000014</v>
      </c>
      <c r="M205" s="5">
        <v>3</v>
      </c>
      <c r="N205" s="5" t="s">
        <v>194</v>
      </c>
      <c r="O205" s="5" t="s">
        <v>193</v>
      </c>
      <c r="P205" s="5" t="s">
        <v>174</v>
      </c>
      <c r="Q205" s="5" t="s">
        <v>478</v>
      </c>
      <c r="R205" s="9">
        <f t="shared" si="121"/>
        <v>289363.96999999997</v>
      </c>
      <c r="S205" s="1">
        <v>289363.96999999997</v>
      </c>
      <c r="T205" s="9">
        <v>0</v>
      </c>
      <c r="U205" s="4">
        <f t="shared" si="122"/>
        <v>44255.67</v>
      </c>
      <c r="V205" s="74">
        <v>44255.67</v>
      </c>
      <c r="W205" s="54">
        <v>0</v>
      </c>
      <c r="X205" s="4">
        <f t="shared" si="123"/>
        <v>6808.5599999999995</v>
      </c>
      <c r="Y205" s="1">
        <v>6808.5599999999995</v>
      </c>
      <c r="Z205" s="9">
        <v>0</v>
      </c>
      <c r="AA205" s="9">
        <f t="shared" si="124"/>
        <v>0</v>
      </c>
      <c r="AB205" s="9">
        <v>0</v>
      </c>
      <c r="AC205" s="9">
        <v>0</v>
      </c>
      <c r="AD205" s="45">
        <f t="shared" si="117"/>
        <v>340428.19999999995</v>
      </c>
      <c r="AE205" s="9">
        <v>0</v>
      </c>
      <c r="AF205" s="9">
        <f t="shared" si="125"/>
        <v>340428.19999999995</v>
      </c>
      <c r="AG205" s="50" t="s">
        <v>966</v>
      </c>
      <c r="AH205" s="110" t="s">
        <v>1216</v>
      </c>
      <c r="AI205" s="1">
        <v>261948.47000000003</v>
      </c>
      <c r="AJ205" s="1">
        <v>40062.699999999997</v>
      </c>
    </row>
    <row r="206" spans="1:36" ht="204.75" x14ac:dyDescent="0.25">
      <c r="A206" s="5">
        <f t="shared" si="118"/>
        <v>203</v>
      </c>
      <c r="B206" s="16">
        <v>117960</v>
      </c>
      <c r="C206" s="5">
        <v>418</v>
      </c>
      <c r="D206" s="8" t="s">
        <v>1982</v>
      </c>
      <c r="E206" s="8" t="s">
        <v>540</v>
      </c>
      <c r="F206" s="8" t="s">
        <v>802</v>
      </c>
      <c r="G206" s="5" t="s">
        <v>191</v>
      </c>
      <c r="H206" s="5" t="s">
        <v>151</v>
      </c>
      <c r="I206" s="8" t="s">
        <v>803</v>
      </c>
      <c r="J206" s="2">
        <v>43318</v>
      </c>
      <c r="K206" s="2">
        <v>43805</v>
      </c>
      <c r="L206" s="17">
        <f t="shared" si="120"/>
        <v>85</v>
      </c>
      <c r="M206" s="5">
        <v>3</v>
      </c>
      <c r="N206" s="5" t="s">
        <v>194</v>
      </c>
      <c r="O206" s="5" t="s">
        <v>193</v>
      </c>
      <c r="P206" s="5" t="s">
        <v>174</v>
      </c>
      <c r="Q206" s="5" t="s">
        <v>478</v>
      </c>
      <c r="R206" s="9">
        <f t="shared" si="121"/>
        <v>339865.02</v>
      </c>
      <c r="S206" s="1">
        <v>339865.02</v>
      </c>
      <c r="T206" s="55">
        <v>0</v>
      </c>
      <c r="U206" s="4">
        <f t="shared" si="122"/>
        <v>51979.35</v>
      </c>
      <c r="V206" s="74">
        <v>51979.35</v>
      </c>
      <c r="W206" s="74">
        <v>0</v>
      </c>
      <c r="X206" s="4">
        <f t="shared" si="123"/>
        <v>7996.83</v>
      </c>
      <c r="Y206" s="1">
        <v>7996.83</v>
      </c>
      <c r="Z206" s="1">
        <v>0</v>
      </c>
      <c r="AA206" s="9">
        <f t="shared" si="124"/>
        <v>0</v>
      </c>
      <c r="AB206" s="55">
        <v>0</v>
      </c>
      <c r="AC206" s="55">
        <v>0</v>
      </c>
      <c r="AD206" s="45">
        <f t="shared" si="117"/>
        <v>399841.2</v>
      </c>
      <c r="AE206" s="1">
        <v>0</v>
      </c>
      <c r="AF206" s="9">
        <f t="shared" si="125"/>
        <v>399841.2</v>
      </c>
      <c r="AG206" s="50" t="s">
        <v>966</v>
      </c>
      <c r="AH206" s="60"/>
      <c r="AI206" s="1">
        <v>229276.43000000002</v>
      </c>
      <c r="AJ206" s="1">
        <v>35065.81</v>
      </c>
    </row>
    <row r="207" spans="1:36" ht="141.75" x14ac:dyDescent="0.25">
      <c r="A207" s="5">
        <f t="shared" si="118"/>
        <v>204</v>
      </c>
      <c r="B207" s="16">
        <v>126286</v>
      </c>
      <c r="C207" s="5">
        <v>513</v>
      </c>
      <c r="D207" s="41" t="s">
        <v>1981</v>
      </c>
      <c r="E207" s="8" t="s">
        <v>1018</v>
      </c>
      <c r="F207" s="8" t="s">
        <v>1080</v>
      </c>
      <c r="G207" s="5" t="s">
        <v>1082</v>
      </c>
      <c r="H207" s="5" t="s">
        <v>151</v>
      </c>
      <c r="I207" s="8" t="s">
        <v>1081</v>
      </c>
      <c r="J207" s="2">
        <v>43451</v>
      </c>
      <c r="K207" s="2">
        <v>44182</v>
      </c>
      <c r="L207" s="17">
        <f t="shared" si="120"/>
        <v>85.000000627550136</v>
      </c>
      <c r="M207" s="5">
        <v>3</v>
      </c>
      <c r="N207" s="5" t="s">
        <v>1343</v>
      </c>
      <c r="O207" s="5" t="s">
        <v>1082</v>
      </c>
      <c r="P207" s="5" t="s">
        <v>174</v>
      </c>
      <c r="Q207" s="5" t="s">
        <v>478</v>
      </c>
      <c r="R207" s="9">
        <f t="shared" si="121"/>
        <v>2370328.59</v>
      </c>
      <c r="S207" s="1">
        <v>2370328.59</v>
      </c>
      <c r="T207" s="55">
        <v>0</v>
      </c>
      <c r="U207" s="4">
        <f t="shared" si="122"/>
        <v>362520.82</v>
      </c>
      <c r="V207" s="74">
        <v>362520.82</v>
      </c>
      <c r="W207" s="74">
        <v>0</v>
      </c>
      <c r="X207" s="4">
        <f t="shared" si="123"/>
        <v>55772.44</v>
      </c>
      <c r="Y207" s="1">
        <v>55772.44</v>
      </c>
      <c r="Z207" s="1">
        <v>0</v>
      </c>
      <c r="AA207" s="9">
        <f t="shared" si="124"/>
        <v>0</v>
      </c>
      <c r="AB207" s="55">
        <v>0</v>
      </c>
      <c r="AC207" s="55">
        <v>0</v>
      </c>
      <c r="AD207" s="45">
        <f t="shared" si="117"/>
        <v>2788621.8499999996</v>
      </c>
      <c r="AE207" s="1">
        <v>0</v>
      </c>
      <c r="AF207" s="9">
        <f t="shared" si="125"/>
        <v>2788621.8499999996</v>
      </c>
      <c r="AG207" s="60" t="s">
        <v>966</v>
      </c>
      <c r="AH207" s="60" t="s">
        <v>151</v>
      </c>
      <c r="AI207" s="1">
        <f>627672.32-17778.09+287234.86+139082.99+89907.24+794027.5-2746.9+72930.32-12652.29 -1844.57-726.44</f>
        <v>1975106.9400000002</v>
      </c>
      <c r="AJ207" s="1">
        <f>63184.36+17778.09+43930.03+21271.52+17999.69+121439.5+2746.9+11154.05+1844.57+726.44</f>
        <v>302075.15000000002</v>
      </c>
    </row>
    <row r="208" spans="1:36" ht="141.75" x14ac:dyDescent="0.25">
      <c r="A208" s="5">
        <f t="shared" si="118"/>
        <v>205</v>
      </c>
      <c r="B208" s="16">
        <v>129573</v>
      </c>
      <c r="C208" s="5">
        <v>665</v>
      </c>
      <c r="D208" s="41" t="s">
        <v>1981</v>
      </c>
      <c r="E208" s="8" t="s">
        <v>1246</v>
      </c>
      <c r="F208" s="8" t="s">
        <v>1342</v>
      </c>
      <c r="G208" s="5" t="s">
        <v>191</v>
      </c>
      <c r="H208" s="5" t="s">
        <v>151</v>
      </c>
      <c r="I208" s="8" t="s">
        <v>1344</v>
      </c>
      <c r="J208" s="2">
        <v>43654</v>
      </c>
      <c r="K208" s="2">
        <v>44569</v>
      </c>
      <c r="L208" s="17">
        <f t="shared" si="120"/>
        <v>85.000000000000014</v>
      </c>
      <c r="M208" s="5">
        <v>3</v>
      </c>
      <c r="N208" s="5" t="s">
        <v>1343</v>
      </c>
      <c r="O208" s="5" t="s">
        <v>193</v>
      </c>
      <c r="P208" s="5" t="s">
        <v>174</v>
      </c>
      <c r="Q208" s="5" t="s">
        <v>478</v>
      </c>
      <c r="R208" s="9">
        <f t="shared" si="121"/>
        <v>2547988.73</v>
      </c>
      <c r="S208" s="1">
        <v>2547988.73</v>
      </c>
      <c r="T208" s="55">
        <v>0</v>
      </c>
      <c r="U208" s="4">
        <f t="shared" si="122"/>
        <v>389692.4</v>
      </c>
      <c r="V208" s="74">
        <v>389692.4</v>
      </c>
      <c r="W208" s="74">
        <v>0</v>
      </c>
      <c r="X208" s="4">
        <f t="shared" si="123"/>
        <v>59952.67</v>
      </c>
      <c r="Y208" s="1">
        <v>59952.67</v>
      </c>
      <c r="Z208" s="1">
        <v>0</v>
      </c>
      <c r="AA208" s="9">
        <f t="shared" si="124"/>
        <v>0</v>
      </c>
      <c r="AB208" s="55">
        <v>0</v>
      </c>
      <c r="AC208" s="55">
        <v>0</v>
      </c>
      <c r="AD208" s="45">
        <f t="shared" si="117"/>
        <v>2997633.8</v>
      </c>
      <c r="AE208" s="1">
        <v>21896</v>
      </c>
      <c r="AF208" s="9">
        <f t="shared" si="125"/>
        <v>3019529.8</v>
      </c>
      <c r="AG208" s="60" t="s">
        <v>515</v>
      </c>
      <c r="AH208" s="60" t="s">
        <v>151</v>
      </c>
      <c r="AI208" s="1">
        <f>72625.7+892213.31+580328.59</f>
        <v>1545167.6</v>
      </c>
      <c r="AJ208" s="1">
        <f>11107.46+136456.15+88756.14</f>
        <v>236319.75</v>
      </c>
    </row>
    <row r="209" spans="1:36" ht="250.5" customHeight="1" x14ac:dyDescent="0.25">
      <c r="A209" s="5">
        <f t="shared" si="118"/>
        <v>206</v>
      </c>
      <c r="B209" s="16">
        <v>129682</v>
      </c>
      <c r="C209" s="5">
        <v>666</v>
      </c>
      <c r="D209" s="41" t="s">
        <v>1981</v>
      </c>
      <c r="E209" s="8" t="s">
        <v>1246</v>
      </c>
      <c r="F209" s="8" t="s">
        <v>1390</v>
      </c>
      <c r="G209" s="5" t="s">
        <v>2004</v>
      </c>
      <c r="H209" s="5" t="s">
        <v>151</v>
      </c>
      <c r="I209" s="8" t="s">
        <v>1393</v>
      </c>
      <c r="J209" s="2">
        <v>43677</v>
      </c>
      <c r="K209" s="2">
        <v>44592</v>
      </c>
      <c r="L209" s="17">
        <f t="shared" si="120"/>
        <v>84.999999798883323</v>
      </c>
      <c r="M209" s="5">
        <v>3</v>
      </c>
      <c r="N209" s="5" t="s">
        <v>1391</v>
      </c>
      <c r="O209" s="5" t="s">
        <v>1392</v>
      </c>
      <c r="P209" s="5" t="s">
        <v>174</v>
      </c>
      <c r="Q209" s="5" t="s">
        <v>478</v>
      </c>
      <c r="R209" s="9">
        <f t="shared" si="121"/>
        <v>3381122.07</v>
      </c>
      <c r="S209" s="1">
        <v>3381122.07</v>
      </c>
      <c r="T209" s="55">
        <v>0</v>
      </c>
      <c r="U209" s="4">
        <f t="shared" si="122"/>
        <v>517112.16</v>
      </c>
      <c r="V209" s="74">
        <v>517112.16</v>
      </c>
      <c r="W209" s="74">
        <v>0</v>
      </c>
      <c r="X209" s="4">
        <f t="shared" si="123"/>
        <v>79556.45</v>
      </c>
      <c r="Y209" s="1">
        <v>79556.45</v>
      </c>
      <c r="Z209" s="55">
        <v>0</v>
      </c>
      <c r="AA209" s="9">
        <f t="shared" si="124"/>
        <v>0</v>
      </c>
      <c r="AB209" s="9">
        <v>0</v>
      </c>
      <c r="AC209" s="9">
        <v>0</v>
      </c>
      <c r="AD209" s="45">
        <f t="shared" si="117"/>
        <v>3977790.68</v>
      </c>
      <c r="AE209" s="1">
        <v>0</v>
      </c>
      <c r="AF209" s="9">
        <f t="shared" si="125"/>
        <v>3977790.68</v>
      </c>
      <c r="AG209" s="60" t="s">
        <v>515</v>
      </c>
      <c r="AH209" s="60" t="s">
        <v>151</v>
      </c>
      <c r="AI209" s="1">
        <f>232011.58+75548+208007.75+777843.5+140612.95</f>
        <v>1434023.78</v>
      </c>
      <c r="AJ209" s="1">
        <f>35483.98+11554.29+31812.88+118964.3+21505.4</f>
        <v>219320.85</v>
      </c>
    </row>
    <row r="210" spans="1:36" ht="210.75" customHeight="1" x14ac:dyDescent="0.25">
      <c r="A210" s="5">
        <f t="shared" si="118"/>
        <v>207</v>
      </c>
      <c r="B210" s="16">
        <v>135925</v>
      </c>
      <c r="C210" s="5">
        <v>767</v>
      </c>
      <c r="D210" s="41" t="s">
        <v>1981</v>
      </c>
      <c r="E210" s="18" t="s">
        <v>1700</v>
      </c>
      <c r="F210" s="8" t="s">
        <v>1725</v>
      </c>
      <c r="G210" s="5" t="s">
        <v>1726</v>
      </c>
      <c r="H210" s="5" t="s">
        <v>151</v>
      </c>
      <c r="I210" s="8" t="s">
        <v>1727</v>
      </c>
      <c r="J210" s="2">
        <v>43959</v>
      </c>
      <c r="K210" s="2">
        <v>44508</v>
      </c>
      <c r="L210" s="17">
        <f t="shared" si="120"/>
        <v>84.999999999999986</v>
      </c>
      <c r="M210" s="5">
        <v>3</v>
      </c>
      <c r="N210" s="5" t="s">
        <v>1391</v>
      </c>
      <c r="O210" s="5" t="s">
        <v>1726</v>
      </c>
      <c r="P210" s="5" t="s">
        <v>174</v>
      </c>
      <c r="Q210" s="5" t="s">
        <v>1713</v>
      </c>
      <c r="R210" s="9">
        <f t="shared" si="121"/>
        <v>1880240.97</v>
      </c>
      <c r="S210" s="1">
        <v>1880240.97</v>
      </c>
      <c r="T210" s="55">
        <v>0</v>
      </c>
      <c r="U210" s="4">
        <f t="shared" si="122"/>
        <v>287566.27</v>
      </c>
      <c r="V210" s="74">
        <v>287566.27</v>
      </c>
      <c r="W210" s="74">
        <v>0</v>
      </c>
      <c r="X210" s="4">
        <f t="shared" si="123"/>
        <v>44240.959999999999</v>
      </c>
      <c r="Y210" s="1">
        <v>44240.959999999999</v>
      </c>
      <c r="Z210" s="55">
        <v>0</v>
      </c>
      <c r="AA210" s="9">
        <f t="shared" si="124"/>
        <v>0</v>
      </c>
      <c r="AB210" s="9">
        <v>0</v>
      </c>
      <c r="AC210" s="9">
        <v>0</v>
      </c>
      <c r="AD210" s="45">
        <f t="shared" si="117"/>
        <v>2212048.2000000002</v>
      </c>
      <c r="AE210" s="1">
        <v>2975</v>
      </c>
      <c r="AF210" s="9">
        <f t="shared" si="125"/>
        <v>2215023.2000000002</v>
      </c>
      <c r="AG210" s="60" t="s">
        <v>515</v>
      </c>
      <c r="AH210" s="60" t="s">
        <v>151</v>
      </c>
      <c r="AI210" s="1">
        <f>216000-24481.73+44910.08</f>
        <v>236428.34999999998</v>
      </c>
      <c r="AJ210" s="1">
        <f>24481.73+11677.9</f>
        <v>36159.629999999997</v>
      </c>
    </row>
    <row r="211" spans="1:36" ht="283.5" x14ac:dyDescent="0.25">
      <c r="A211" s="5">
        <f t="shared" si="118"/>
        <v>208</v>
      </c>
      <c r="B211" s="16">
        <v>136159</v>
      </c>
      <c r="C211" s="5">
        <v>846</v>
      </c>
      <c r="D211" s="41" t="s">
        <v>1981</v>
      </c>
      <c r="E211" s="18" t="s">
        <v>1700</v>
      </c>
      <c r="F211" s="8" t="s">
        <v>1733</v>
      </c>
      <c r="G211" s="5" t="s">
        <v>1082</v>
      </c>
      <c r="H211" s="5" t="s">
        <v>151</v>
      </c>
      <c r="I211" s="8" t="s">
        <v>1734</v>
      </c>
      <c r="J211" s="2">
        <v>43959</v>
      </c>
      <c r="K211" s="2">
        <v>44508</v>
      </c>
      <c r="L211" s="17">
        <f t="shared" si="120"/>
        <v>85.00000013300064</v>
      </c>
      <c r="M211" s="5">
        <v>3</v>
      </c>
      <c r="N211" s="5" t="s">
        <v>1391</v>
      </c>
      <c r="O211" s="5" t="s">
        <v>1082</v>
      </c>
      <c r="P211" s="5" t="s">
        <v>174</v>
      </c>
      <c r="Q211" s="5" t="s">
        <v>1713</v>
      </c>
      <c r="R211" s="9">
        <f t="shared" si="121"/>
        <v>3195473.6</v>
      </c>
      <c r="S211" s="1">
        <v>3195473.6</v>
      </c>
      <c r="T211" s="55">
        <v>0</v>
      </c>
      <c r="U211" s="4">
        <f t="shared" si="122"/>
        <v>488719.49</v>
      </c>
      <c r="V211" s="74">
        <v>488719.49</v>
      </c>
      <c r="W211" s="74">
        <v>0</v>
      </c>
      <c r="X211" s="4">
        <f t="shared" si="123"/>
        <v>75187.61</v>
      </c>
      <c r="Y211" s="1">
        <v>75187.61</v>
      </c>
      <c r="Z211" s="55">
        <v>0</v>
      </c>
      <c r="AA211" s="9">
        <f t="shared" si="124"/>
        <v>0</v>
      </c>
      <c r="AB211" s="9">
        <v>0</v>
      </c>
      <c r="AC211" s="9">
        <v>0</v>
      </c>
      <c r="AD211" s="45">
        <f t="shared" si="117"/>
        <v>3759380.6999999997</v>
      </c>
      <c r="AE211" s="1">
        <v>0</v>
      </c>
      <c r="AF211" s="9">
        <f t="shared" si="125"/>
        <v>3759380.6999999997</v>
      </c>
      <c r="AG211" s="60" t="s">
        <v>515</v>
      </c>
      <c r="AH211" s="60" t="s">
        <v>2151</v>
      </c>
      <c r="AI211" s="1">
        <f>207152.02-5478.06-136607.56-980+52494.71+16815.94</f>
        <v>133397.04999999999</v>
      </c>
      <c r="AJ211" s="1">
        <f>5478.06+4473.27-130+10580.57</f>
        <v>20401.900000000001</v>
      </c>
    </row>
    <row r="212" spans="1:36" ht="283.5" x14ac:dyDescent="0.25">
      <c r="A212" s="5">
        <f t="shared" si="118"/>
        <v>209</v>
      </c>
      <c r="B212" s="16">
        <v>136243</v>
      </c>
      <c r="C212" s="5">
        <v>824</v>
      </c>
      <c r="D212" s="41" t="s">
        <v>1981</v>
      </c>
      <c r="E212" s="18" t="s">
        <v>1700</v>
      </c>
      <c r="F212" s="8" t="s">
        <v>1771</v>
      </c>
      <c r="G212" s="5" t="s">
        <v>1772</v>
      </c>
      <c r="H212" s="5" t="s">
        <v>151</v>
      </c>
      <c r="I212" s="8" t="s">
        <v>1773</v>
      </c>
      <c r="J212" s="2">
        <v>43969</v>
      </c>
      <c r="K212" s="2">
        <v>44852</v>
      </c>
      <c r="L212" s="17">
        <f t="shared" si="120"/>
        <v>85.000000012520232</v>
      </c>
      <c r="M212" s="5">
        <v>3</v>
      </c>
      <c r="N212" s="5" t="s">
        <v>1391</v>
      </c>
      <c r="O212" s="5" t="s">
        <v>1772</v>
      </c>
      <c r="P212" s="5" t="s">
        <v>174</v>
      </c>
      <c r="Q212" s="5" t="s">
        <v>1713</v>
      </c>
      <c r="R212" s="9">
        <f t="shared" si="121"/>
        <v>3394504.81</v>
      </c>
      <c r="S212" s="1">
        <v>3394504.81</v>
      </c>
      <c r="T212" s="55">
        <v>0</v>
      </c>
      <c r="U212" s="4">
        <f t="shared" si="122"/>
        <v>519159.56</v>
      </c>
      <c r="V212" s="74">
        <v>519159.56</v>
      </c>
      <c r="W212" s="74">
        <v>0</v>
      </c>
      <c r="X212" s="4">
        <f t="shared" si="123"/>
        <v>79870.7</v>
      </c>
      <c r="Y212" s="1">
        <v>79870.7</v>
      </c>
      <c r="Z212" s="55">
        <v>0</v>
      </c>
      <c r="AA212" s="9">
        <f t="shared" si="124"/>
        <v>0</v>
      </c>
      <c r="AB212" s="9">
        <v>0</v>
      </c>
      <c r="AC212" s="9">
        <v>0</v>
      </c>
      <c r="AD212" s="45">
        <f t="shared" si="117"/>
        <v>3993535.0700000003</v>
      </c>
      <c r="AE212" s="1">
        <v>0</v>
      </c>
      <c r="AF212" s="9">
        <f t="shared" si="125"/>
        <v>3993535.0700000003</v>
      </c>
      <c r="AG212" s="60" t="s">
        <v>515</v>
      </c>
      <c r="AH212" s="60" t="s">
        <v>151</v>
      </c>
      <c r="AI212" s="1">
        <v>14571.55</v>
      </c>
      <c r="AJ212" s="1">
        <v>2228.59</v>
      </c>
    </row>
    <row r="213" spans="1:36" ht="283.5" x14ac:dyDescent="0.25">
      <c r="A213" s="5">
        <f t="shared" si="118"/>
        <v>210</v>
      </c>
      <c r="B213" s="16">
        <v>136133</v>
      </c>
      <c r="C213" s="5">
        <v>792</v>
      </c>
      <c r="D213" s="41" t="s">
        <v>1981</v>
      </c>
      <c r="E213" s="18" t="s">
        <v>1700</v>
      </c>
      <c r="F213" s="8" t="s">
        <v>1869</v>
      </c>
      <c r="G213" s="5" t="s">
        <v>2004</v>
      </c>
      <c r="H213" s="5" t="s">
        <v>151</v>
      </c>
      <c r="I213" s="8" t="s">
        <v>1870</v>
      </c>
      <c r="J213" s="2">
        <v>44014</v>
      </c>
      <c r="K213" s="2">
        <v>44563</v>
      </c>
      <c r="L213" s="17">
        <f t="shared" si="120"/>
        <v>85.000000233024664</v>
      </c>
      <c r="M213" s="5">
        <v>3</v>
      </c>
      <c r="N213" s="5" t="s">
        <v>1391</v>
      </c>
      <c r="O213" s="5" t="s">
        <v>1392</v>
      </c>
      <c r="P213" s="5" t="s">
        <v>174</v>
      </c>
      <c r="Q213" s="5" t="s">
        <v>1713</v>
      </c>
      <c r="R213" s="9">
        <f t="shared" si="121"/>
        <v>2370993.67</v>
      </c>
      <c r="S213" s="1">
        <v>2370993.67</v>
      </c>
      <c r="T213" s="55">
        <v>0</v>
      </c>
      <c r="U213" s="4">
        <f t="shared" si="122"/>
        <v>362622.56</v>
      </c>
      <c r="V213" s="74">
        <v>362622.56</v>
      </c>
      <c r="W213" s="74">
        <v>0</v>
      </c>
      <c r="X213" s="4">
        <f t="shared" si="123"/>
        <v>55788.08</v>
      </c>
      <c r="Y213" s="1">
        <v>55788.08</v>
      </c>
      <c r="Z213" s="55">
        <v>0</v>
      </c>
      <c r="AA213" s="9">
        <f t="shared" si="124"/>
        <v>0</v>
      </c>
      <c r="AB213" s="9">
        <v>0</v>
      </c>
      <c r="AC213" s="9">
        <v>0</v>
      </c>
      <c r="AD213" s="45">
        <f t="shared" si="117"/>
        <v>2789404.31</v>
      </c>
      <c r="AE213" s="1">
        <v>0</v>
      </c>
      <c r="AF213" s="9">
        <f t="shared" si="125"/>
        <v>2789404.31</v>
      </c>
      <c r="AG213" s="60" t="s">
        <v>515</v>
      </c>
      <c r="AH213" s="60" t="s">
        <v>151</v>
      </c>
      <c r="AI213" s="1">
        <f>60995.15+165203.29</f>
        <v>226198.44</v>
      </c>
      <c r="AJ213" s="1">
        <f>9328.67+25266.39</f>
        <v>34595.06</v>
      </c>
    </row>
    <row r="214" spans="1:36" ht="126" customHeight="1" x14ac:dyDescent="0.25">
      <c r="A214" s="5">
        <f t="shared" si="118"/>
        <v>211</v>
      </c>
      <c r="B214" s="16">
        <v>119208</v>
      </c>
      <c r="C214" s="5">
        <v>489</v>
      </c>
      <c r="D214" s="41" t="s">
        <v>1981</v>
      </c>
      <c r="E214" s="18" t="s">
        <v>474</v>
      </c>
      <c r="F214" s="5" t="s">
        <v>994</v>
      </c>
      <c r="G214" s="5" t="s">
        <v>995</v>
      </c>
      <c r="H214" s="5" t="s">
        <v>362</v>
      </c>
      <c r="I214" s="42" t="s">
        <v>1680</v>
      </c>
      <c r="J214" s="2">
        <v>43396</v>
      </c>
      <c r="K214" s="2">
        <v>43884</v>
      </c>
      <c r="L214" s="17">
        <f>R214/AD214*100</f>
        <v>85</v>
      </c>
      <c r="M214" s="5">
        <v>1</v>
      </c>
      <c r="N214" s="5" t="s">
        <v>993</v>
      </c>
      <c r="O214" s="5" t="s">
        <v>996</v>
      </c>
      <c r="P214" s="3" t="s">
        <v>174</v>
      </c>
      <c r="Q214" s="5" t="s">
        <v>34</v>
      </c>
      <c r="R214" s="9">
        <f>S214+T214</f>
        <v>529360.44999999995</v>
      </c>
      <c r="S214" s="9">
        <v>529360.44999999995</v>
      </c>
      <c r="T214" s="9">
        <v>0</v>
      </c>
      <c r="U214" s="4">
        <f>V214+W214</f>
        <v>80961.009999999995</v>
      </c>
      <c r="V214" s="54">
        <v>80961.009999999995</v>
      </c>
      <c r="W214" s="54">
        <v>0</v>
      </c>
      <c r="X214" s="4">
        <f>Y214+Z214</f>
        <v>12455.54</v>
      </c>
      <c r="Y214" s="9">
        <v>12455.54</v>
      </c>
      <c r="Z214" s="9">
        <v>0</v>
      </c>
      <c r="AA214" s="9">
        <f>AB214+AC214</f>
        <v>0</v>
      </c>
      <c r="AB214" s="9">
        <v>0</v>
      </c>
      <c r="AC214" s="9">
        <v>0</v>
      </c>
      <c r="AD214" s="45">
        <f t="shared" si="117"/>
        <v>622777</v>
      </c>
      <c r="AE214" s="9"/>
      <c r="AF214" s="9">
        <f>AD214+AE214</f>
        <v>622777</v>
      </c>
      <c r="AG214" s="60" t="s">
        <v>1685</v>
      </c>
      <c r="AH214" s="14"/>
      <c r="AI214" s="1">
        <v>483717.67</v>
      </c>
      <c r="AJ214" s="1">
        <v>73980.329999999987</v>
      </c>
    </row>
    <row r="215" spans="1:36" ht="141.75" x14ac:dyDescent="0.25">
      <c r="A215" s="5">
        <f t="shared" si="118"/>
        <v>212</v>
      </c>
      <c r="B215" s="16">
        <v>122867</v>
      </c>
      <c r="C215" s="70">
        <v>105</v>
      </c>
      <c r="D215" s="41" t="s">
        <v>1981</v>
      </c>
      <c r="E215" s="18" t="s">
        <v>278</v>
      </c>
      <c r="F215" s="8" t="s">
        <v>888</v>
      </c>
      <c r="G215" s="5" t="s">
        <v>1029</v>
      </c>
      <c r="H215" s="5" t="s">
        <v>889</v>
      </c>
      <c r="I215" s="42" t="s">
        <v>890</v>
      </c>
      <c r="J215" s="2">
        <v>43342</v>
      </c>
      <c r="K215" s="2">
        <v>43707</v>
      </c>
      <c r="L215" s="17">
        <f>R215/AD215*100</f>
        <v>84.194914940710191</v>
      </c>
      <c r="M215" s="5">
        <v>1</v>
      </c>
      <c r="N215" s="5" t="s">
        <v>891</v>
      </c>
      <c r="O215" s="5" t="s">
        <v>892</v>
      </c>
      <c r="P215" s="3" t="s">
        <v>174</v>
      </c>
      <c r="Q215" s="5" t="s">
        <v>34</v>
      </c>
      <c r="R215" s="9">
        <f>S215+T215</f>
        <v>351606.78</v>
      </c>
      <c r="S215" s="9">
        <v>351606.78</v>
      </c>
      <c r="T215" s="9">
        <v>0</v>
      </c>
      <c r="U215" s="4">
        <f>V215+W215</f>
        <v>57651.47</v>
      </c>
      <c r="V215" s="54">
        <v>57651.47</v>
      </c>
      <c r="W215" s="54">
        <v>0</v>
      </c>
      <c r="X215" s="4">
        <f>Y215+Z215</f>
        <v>8352.2199999999993</v>
      </c>
      <c r="Y215" s="9">
        <v>8352.2199999999993</v>
      </c>
      <c r="Z215" s="9">
        <v>0</v>
      </c>
      <c r="AA215" s="9">
        <f>AB215+AC215</f>
        <v>0</v>
      </c>
      <c r="AB215" s="9">
        <v>0</v>
      </c>
      <c r="AC215" s="9">
        <v>0</v>
      </c>
      <c r="AD215" s="45">
        <f t="shared" si="117"/>
        <v>417610.47</v>
      </c>
      <c r="AE215" s="9"/>
      <c r="AF215" s="9">
        <f>AD215+AE215</f>
        <v>417610.47</v>
      </c>
      <c r="AG215" s="50" t="s">
        <v>966</v>
      </c>
      <c r="AH215" s="14" t="s">
        <v>296</v>
      </c>
      <c r="AI215" s="1">
        <v>320784.53000000003</v>
      </c>
      <c r="AJ215" s="1">
        <v>52280.650000000009</v>
      </c>
    </row>
    <row r="216" spans="1:36" ht="189" x14ac:dyDescent="0.25">
      <c r="A216" s="5">
        <f t="shared" si="118"/>
        <v>213</v>
      </c>
      <c r="B216" s="16">
        <v>126260</v>
      </c>
      <c r="C216" s="5">
        <v>526</v>
      </c>
      <c r="D216" s="41" t="s">
        <v>1981</v>
      </c>
      <c r="E216" s="18" t="s">
        <v>1018</v>
      </c>
      <c r="F216" s="8" t="s">
        <v>1030</v>
      </c>
      <c r="G216" s="5" t="s">
        <v>1029</v>
      </c>
      <c r="H216" s="5" t="s">
        <v>151</v>
      </c>
      <c r="I216" s="42" t="s">
        <v>1582</v>
      </c>
      <c r="J216" s="2">
        <v>43433</v>
      </c>
      <c r="K216" s="2">
        <v>44284</v>
      </c>
      <c r="L216" s="17">
        <f>R216/AD216*100</f>
        <v>84.999999887651384</v>
      </c>
      <c r="M216" s="5">
        <v>1</v>
      </c>
      <c r="N216" s="5" t="s">
        <v>891</v>
      </c>
      <c r="O216" s="5" t="s">
        <v>892</v>
      </c>
      <c r="P216" s="3" t="s">
        <v>174</v>
      </c>
      <c r="Q216" s="5" t="s">
        <v>34</v>
      </c>
      <c r="R216" s="9">
        <f>S216+T216</f>
        <v>2269720.81</v>
      </c>
      <c r="S216" s="9">
        <v>2269720.81</v>
      </c>
      <c r="T216" s="9">
        <v>0</v>
      </c>
      <c r="U216" s="4">
        <f>V216+W216</f>
        <v>347133.77</v>
      </c>
      <c r="V216" s="54">
        <v>347133.77</v>
      </c>
      <c r="W216" s="54">
        <v>0</v>
      </c>
      <c r="X216" s="4">
        <f>Y216+Z216</f>
        <v>53405.2</v>
      </c>
      <c r="Y216" s="9">
        <v>53405.2</v>
      </c>
      <c r="Z216" s="9">
        <v>0</v>
      </c>
      <c r="AA216" s="9">
        <f>AB216+AC216</f>
        <v>0</v>
      </c>
      <c r="AB216" s="9">
        <v>0</v>
      </c>
      <c r="AC216" s="9">
        <v>0</v>
      </c>
      <c r="AD216" s="45">
        <f t="shared" si="117"/>
        <v>2670259.7800000003</v>
      </c>
      <c r="AE216" s="9">
        <v>57120</v>
      </c>
      <c r="AF216" s="9">
        <f>AD216+AE216</f>
        <v>2727379.7800000003</v>
      </c>
      <c r="AG216" s="60" t="s">
        <v>966</v>
      </c>
      <c r="AH216" s="14" t="s">
        <v>2026</v>
      </c>
      <c r="AI216" s="1">
        <f>176317.2+454574.91+552196.35+622670.87+112586.33</f>
        <v>1918345.6600000001</v>
      </c>
      <c r="AJ216" s="1">
        <f>26966.16+69523.21+84453.54+95232.02+17219.08</f>
        <v>293394.01</v>
      </c>
    </row>
    <row r="217" spans="1:36" ht="283.5" x14ac:dyDescent="0.25">
      <c r="A217" s="5">
        <f t="shared" si="118"/>
        <v>214</v>
      </c>
      <c r="B217" s="16">
        <v>136304</v>
      </c>
      <c r="C217" s="5">
        <v>807</v>
      </c>
      <c r="D217" s="41" t="s">
        <v>1981</v>
      </c>
      <c r="E217" s="18" t="s">
        <v>1700</v>
      </c>
      <c r="F217" s="8" t="s">
        <v>1728</v>
      </c>
      <c r="G217" s="5" t="s">
        <v>996</v>
      </c>
      <c r="H217" s="5" t="s">
        <v>151</v>
      </c>
      <c r="I217" s="42" t="s">
        <v>1729</v>
      </c>
      <c r="J217" s="2">
        <v>43959</v>
      </c>
      <c r="K217" s="2">
        <v>44750</v>
      </c>
      <c r="L217" s="17">
        <f>R217/AD217*100</f>
        <v>85.000000207537823</v>
      </c>
      <c r="M217" s="5">
        <v>1</v>
      </c>
      <c r="N217" s="5" t="s">
        <v>891</v>
      </c>
      <c r="O217" s="5" t="s">
        <v>996</v>
      </c>
      <c r="P217" s="3" t="s">
        <v>174</v>
      </c>
      <c r="Q217" s="5" t="s">
        <v>1713</v>
      </c>
      <c r="R217" s="9">
        <f>S217+T217</f>
        <v>3276511.26</v>
      </c>
      <c r="S217" s="9">
        <v>3276511.26</v>
      </c>
      <c r="T217" s="9">
        <v>0</v>
      </c>
      <c r="U217" s="4">
        <f>V217+W217</f>
        <v>501113.47</v>
      </c>
      <c r="V217" s="54">
        <v>501113.47</v>
      </c>
      <c r="W217" s="54">
        <v>0</v>
      </c>
      <c r="X217" s="4">
        <f>Y217+Z217</f>
        <v>77094.39</v>
      </c>
      <c r="Y217" s="9">
        <v>77094.39</v>
      </c>
      <c r="Z217" s="9">
        <v>0</v>
      </c>
      <c r="AA217" s="9">
        <f>AB217+AC217</f>
        <v>0</v>
      </c>
      <c r="AB217" s="9">
        <v>0</v>
      </c>
      <c r="AC217" s="9">
        <v>0</v>
      </c>
      <c r="AD217" s="45">
        <f t="shared" si="117"/>
        <v>3854719.1199999996</v>
      </c>
      <c r="AE217" s="9">
        <v>0</v>
      </c>
      <c r="AF217" s="9">
        <f>AD217+AE217</f>
        <v>3854719.1199999996</v>
      </c>
      <c r="AG217" s="60" t="s">
        <v>515</v>
      </c>
      <c r="AH217" s="60" t="s">
        <v>2125</v>
      </c>
      <c r="AI217" s="1">
        <f>19470.95+79241.25+59313+212713.2</f>
        <v>370738.4</v>
      </c>
      <c r="AJ217" s="1">
        <f>2977.91+12119.25+9071.4+32532.6</f>
        <v>56701.159999999996</v>
      </c>
    </row>
    <row r="218" spans="1:36" ht="283.5" x14ac:dyDescent="0.25">
      <c r="A218" s="5">
        <f t="shared" si="118"/>
        <v>215</v>
      </c>
      <c r="B218" s="16">
        <v>135378</v>
      </c>
      <c r="C218" s="5">
        <v>795</v>
      </c>
      <c r="D218" s="41" t="s">
        <v>1981</v>
      </c>
      <c r="E218" s="18" t="s">
        <v>1700</v>
      </c>
      <c r="F218" s="8" t="s">
        <v>1844</v>
      </c>
      <c r="G218" s="5" t="s">
        <v>1029</v>
      </c>
      <c r="H218" s="5" t="s">
        <v>151</v>
      </c>
      <c r="I218" s="42" t="s">
        <v>1845</v>
      </c>
      <c r="J218" s="2">
        <v>44001</v>
      </c>
      <c r="K218" s="2">
        <v>44700</v>
      </c>
      <c r="L218" s="17">
        <f>R218/AD218*100</f>
        <v>85.000000232719501</v>
      </c>
      <c r="M218" s="5">
        <v>1</v>
      </c>
      <c r="N218" s="5" t="s">
        <v>891</v>
      </c>
      <c r="O218" s="5" t="s">
        <v>1029</v>
      </c>
      <c r="P218" s="3" t="s">
        <v>174</v>
      </c>
      <c r="Q218" s="5" t="s">
        <v>1713</v>
      </c>
      <c r="R218" s="9">
        <f>S218+T218</f>
        <v>2739349.45</v>
      </c>
      <c r="S218" s="9">
        <v>2739349.45</v>
      </c>
      <c r="T218" s="9">
        <v>0</v>
      </c>
      <c r="U218" s="4">
        <f>V218+W218</f>
        <v>418959.32</v>
      </c>
      <c r="V218" s="54">
        <v>418959.32</v>
      </c>
      <c r="W218" s="54">
        <v>0</v>
      </c>
      <c r="X218" s="4">
        <f>Y218+Z218</f>
        <v>64455.28</v>
      </c>
      <c r="Y218" s="9">
        <v>64455.28</v>
      </c>
      <c r="Z218" s="9">
        <v>0</v>
      </c>
      <c r="AA218" s="9">
        <f>AB218+AC218</f>
        <v>0</v>
      </c>
      <c r="AB218" s="9">
        <v>0</v>
      </c>
      <c r="AC218" s="9">
        <v>0</v>
      </c>
      <c r="AD218" s="45">
        <f t="shared" si="117"/>
        <v>3222764.05</v>
      </c>
      <c r="AE218" s="9">
        <v>0</v>
      </c>
      <c r="AF218" s="9">
        <f>AD218+AE218</f>
        <v>3222764.05</v>
      </c>
      <c r="AG218" s="60" t="s">
        <v>515</v>
      </c>
      <c r="AH218" s="60" t="s">
        <v>2177</v>
      </c>
      <c r="AI218" s="1">
        <f>122320.43+70052.75+88977.42</f>
        <v>281350.59999999998</v>
      </c>
      <c r="AJ218" s="1">
        <f>18707.84+10713.95+13608.31</f>
        <v>43030.1</v>
      </c>
    </row>
    <row r="219" spans="1:36" ht="283.5" x14ac:dyDescent="0.25">
      <c r="A219" s="5">
        <f t="shared" si="118"/>
        <v>216</v>
      </c>
      <c r="B219" s="16">
        <v>120572</v>
      </c>
      <c r="C219" s="6">
        <v>82</v>
      </c>
      <c r="D219" s="41" t="s">
        <v>1981</v>
      </c>
      <c r="E219" s="18" t="s">
        <v>278</v>
      </c>
      <c r="F219" s="8" t="s">
        <v>267</v>
      </c>
      <c r="G219" s="5" t="s">
        <v>268</v>
      </c>
      <c r="H219" s="5" t="s">
        <v>151</v>
      </c>
      <c r="I219" s="42" t="s">
        <v>666</v>
      </c>
      <c r="J219" s="2">
        <v>43171</v>
      </c>
      <c r="K219" s="2">
        <v>43658</v>
      </c>
      <c r="L219" s="17">
        <f>R219/AD219*100</f>
        <v>85.000000359311386</v>
      </c>
      <c r="M219" s="5">
        <v>4</v>
      </c>
      <c r="N219" s="5" t="s">
        <v>269</v>
      </c>
      <c r="O219" s="5" t="s">
        <v>270</v>
      </c>
      <c r="P219" s="3" t="s">
        <v>174</v>
      </c>
      <c r="Q219" s="5" t="s">
        <v>34</v>
      </c>
      <c r="R219" s="4">
        <f>S219+T219</f>
        <v>354845.43</v>
      </c>
      <c r="S219" s="9">
        <v>354845.43</v>
      </c>
      <c r="T219" s="9">
        <v>0</v>
      </c>
      <c r="U219" s="4">
        <f>V219+W219</f>
        <v>54270.48</v>
      </c>
      <c r="V219" s="54">
        <v>54270.48</v>
      </c>
      <c r="W219" s="54">
        <v>0</v>
      </c>
      <c r="X219" s="4">
        <f>Y219+Z219</f>
        <v>8349.2999999999993</v>
      </c>
      <c r="Y219" s="9">
        <v>8349.2999999999993</v>
      </c>
      <c r="Z219" s="9">
        <v>0</v>
      </c>
      <c r="AA219" s="9">
        <f>AB219+AC219</f>
        <v>0</v>
      </c>
      <c r="AB219" s="9">
        <v>0</v>
      </c>
      <c r="AC219" s="9">
        <v>0</v>
      </c>
      <c r="AD219" s="45">
        <f t="shared" si="117"/>
        <v>417465.20999999996</v>
      </c>
      <c r="AE219" s="9">
        <v>0</v>
      </c>
      <c r="AF219" s="9">
        <f>AD219+AE219</f>
        <v>417465.20999999996</v>
      </c>
      <c r="AG219" s="50" t="s">
        <v>966</v>
      </c>
      <c r="AH219" s="14" t="s">
        <v>151</v>
      </c>
      <c r="AI219" s="1">
        <v>326317.06</v>
      </c>
      <c r="AJ219" s="1">
        <v>49907.31</v>
      </c>
    </row>
    <row r="220" spans="1:36" ht="141.75" x14ac:dyDescent="0.25">
      <c r="A220" s="5">
        <f t="shared" si="118"/>
        <v>217</v>
      </c>
      <c r="B220" s="16">
        <v>118183</v>
      </c>
      <c r="C220" s="5">
        <v>422</v>
      </c>
      <c r="D220" s="8" t="s">
        <v>1982</v>
      </c>
      <c r="E220" s="18" t="s">
        <v>540</v>
      </c>
      <c r="F220" s="8" t="s">
        <v>665</v>
      </c>
      <c r="G220" s="5" t="s">
        <v>268</v>
      </c>
      <c r="H220" s="5" t="s">
        <v>151</v>
      </c>
      <c r="I220" s="8" t="s">
        <v>667</v>
      </c>
      <c r="J220" s="2">
        <v>43290</v>
      </c>
      <c r="K220" s="2">
        <v>43778</v>
      </c>
      <c r="L220" s="17">
        <f>R220/AD220*100</f>
        <v>85.000012009815109</v>
      </c>
      <c r="M220" s="5">
        <v>4</v>
      </c>
      <c r="N220" s="5" t="s">
        <v>269</v>
      </c>
      <c r="O220" s="5" t="s">
        <v>270</v>
      </c>
      <c r="P220" s="3" t="s">
        <v>174</v>
      </c>
      <c r="Q220" s="5" t="s">
        <v>668</v>
      </c>
      <c r="R220" s="4">
        <f>S220+T220</f>
        <v>247714.09</v>
      </c>
      <c r="S220" s="9">
        <v>247714.09</v>
      </c>
      <c r="T220" s="9">
        <v>0</v>
      </c>
      <c r="U220" s="4">
        <f>V220+W220</f>
        <v>37885.64</v>
      </c>
      <c r="V220" s="74">
        <v>37885.64</v>
      </c>
      <c r="W220" s="54">
        <v>0</v>
      </c>
      <c r="X220" s="4">
        <f>Y220+Z220</f>
        <v>5828.57</v>
      </c>
      <c r="Y220" s="1">
        <v>5828.57</v>
      </c>
      <c r="Z220" s="9">
        <v>0</v>
      </c>
      <c r="AA220" s="9">
        <f>AB220+AC220</f>
        <v>0</v>
      </c>
      <c r="AB220" s="9">
        <v>0</v>
      </c>
      <c r="AC220" s="9">
        <v>0</v>
      </c>
      <c r="AD220" s="45">
        <f t="shared" si="117"/>
        <v>291428.3</v>
      </c>
      <c r="AE220" s="9">
        <v>0</v>
      </c>
      <c r="AF220" s="9">
        <f>AD220+AE220</f>
        <v>291428.3</v>
      </c>
      <c r="AG220" s="50" t="s">
        <v>966</v>
      </c>
      <c r="AH220" s="14" t="s">
        <v>1174</v>
      </c>
      <c r="AI220" s="1">
        <v>240263.28999999998</v>
      </c>
      <c r="AJ220" s="1">
        <v>36977.890000000021</v>
      </c>
    </row>
    <row r="221" spans="1:36" ht="141.75" x14ac:dyDescent="0.25">
      <c r="A221" s="5">
        <f t="shared" si="118"/>
        <v>218</v>
      </c>
      <c r="B221" s="16">
        <v>126174</v>
      </c>
      <c r="C221" s="5">
        <v>534</v>
      </c>
      <c r="D221" s="41" t="s">
        <v>1981</v>
      </c>
      <c r="E221" s="5" t="s">
        <v>1018</v>
      </c>
      <c r="F221" s="8" t="s">
        <v>1071</v>
      </c>
      <c r="G221" s="5" t="s">
        <v>1072</v>
      </c>
      <c r="H221" s="5" t="s">
        <v>151</v>
      </c>
      <c r="I221" s="42" t="s">
        <v>1073</v>
      </c>
      <c r="J221" s="2">
        <v>43447</v>
      </c>
      <c r="K221" s="2">
        <v>44543</v>
      </c>
      <c r="L221" s="17">
        <f>R221/AD221*100</f>
        <v>85.000000333995757</v>
      </c>
      <c r="M221" s="5">
        <v>4</v>
      </c>
      <c r="N221" s="5" t="s">
        <v>269</v>
      </c>
      <c r="O221" s="5" t="s">
        <v>270</v>
      </c>
      <c r="P221" s="3" t="s">
        <v>174</v>
      </c>
      <c r="Q221" s="5" t="s">
        <v>34</v>
      </c>
      <c r="R221" s="4">
        <f>S221+T221</f>
        <v>2544942.5099999998</v>
      </c>
      <c r="S221" s="9">
        <v>2544942.5099999998</v>
      </c>
      <c r="T221" s="9">
        <v>0</v>
      </c>
      <c r="U221" s="4">
        <f>V221+W221</f>
        <v>389226.49</v>
      </c>
      <c r="V221" s="74">
        <v>389226.49</v>
      </c>
      <c r="W221" s="54">
        <v>0</v>
      </c>
      <c r="X221" s="4">
        <f>Y221+Z221</f>
        <v>59881</v>
      </c>
      <c r="Y221" s="1">
        <v>59881</v>
      </c>
      <c r="Z221" s="9">
        <v>0</v>
      </c>
      <c r="AA221" s="9">
        <f>AB221+AC221</f>
        <v>0</v>
      </c>
      <c r="AB221" s="9">
        <v>0</v>
      </c>
      <c r="AC221" s="9">
        <v>0</v>
      </c>
      <c r="AD221" s="45">
        <f t="shared" si="117"/>
        <v>2994050</v>
      </c>
      <c r="AE221" s="9">
        <v>0</v>
      </c>
      <c r="AF221" s="9">
        <f>AD221+AE221</f>
        <v>2994050</v>
      </c>
      <c r="AG221" s="60" t="s">
        <v>515</v>
      </c>
      <c r="AH221" s="60" t="s">
        <v>2112</v>
      </c>
      <c r="AI221" s="1">
        <v>34289.85</v>
      </c>
      <c r="AJ221" s="1">
        <v>5244.33</v>
      </c>
    </row>
    <row r="222" spans="1:36" ht="204.75" x14ac:dyDescent="0.25">
      <c r="A222" s="5">
        <f t="shared" si="118"/>
        <v>219</v>
      </c>
      <c r="B222" s="16">
        <v>129739</v>
      </c>
      <c r="C222" s="5">
        <v>688</v>
      </c>
      <c r="D222" s="41" t="s">
        <v>1981</v>
      </c>
      <c r="E222" s="8" t="s">
        <v>1246</v>
      </c>
      <c r="F222" s="8" t="s">
        <v>1478</v>
      </c>
      <c r="G222" s="5" t="s">
        <v>268</v>
      </c>
      <c r="H222" s="5" t="s">
        <v>151</v>
      </c>
      <c r="I222" s="42" t="s">
        <v>1479</v>
      </c>
      <c r="J222" s="2">
        <v>43712</v>
      </c>
      <c r="K222" s="2">
        <v>44624</v>
      </c>
      <c r="L222" s="17">
        <f>R222/AD222*100</f>
        <v>85.000000000000014</v>
      </c>
      <c r="M222" s="5">
        <v>4</v>
      </c>
      <c r="N222" s="5" t="s">
        <v>269</v>
      </c>
      <c r="O222" s="5" t="s">
        <v>270</v>
      </c>
      <c r="P222" s="3" t="s">
        <v>174</v>
      </c>
      <c r="Q222" s="5" t="s">
        <v>34</v>
      </c>
      <c r="R222" s="4">
        <f>S222+T222</f>
        <v>3309254.34</v>
      </c>
      <c r="S222" s="9">
        <v>3309254.34</v>
      </c>
      <c r="T222" s="9">
        <v>0</v>
      </c>
      <c r="U222" s="4">
        <f>V222+W222</f>
        <v>506121.26</v>
      </c>
      <c r="V222" s="74">
        <v>506121.26</v>
      </c>
      <c r="W222" s="54">
        <v>0</v>
      </c>
      <c r="X222" s="4">
        <f>Y222+Z222</f>
        <v>77864.800000000003</v>
      </c>
      <c r="Y222" s="1">
        <v>77864.800000000003</v>
      </c>
      <c r="Z222" s="9">
        <v>0</v>
      </c>
      <c r="AA222" s="9">
        <f>AB222+AC222</f>
        <v>0</v>
      </c>
      <c r="AB222" s="9">
        <v>0</v>
      </c>
      <c r="AC222" s="9">
        <v>0</v>
      </c>
      <c r="AD222" s="45">
        <f t="shared" si="117"/>
        <v>3893240.3999999994</v>
      </c>
      <c r="AE222" s="9">
        <v>0</v>
      </c>
      <c r="AF222" s="9">
        <f>AD222+AE222</f>
        <v>3893240.3999999994</v>
      </c>
      <c r="AG222" s="60" t="s">
        <v>515</v>
      </c>
      <c r="AH222" s="14" t="s">
        <v>2184</v>
      </c>
      <c r="AI222" s="1">
        <f>74556.48+32940.05+44383.6+47957</f>
        <v>199837.13</v>
      </c>
      <c r="AJ222" s="1">
        <f>8357.89+3044.86+5037.89+6788.08+7334.6</f>
        <v>30563.32</v>
      </c>
    </row>
    <row r="223" spans="1:36" ht="141.75" x14ac:dyDescent="0.25">
      <c r="A223" s="5">
        <f t="shared" si="118"/>
        <v>220</v>
      </c>
      <c r="B223" s="16">
        <v>129726</v>
      </c>
      <c r="C223" s="5">
        <v>682</v>
      </c>
      <c r="D223" s="41" t="s">
        <v>1981</v>
      </c>
      <c r="E223" s="8" t="s">
        <v>1246</v>
      </c>
      <c r="F223" s="8" t="s">
        <v>1575</v>
      </c>
      <c r="G223" s="5" t="s">
        <v>1574</v>
      </c>
      <c r="H223" s="5" t="s">
        <v>1151</v>
      </c>
      <c r="I223" s="42" t="s">
        <v>1576</v>
      </c>
      <c r="J223" s="2">
        <v>43767</v>
      </c>
      <c r="K223" s="2">
        <v>44680</v>
      </c>
      <c r="L223" s="17">
        <f>R223/AD223*100</f>
        <v>84.185745988543189</v>
      </c>
      <c r="M223" s="5">
        <v>4</v>
      </c>
      <c r="N223" s="5" t="s">
        <v>269</v>
      </c>
      <c r="O223" s="5" t="s">
        <v>270</v>
      </c>
      <c r="P223" s="3" t="s">
        <v>174</v>
      </c>
      <c r="Q223" s="5" t="s">
        <v>34</v>
      </c>
      <c r="R223" s="4">
        <f>S223+T223</f>
        <v>2817971.65</v>
      </c>
      <c r="S223" s="9">
        <v>2817971.65</v>
      </c>
      <c r="T223" s="9">
        <v>0</v>
      </c>
      <c r="U223" s="4">
        <f>V223+W223</f>
        <v>462408.16</v>
      </c>
      <c r="V223" s="74">
        <v>462408.16</v>
      </c>
      <c r="W223" s="54">
        <v>0</v>
      </c>
      <c r="X223" s="4">
        <f>Y223+Z223</f>
        <v>34880.949999999997</v>
      </c>
      <c r="Y223" s="1">
        <v>34880.949999999997</v>
      </c>
      <c r="Z223" s="9">
        <v>0</v>
      </c>
      <c r="AA223" s="9">
        <f>AB223+AC223</f>
        <v>32065.58</v>
      </c>
      <c r="AB223" s="9">
        <v>32065.58</v>
      </c>
      <c r="AC223" s="9">
        <v>0</v>
      </c>
      <c r="AD223" s="45">
        <f t="shared" si="117"/>
        <v>3347326.3400000003</v>
      </c>
      <c r="AE223" s="9">
        <v>0</v>
      </c>
      <c r="AF223" s="9">
        <f>AD223+AE223</f>
        <v>3347326.3400000003</v>
      </c>
      <c r="AG223" s="60" t="s">
        <v>515</v>
      </c>
      <c r="AH223" s="14"/>
      <c r="AI223" s="1">
        <f>199177.47-24965.12+119966.25-12010.44-4586.99+140649.56-21568.21+332867.63+143788.11+105707.7-21485.85</f>
        <v>957540.10999999987</v>
      </c>
      <c r="AJ223" s="1">
        <f>2899.87+24965.12+12010.44+4586.99+21568.21+58741.35+18654.3+21485.85</f>
        <v>164912.13</v>
      </c>
    </row>
    <row r="224" spans="1:36" ht="189" x14ac:dyDescent="0.25">
      <c r="A224" s="5">
        <f t="shared" si="118"/>
        <v>221</v>
      </c>
      <c r="B224" s="16">
        <v>120801</v>
      </c>
      <c r="C224" s="6">
        <v>87</v>
      </c>
      <c r="D224" s="41" t="s">
        <v>1981</v>
      </c>
      <c r="E224" s="18" t="s">
        <v>278</v>
      </c>
      <c r="F224" s="8" t="s">
        <v>252</v>
      </c>
      <c r="G224" s="5" t="s">
        <v>1512</v>
      </c>
      <c r="H224" s="5" t="s">
        <v>253</v>
      </c>
      <c r="I224" s="42" t="s">
        <v>254</v>
      </c>
      <c r="J224" s="2">
        <v>43166</v>
      </c>
      <c r="K224" s="2">
        <v>43653</v>
      </c>
      <c r="L224" s="17">
        <f t="shared" ref="L224:L231" si="126">R224/AD224*100</f>
        <v>84.168038598864953</v>
      </c>
      <c r="M224" s="5">
        <v>3</v>
      </c>
      <c r="N224" s="5" t="s">
        <v>255</v>
      </c>
      <c r="O224" s="5" t="s">
        <v>256</v>
      </c>
      <c r="P224" s="3" t="s">
        <v>174</v>
      </c>
      <c r="Q224" s="5" t="s">
        <v>34</v>
      </c>
      <c r="R224" s="4">
        <f t="shared" ref="R224:R231" si="127">S224+T224</f>
        <v>357481.33</v>
      </c>
      <c r="S224" s="9">
        <v>357481.33</v>
      </c>
      <c r="T224" s="9">
        <v>0</v>
      </c>
      <c r="U224" s="4">
        <f t="shared" ref="U224:U231" si="128">V224+W224</f>
        <v>58747.57</v>
      </c>
      <c r="V224" s="54">
        <v>58747.57</v>
      </c>
      <c r="W224" s="54">
        <v>0</v>
      </c>
      <c r="X224" s="4">
        <f t="shared" ref="X224:X231" si="129">Y224+Z224</f>
        <v>8494.4699999999993</v>
      </c>
      <c r="Y224" s="9">
        <v>8494.4699999999993</v>
      </c>
      <c r="Z224" s="9">
        <v>0</v>
      </c>
      <c r="AA224" s="9">
        <f t="shared" ref="AA224:AA231" si="130">AB224+AC224</f>
        <v>0</v>
      </c>
      <c r="AB224" s="9">
        <v>0</v>
      </c>
      <c r="AC224" s="9">
        <v>0</v>
      </c>
      <c r="AD224" s="45">
        <f t="shared" si="117"/>
        <v>424723.37</v>
      </c>
      <c r="AE224" s="9">
        <v>0</v>
      </c>
      <c r="AF224" s="9">
        <f t="shared" ref="AF224:AF231" si="131">AD224+AE224</f>
        <v>424723.37</v>
      </c>
      <c r="AG224" s="50" t="s">
        <v>966</v>
      </c>
      <c r="AH224" s="14" t="s">
        <v>151</v>
      </c>
      <c r="AI224" s="1">
        <v>301291.38999999996</v>
      </c>
      <c r="AJ224" s="1">
        <v>49583.64</v>
      </c>
    </row>
    <row r="225" spans="1:36" ht="189" x14ac:dyDescent="0.25">
      <c r="A225" s="5">
        <f t="shared" si="118"/>
        <v>222</v>
      </c>
      <c r="B225" s="16">
        <v>119511</v>
      </c>
      <c r="C225" s="5">
        <v>464</v>
      </c>
      <c r="D225" s="41" t="s">
        <v>1981</v>
      </c>
      <c r="E225" s="5" t="s">
        <v>474</v>
      </c>
      <c r="F225" s="8" t="s">
        <v>475</v>
      </c>
      <c r="G225" s="5" t="s">
        <v>476</v>
      </c>
      <c r="H225" s="5" t="s">
        <v>296</v>
      </c>
      <c r="I225" s="8" t="s">
        <v>477</v>
      </c>
      <c r="J225" s="2">
        <v>43257</v>
      </c>
      <c r="K225" s="2">
        <v>43744</v>
      </c>
      <c r="L225" s="17">
        <f t="shared" si="126"/>
        <v>85.000000259943448</v>
      </c>
      <c r="M225" s="6">
        <v>3</v>
      </c>
      <c r="N225" s="5" t="s">
        <v>369</v>
      </c>
      <c r="O225" s="5" t="s">
        <v>256</v>
      </c>
      <c r="P225" s="5" t="s">
        <v>174</v>
      </c>
      <c r="Q225" s="5" t="s">
        <v>478</v>
      </c>
      <c r="R225" s="4">
        <f t="shared" si="127"/>
        <v>490491.32</v>
      </c>
      <c r="S225" s="9">
        <v>490491.32</v>
      </c>
      <c r="T225" s="9">
        <v>0</v>
      </c>
      <c r="U225" s="4">
        <f t="shared" si="128"/>
        <v>75016.320000000007</v>
      </c>
      <c r="V225" s="54">
        <v>75016.320000000007</v>
      </c>
      <c r="W225" s="54">
        <v>0</v>
      </c>
      <c r="X225" s="4">
        <f t="shared" si="129"/>
        <v>11540.97</v>
      </c>
      <c r="Y225" s="1">
        <v>11540.97</v>
      </c>
      <c r="Z225" s="1">
        <v>0</v>
      </c>
      <c r="AA225" s="9">
        <f t="shared" si="130"/>
        <v>0</v>
      </c>
      <c r="AB225" s="9">
        <v>0</v>
      </c>
      <c r="AC225" s="9">
        <v>0</v>
      </c>
      <c r="AD225" s="45">
        <f t="shared" si="117"/>
        <v>577048.61</v>
      </c>
      <c r="AE225" s="60">
        <v>0</v>
      </c>
      <c r="AF225" s="9">
        <f t="shared" si="131"/>
        <v>577048.61</v>
      </c>
      <c r="AG225" s="50" t="s">
        <v>966</v>
      </c>
      <c r="AH225" s="60" t="s">
        <v>1144</v>
      </c>
      <c r="AI225" s="1">
        <v>469162.02000000008</v>
      </c>
      <c r="AJ225" s="1">
        <v>71754.200000000012</v>
      </c>
    </row>
    <row r="226" spans="1:36" ht="189" x14ac:dyDescent="0.25">
      <c r="A226" s="5">
        <f t="shared" si="118"/>
        <v>223</v>
      </c>
      <c r="B226" s="16">
        <v>118799</v>
      </c>
      <c r="C226" s="5">
        <v>447</v>
      </c>
      <c r="D226" s="8" t="s">
        <v>1982</v>
      </c>
      <c r="E226" s="8" t="s">
        <v>540</v>
      </c>
      <c r="F226" s="8" t="s">
        <v>1015</v>
      </c>
      <c r="G226" s="5" t="s">
        <v>1512</v>
      </c>
      <c r="H226" s="5" t="s">
        <v>1016</v>
      </c>
      <c r="I226" s="8" t="s">
        <v>1017</v>
      </c>
      <c r="J226" s="2">
        <v>43425</v>
      </c>
      <c r="K226" s="2">
        <v>43911</v>
      </c>
      <c r="L226" s="17">
        <f t="shared" si="126"/>
        <v>84.156466663338946</v>
      </c>
      <c r="M226" s="5">
        <v>3</v>
      </c>
      <c r="N226" s="5" t="s">
        <v>255</v>
      </c>
      <c r="O226" s="5" t="s">
        <v>256</v>
      </c>
      <c r="P226" s="3" t="s">
        <v>174</v>
      </c>
      <c r="Q226" s="5" t="s">
        <v>34</v>
      </c>
      <c r="R226" s="4">
        <f t="shared" si="127"/>
        <v>242273.6</v>
      </c>
      <c r="S226" s="9">
        <v>242273.6</v>
      </c>
      <c r="T226" s="9">
        <v>0</v>
      </c>
      <c r="U226" s="4">
        <f t="shared" si="128"/>
        <v>39853.410000000003</v>
      </c>
      <c r="V226" s="54">
        <v>39853.410000000003</v>
      </c>
      <c r="W226" s="54">
        <v>0</v>
      </c>
      <c r="X226" s="4">
        <f t="shared" si="129"/>
        <v>2900.76</v>
      </c>
      <c r="Y226" s="1">
        <v>2900.76</v>
      </c>
      <c r="Z226" s="1">
        <v>0</v>
      </c>
      <c r="AA226" s="9">
        <f t="shared" si="130"/>
        <v>2856.94</v>
      </c>
      <c r="AB226" s="9">
        <v>2856.94</v>
      </c>
      <c r="AC226" s="9">
        <v>0</v>
      </c>
      <c r="AD226" s="45">
        <f t="shared" si="117"/>
        <v>287884.71000000002</v>
      </c>
      <c r="AE226" s="60">
        <v>0</v>
      </c>
      <c r="AF226" s="9">
        <f t="shared" si="131"/>
        <v>287884.71000000002</v>
      </c>
      <c r="AG226" s="60" t="s">
        <v>966</v>
      </c>
      <c r="AH226" s="60" t="s">
        <v>1423</v>
      </c>
      <c r="AI226" s="1">
        <v>230490.21</v>
      </c>
      <c r="AJ226" s="1">
        <v>38021.11</v>
      </c>
    </row>
    <row r="227" spans="1:36" ht="255" customHeight="1" x14ac:dyDescent="0.25">
      <c r="A227" s="5">
        <f t="shared" si="118"/>
        <v>224</v>
      </c>
      <c r="B227" s="16">
        <v>126115</v>
      </c>
      <c r="C227" s="5">
        <v>542</v>
      </c>
      <c r="D227" s="41" t="s">
        <v>1981</v>
      </c>
      <c r="E227" s="8" t="s">
        <v>1018</v>
      </c>
      <c r="F227" s="8" t="s">
        <v>1205</v>
      </c>
      <c r="G227" s="5" t="s">
        <v>476</v>
      </c>
      <c r="H227" s="5" t="s">
        <v>362</v>
      </c>
      <c r="I227" s="61" t="s">
        <v>1206</v>
      </c>
      <c r="J227" s="2">
        <v>43564</v>
      </c>
      <c r="K227" s="2">
        <v>44295</v>
      </c>
      <c r="L227" s="17">
        <f t="shared" si="126"/>
        <v>85.000000984188233</v>
      </c>
      <c r="M227" s="5">
        <v>3</v>
      </c>
      <c r="N227" s="5" t="s">
        <v>255</v>
      </c>
      <c r="O227" s="5" t="s">
        <v>476</v>
      </c>
      <c r="P227" s="3" t="s">
        <v>174</v>
      </c>
      <c r="Q227" s="5" t="s">
        <v>34</v>
      </c>
      <c r="R227" s="4">
        <f t="shared" si="127"/>
        <v>431827.97</v>
      </c>
      <c r="S227" s="9">
        <v>431827.97</v>
      </c>
      <c r="T227" s="9">
        <v>0</v>
      </c>
      <c r="U227" s="4">
        <f t="shared" si="128"/>
        <v>66044.27</v>
      </c>
      <c r="V227" s="54">
        <v>66044.27</v>
      </c>
      <c r="W227" s="54">
        <v>0</v>
      </c>
      <c r="X227" s="4">
        <f t="shared" si="129"/>
        <v>10160.66</v>
      </c>
      <c r="Y227" s="1">
        <v>10160.66</v>
      </c>
      <c r="Z227" s="1">
        <v>0</v>
      </c>
      <c r="AA227" s="9">
        <f t="shared" si="130"/>
        <v>0</v>
      </c>
      <c r="AB227" s="162">
        <v>0</v>
      </c>
      <c r="AC227" s="162">
        <v>0</v>
      </c>
      <c r="AD227" s="45">
        <f t="shared" si="117"/>
        <v>508032.89999999997</v>
      </c>
      <c r="AE227" s="1">
        <v>0</v>
      </c>
      <c r="AF227" s="9">
        <f t="shared" si="131"/>
        <v>508032.89999999997</v>
      </c>
      <c r="AG227" s="60" t="s">
        <v>966</v>
      </c>
      <c r="AH227" s="60" t="s">
        <v>2103</v>
      </c>
      <c r="AI227" s="1">
        <f>126250.71+35445.43+90788.91+110245+22529.93</f>
        <v>385259.98000000004</v>
      </c>
      <c r="AJ227" s="1">
        <f>19308.93+5421.06+13885.38+16861+3445.77</f>
        <v>58922.14</v>
      </c>
    </row>
    <row r="228" spans="1:36" ht="141.75" x14ac:dyDescent="0.25">
      <c r="A228" s="5">
        <f t="shared" si="118"/>
        <v>225</v>
      </c>
      <c r="B228" s="16">
        <v>129261</v>
      </c>
      <c r="C228" s="5">
        <v>648</v>
      </c>
      <c r="D228" s="41" t="s">
        <v>1981</v>
      </c>
      <c r="E228" s="8" t="s">
        <v>1246</v>
      </c>
      <c r="F228" s="56" t="s">
        <v>1313</v>
      </c>
      <c r="G228" s="5" t="s">
        <v>2005</v>
      </c>
      <c r="H228" s="5" t="s">
        <v>151</v>
      </c>
      <c r="I228" s="8" t="s">
        <v>1314</v>
      </c>
      <c r="J228" s="2">
        <v>43643</v>
      </c>
      <c r="K228" s="2">
        <v>44192</v>
      </c>
      <c r="L228" s="17">
        <f t="shared" si="126"/>
        <v>84.999999897463027</v>
      </c>
      <c r="M228" s="5">
        <v>3</v>
      </c>
      <c r="N228" s="5" t="s">
        <v>255</v>
      </c>
      <c r="O228" s="5" t="s">
        <v>476</v>
      </c>
      <c r="P228" s="3" t="s">
        <v>174</v>
      </c>
      <c r="Q228" s="5" t="s">
        <v>34</v>
      </c>
      <c r="R228" s="4">
        <f t="shared" si="127"/>
        <v>2486907.71</v>
      </c>
      <c r="S228" s="9">
        <v>2486907.71</v>
      </c>
      <c r="T228" s="9">
        <v>0</v>
      </c>
      <c r="U228" s="4">
        <f t="shared" si="128"/>
        <v>380350.59</v>
      </c>
      <c r="V228" s="54">
        <v>380350.59</v>
      </c>
      <c r="W228" s="54">
        <v>0</v>
      </c>
      <c r="X228" s="4">
        <f t="shared" si="129"/>
        <v>58515.48</v>
      </c>
      <c r="Y228" s="1">
        <v>58515.48</v>
      </c>
      <c r="Z228" s="1">
        <v>0</v>
      </c>
      <c r="AA228" s="9">
        <f t="shared" si="130"/>
        <v>0</v>
      </c>
      <c r="AB228" s="162">
        <v>0</v>
      </c>
      <c r="AC228" s="162">
        <v>0</v>
      </c>
      <c r="AD228" s="45">
        <f t="shared" si="117"/>
        <v>2925773.78</v>
      </c>
      <c r="AE228" s="1">
        <v>0</v>
      </c>
      <c r="AF228" s="9">
        <f t="shared" si="131"/>
        <v>2925773.78</v>
      </c>
      <c r="AG228" s="60" t="s">
        <v>966</v>
      </c>
      <c r="AH228" s="12"/>
      <c r="AI228" s="1">
        <f>189771.86+645544.81+801375.41+295276.91+481390.7</f>
        <v>2413359.69</v>
      </c>
      <c r="AJ228" s="1">
        <f>29023.93+98730.39+122563.3+45160+73624.45</f>
        <v>369102.07</v>
      </c>
    </row>
    <row r="229" spans="1:36" ht="204.75" x14ac:dyDescent="0.25">
      <c r="A229" s="5">
        <f t="shared" si="118"/>
        <v>226</v>
      </c>
      <c r="B229" s="16">
        <v>129205</v>
      </c>
      <c r="C229" s="5">
        <v>684</v>
      </c>
      <c r="D229" s="41" t="s">
        <v>1981</v>
      </c>
      <c r="E229" s="8" t="s">
        <v>1246</v>
      </c>
      <c r="F229" s="56" t="s">
        <v>1336</v>
      </c>
      <c r="G229" s="5" t="s">
        <v>476</v>
      </c>
      <c r="H229" s="5" t="s">
        <v>151</v>
      </c>
      <c r="I229" s="8" t="s">
        <v>1337</v>
      </c>
      <c r="J229" s="2">
        <v>43654</v>
      </c>
      <c r="K229" s="2">
        <v>44569</v>
      </c>
      <c r="L229" s="17">
        <f t="shared" si="126"/>
        <v>84.99999990778575</v>
      </c>
      <c r="M229" s="5">
        <v>3</v>
      </c>
      <c r="N229" s="5" t="s">
        <v>255</v>
      </c>
      <c r="O229" s="5" t="s">
        <v>476</v>
      </c>
      <c r="P229" s="3" t="s">
        <v>174</v>
      </c>
      <c r="Q229" s="5" t="s">
        <v>34</v>
      </c>
      <c r="R229" s="4">
        <f t="shared" si="127"/>
        <v>2304415.83</v>
      </c>
      <c r="S229" s="9">
        <v>2304415.83</v>
      </c>
      <c r="T229" s="9">
        <v>0</v>
      </c>
      <c r="U229" s="4">
        <f t="shared" si="128"/>
        <v>352440.07</v>
      </c>
      <c r="V229" s="54">
        <v>352440.07</v>
      </c>
      <c r="W229" s="54">
        <v>0</v>
      </c>
      <c r="X229" s="4">
        <f t="shared" si="129"/>
        <v>54221.55</v>
      </c>
      <c r="Y229" s="1">
        <v>54221.55</v>
      </c>
      <c r="Z229" s="1">
        <v>0</v>
      </c>
      <c r="AA229" s="9">
        <f t="shared" si="130"/>
        <v>0</v>
      </c>
      <c r="AB229" s="162">
        <v>0</v>
      </c>
      <c r="AC229" s="162">
        <v>0</v>
      </c>
      <c r="AD229" s="45">
        <f t="shared" si="117"/>
        <v>2711077.4499999997</v>
      </c>
      <c r="AE229" s="1"/>
      <c r="AF229" s="9">
        <f t="shared" si="131"/>
        <v>2711077.4499999997</v>
      </c>
      <c r="AG229" s="60" t="s">
        <v>515</v>
      </c>
      <c r="AH229" s="60" t="s">
        <v>1719</v>
      </c>
      <c r="AI229" s="1">
        <f>111097.45+8767.75+11449.87+143539.57+184093+3646.86</f>
        <v>462594.5</v>
      </c>
      <c r="AJ229" s="1">
        <f>16991.35+1340.95+1751.15+21953.11+28155.4+557.75</f>
        <v>70749.709999999992</v>
      </c>
    </row>
    <row r="230" spans="1:36" ht="270.75" customHeight="1" x14ac:dyDescent="0.25">
      <c r="A230" s="5">
        <f t="shared" si="118"/>
        <v>227</v>
      </c>
      <c r="B230" s="16">
        <v>129737</v>
      </c>
      <c r="C230" s="5">
        <v>689</v>
      </c>
      <c r="D230" s="41" t="s">
        <v>1981</v>
      </c>
      <c r="E230" s="8" t="s">
        <v>1246</v>
      </c>
      <c r="F230" s="56" t="s">
        <v>1511</v>
      </c>
      <c r="G230" s="5" t="s">
        <v>1512</v>
      </c>
      <c r="H230" s="5" t="s">
        <v>151</v>
      </c>
      <c r="I230" s="8" t="s">
        <v>1513</v>
      </c>
      <c r="J230" s="2">
        <v>43725</v>
      </c>
      <c r="K230" s="2">
        <v>44517</v>
      </c>
      <c r="L230" s="17">
        <f t="shared" si="126"/>
        <v>85.000000163665106</v>
      </c>
      <c r="M230" s="5">
        <v>3</v>
      </c>
      <c r="N230" s="5" t="s">
        <v>255</v>
      </c>
      <c r="O230" s="5" t="s">
        <v>476</v>
      </c>
      <c r="P230" s="3" t="s">
        <v>174</v>
      </c>
      <c r="Q230" s="5" t="s">
        <v>34</v>
      </c>
      <c r="R230" s="4">
        <f t="shared" si="127"/>
        <v>3116119.5900000003</v>
      </c>
      <c r="S230" s="9">
        <v>3116119.5900000003</v>
      </c>
      <c r="T230" s="9">
        <v>0</v>
      </c>
      <c r="U230" s="4">
        <f t="shared" si="128"/>
        <v>476582.99</v>
      </c>
      <c r="V230" s="54">
        <v>476582.99</v>
      </c>
      <c r="W230" s="54">
        <v>0</v>
      </c>
      <c r="X230" s="4">
        <f t="shared" si="129"/>
        <v>73320.460000000006</v>
      </c>
      <c r="Y230" s="1">
        <v>73320.460000000006</v>
      </c>
      <c r="Z230" s="1">
        <v>0</v>
      </c>
      <c r="AA230" s="9">
        <f t="shared" si="130"/>
        <v>0</v>
      </c>
      <c r="AB230" s="162">
        <v>0</v>
      </c>
      <c r="AC230" s="162">
        <v>0</v>
      </c>
      <c r="AD230" s="45">
        <f t="shared" si="117"/>
        <v>3666023.04</v>
      </c>
      <c r="AE230" s="1">
        <v>0</v>
      </c>
      <c r="AF230" s="9">
        <f t="shared" si="131"/>
        <v>3666023.04</v>
      </c>
      <c r="AG230" s="60" t="s">
        <v>515</v>
      </c>
      <c r="AH230" s="60" t="s">
        <v>296</v>
      </c>
      <c r="AI230" s="163">
        <f>25211.85+27774.1</f>
        <v>52985.95</v>
      </c>
      <c r="AJ230" s="163">
        <f>1956.11+1899.82+4247.8</f>
        <v>8103.73</v>
      </c>
    </row>
    <row r="231" spans="1:36" ht="198" customHeight="1" x14ac:dyDescent="0.25">
      <c r="A231" s="5">
        <f t="shared" si="118"/>
        <v>228</v>
      </c>
      <c r="B231" s="16">
        <v>136182</v>
      </c>
      <c r="C231" s="5">
        <v>814</v>
      </c>
      <c r="D231" s="41" t="s">
        <v>1981</v>
      </c>
      <c r="E231" s="83" t="s">
        <v>1700</v>
      </c>
      <c r="F231" s="56" t="s">
        <v>1761</v>
      </c>
      <c r="G231" s="5" t="s">
        <v>1512</v>
      </c>
      <c r="H231" s="5" t="s">
        <v>151</v>
      </c>
      <c r="I231" s="8" t="s">
        <v>1762</v>
      </c>
      <c r="J231" s="2">
        <v>43969</v>
      </c>
      <c r="K231" s="2">
        <v>44699</v>
      </c>
      <c r="L231" s="17">
        <f t="shared" si="126"/>
        <v>85</v>
      </c>
      <c r="M231" s="5">
        <v>3</v>
      </c>
      <c r="N231" s="5" t="s">
        <v>255</v>
      </c>
      <c r="O231" s="5" t="s">
        <v>256</v>
      </c>
      <c r="P231" s="3" t="s">
        <v>174</v>
      </c>
      <c r="Q231" s="63" t="s">
        <v>34</v>
      </c>
      <c r="R231" s="4">
        <f t="shared" si="127"/>
        <v>2620035.75</v>
      </c>
      <c r="S231" s="9">
        <v>2620035.75</v>
      </c>
      <c r="T231" s="9">
        <v>0</v>
      </c>
      <c r="U231" s="4">
        <f t="shared" si="128"/>
        <v>400711.35</v>
      </c>
      <c r="V231" s="54">
        <v>400711.35</v>
      </c>
      <c r="W231" s="54">
        <v>0</v>
      </c>
      <c r="X231" s="4">
        <f t="shared" si="129"/>
        <v>61647.9</v>
      </c>
      <c r="Y231" s="1">
        <v>61647.9</v>
      </c>
      <c r="Z231" s="1">
        <v>0</v>
      </c>
      <c r="AA231" s="9">
        <f t="shared" si="130"/>
        <v>0</v>
      </c>
      <c r="AB231" s="162">
        <v>0</v>
      </c>
      <c r="AC231" s="162">
        <v>0</v>
      </c>
      <c r="AD231" s="45">
        <f t="shared" si="117"/>
        <v>3082395</v>
      </c>
      <c r="AE231" s="1">
        <v>0</v>
      </c>
      <c r="AF231" s="9">
        <f t="shared" si="131"/>
        <v>3082395</v>
      </c>
      <c r="AG231" s="60" t="s">
        <v>515</v>
      </c>
      <c r="AH231" s="60"/>
      <c r="AI231" s="163">
        <f>30823.95+292691.61-1849.35</f>
        <v>321666.21000000002</v>
      </c>
      <c r="AJ231" s="163">
        <f>2336.33+1849.35</f>
        <v>4185.68</v>
      </c>
    </row>
    <row r="232" spans="1:36" ht="141.75" x14ac:dyDescent="0.25">
      <c r="A232" s="5">
        <f t="shared" si="118"/>
        <v>229</v>
      </c>
      <c r="B232" s="16">
        <v>118062</v>
      </c>
      <c r="C232" s="6">
        <v>421</v>
      </c>
      <c r="D232" s="8" t="s">
        <v>1982</v>
      </c>
      <c r="E232" s="18" t="s">
        <v>540</v>
      </c>
      <c r="F232" s="3" t="s">
        <v>1008</v>
      </c>
      <c r="G232" s="22" t="s">
        <v>1009</v>
      </c>
      <c r="H232" s="6" t="s">
        <v>849</v>
      </c>
      <c r="I232" s="8" t="s">
        <v>1011</v>
      </c>
      <c r="J232" s="2">
        <v>43412</v>
      </c>
      <c r="K232" s="2">
        <v>43898</v>
      </c>
      <c r="L232" s="17">
        <f t="shared" ref="L232:L239" si="132">R232/AD232*100</f>
        <v>85.000007860659679</v>
      </c>
      <c r="M232" s="6">
        <v>6</v>
      </c>
      <c r="N232" s="6" t="s">
        <v>370</v>
      </c>
      <c r="O232" s="6" t="s">
        <v>297</v>
      </c>
      <c r="P232" s="124" t="s">
        <v>174</v>
      </c>
      <c r="Q232" s="3" t="s">
        <v>34</v>
      </c>
      <c r="R232" s="4">
        <f t="shared" ref="R232:R239" si="133">S232+T232</f>
        <v>308180.27</v>
      </c>
      <c r="S232" s="57">
        <v>308180.27</v>
      </c>
      <c r="T232" s="57">
        <v>0</v>
      </c>
      <c r="U232" s="4">
        <f t="shared" ref="U232:U239" si="134">V232+W232</f>
        <v>47133.4</v>
      </c>
      <c r="V232" s="71">
        <v>47133.4</v>
      </c>
      <c r="W232" s="71">
        <v>0</v>
      </c>
      <c r="X232" s="82">
        <f t="shared" ref="X232:X239" si="135">Y232+Z232</f>
        <v>7251.32</v>
      </c>
      <c r="Y232" s="82">
        <v>7251.32</v>
      </c>
      <c r="Z232" s="82">
        <v>0</v>
      </c>
      <c r="AA232" s="9">
        <f t="shared" ref="AA232:AA239" si="136">AB232+AC232</f>
        <v>0</v>
      </c>
      <c r="AB232" s="162">
        <v>0</v>
      </c>
      <c r="AC232" s="162">
        <v>0</v>
      </c>
      <c r="AD232" s="45">
        <f t="shared" si="117"/>
        <v>362564.99000000005</v>
      </c>
      <c r="AE232" s="162">
        <v>0</v>
      </c>
      <c r="AF232" s="9">
        <f t="shared" ref="AF232:AF239" si="137">AD232+AE232</f>
        <v>362564.99000000005</v>
      </c>
      <c r="AG232" s="60" t="s">
        <v>966</v>
      </c>
      <c r="AH232" s="60" t="s">
        <v>1624</v>
      </c>
      <c r="AI232" s="163">
        <v>249239.43</v>
      </c>
      <c r="AJ232" s="1">
        <v>38118.980000000003</v>
      </c>
    </row>
    <row r="233" spans="1:36" ht="151.5" customHeight="1" x14ac:dyDescent="0.25">
      <c r="A233" s="5">
        <f t="shared" si="118"/>
        <v>230</v>
      </c>
      <c r="B233" s="5">
        <v>126302</v>
      </c>
      <c r="C233" s="5">
        <v>521</v>
      </c>
      <c r="D233" s="41" t="s">
        <v>1981</v>
      </c>
      <c r="E233" s="8" t="s">
        <v>1018</v>
      </c>
      <c r="F233" s="18" t="s">
        <v>1063</v>
      </c>
      <c r="G233" s="3" t="s">
        <v>295</v>
      </c>
      <c r="H233" s="5" t="s">
        <v>151</v>
      </c>
      <c r="I233" s="42" t="s">
        <v>1064</v>
      </c>
      <c r="J233" s="2">
        <v>43447</v>
      </c>
      <c r="K233" s="2">
        <v>44452</v>
      </c>
      <c r="L233" s="17">
        <f t="shared" si="132"/>
        <v>85.000000283587156</v>
      </c>
      <c r="M233" s="5">
        <v>6</v>
      </c>
      <c r="N233" s="6" t="s">
        <v>370</v>
      </c>
      <c r="O233" s="5" t="s">
        <v>297</v>
      </c>
      <c r="P233" s="3" t="s">
        <v>174</v>
      </c>
      <c r="Q233" s="5" t="s">
        <v>34</v>
      </c>
      <c r="R233" s="4">
        <f t="shared" si="133"/>
        <v>2697583.52</v>
      </c>
      <c r="S233" s="9">
        <v>2697583.52</v>
      </c>
      <c r="T233" s="9">
        <v>0</v>
      </c>
      <c r="U233" s="4">
        <f t="shared" si="134"/>
        <v>412571.59</v>
      </c>
      <c r="V233" s="54">
        <v>412571.59</v>
      </c>
      <c r="W233" s="54">
        <v>0</v>
      </c>
      <c r="X233" s="4">
        <f t="shared" si="135"/>
        <v>63472.55</v>
      </c>
      <c r="Y233" s="9">
        <v>63472.55</v>
      </c>
      <c r="Z233" s="1">
        <v>0</v>
      </c>
      <c r="AA233" s="9">
        <f t="shared" si="136"/>
        <v>0</v>
      </c>
      <c r="AB233" s="9">
        <v>0</v>
      </c>
      <c r="AC233" s="9">
        <v>0</v>
      </c>
      <c r="AD233" s="45">
        <f t="shared" si="117"/>
        <v>3173627.6599999997</v>
      </c>
      <c r="AE233" s="9">
        <v>44744</v>
      </c>
      <c r="AF233" s="9">
        <f t="shared" si="137"/>
        <v>3218371.6599999997</v>
      </c>
      <c r="AG233" s="60" t="s">
        <v>515</v>
      </c>
      <c r="AH233" s="60" t="s">
        <v>2184</v>
      </c>
      <c r="AI233" s="163">
        <f>868935.85+202154.6-31899.66+240474.34+180513.89+317362.76-32301.2+480099.09+167721.85-8613.8-8272.59</f>
        <v>2376175.1300000004</v>
      </c>
      <c r="AJ233" s="1">
        <f>84361.34+30914.65+31899.66+27608+11296.45+32301.2+73426.92+50675.08+8613.8+8272.59</f>
        <v>359369.69000000006</v>
      </c>
    </row>
    <row r="234" spans="1:36" ht="362.25" x14ac:dyDescent="0.25">
      <c r="A234" s="5">
        <f t="shared" si="118"/>
        <v>231</v>
      </c>
      <c r="B234" s="70">
        <v>126243</v>
      </c>
      <c r="C234" s="6">
        <v>549</v>
      </c>
      <c r="D234" s="41" t="s">
        <v>1981</v>
      </c>
      <c r="E234" s="5" t="s">
        <v>1018</v>
      </c>
      <c r="F234" s="18" t="s">
        <v>1194</v>
      </c>
      <c r="G234" s="3" t="s">
        <v>1009</v>
      </c>
      <c r="H234" s="5" t="s">
        <v>362</v>
      </c>
      <c r="I234" s="18" t="s">
        <v>1195</v>
      </c>
      <c r="J234" s="2">
        <v>43556</v>
      </c>
      <c r="K234" s="2">
        <v>44409</v>
      </c>
      <c r="L234" s="17">
        <f t="shared" si="132"/>
        <v>84.9999995883324</v>
      </c>
      <c r="M234" s="6">
        <v>6</v>
      </c>
      <c r="N234" s="6" t="s">
        <v>370</v>
      </c>
      <c r="O234" s="6" t="s">
        <v>300</v>
      </c>
      <c r="P234" s="6" t="s">
        <v>174</v>
      </c>
      <c r="Q234" s="5" t="s">
        <v>34</v>
      </c>
      <c r="R234" s="4">
        <f t="shared" si="133"/>
        <v>2477727.14</v>
      </c>
      <c r="S234" s="9">
        <v>2477727.14</v>
      </c>
      <c r="T234" s="9">
        <v>0</v>
      </c>
      <c r="U234" s="4">
        <f t="shared" si="134"/>
        <v>378946.5</v>
      </c>
      <c r="V234" s="54">
        <v>378946.5</v>
      </c>
      <c r="W234" s="54">
        <v>0</v>
      </c>
      <c r="X234" s="4">
        <f t="shared" si="135"/>
        <v>58299.48</v>
      </c>
      <c r="Y234" s="9">
        <v>58299.48</v>
      </c>
      <c r="Z234" s="9">
        <v>0</v>
      </c>
      <c r="AA234" s="9">
        <f t="shared" si="136"/>
        <v>0</v>
      </c>
      <c r="AB234" s="9">
        <v>0</v>
      </c>
      <c r="AC234" s="9">
        <v>0</v>
      </c>
      <c r="AD234" s="45">
        <f t="shared" si="117"/>
        <v>2914973.12</v>
      </c>
      <c r="AE234" s="9">
        <v>16660</v>
      </c>
      <c r="AF234" s="9">
        <f t="shared" si="137"/>
        <v>2931633.12</v>
      </c>
      <c r="AG234" s="60" t="s">
        <v>966</v>
      </c>
      <c r="AH234" s="60" t="s">
        <v>2162</v>
      </c>
      <c r="AI234" s="1">
        <f>138790.64+56881.15+18677.05+445571.52+116963.42+876227.92+172996.19+277947.65</f>
        <v>2104055.54</v>
      </c>
      <c r="AJ234" s="1">
        <f>21226.8+8699.47+2856.49+68146.24+17888.52+134011.33+26458.23+42509.65</f>
        <v>321796.73</v>
      </c>
    </row>
    <row r="235" spans="1:36" ht="236.25" x14ac:dyDescent="0.25">
      <c r="A235" s="5">
        <f t="shared" si="118"/>
        <v>232</v>
      </c>
      <c r="B235" s="16">
        <v>119429</v>
      </c>
      <c r="C235" s="70">
        <v>472</v>
      </c>
      <c r="D235" s="41" t="s">
        <v>1981</v>
      </c>
      <c r="E235" s="18" t="s">
        <v>474</v>
      </c>
      <c r="F235" s="8" t="s">
        <v>739</v>
      </c>
      <c r="G235" s="3" t="s">
        <v>1009</v>
      </c>
      <c r="H235" s="5" t="s">
        <v>362</v>
      </c>
      <c r="I235" s="15" t="s">
        <v>740</v>
      </c>
      <c r="J235" s="2">
        <v>43304</v>
      </c>
      <c r="K235" s="2">
        <v>43669</v>
      </c>
      <c r="L235" s="17">
        <f t="shared" si="132"/>
        <v>85.000001381242228</v>
      </c>
      <c r="M235" s="5">
        <v>6</v>
      </c>
      <c r="N235" s="5" t="s">
        <v>738</v>
      </c>
      <c r="O235" s="5" t="s">
        <v>737</v>
      </c>
      <c r="P235" s="3" t="s">
        <v>174</v>
      </c>
      <c r="Q235" s="5" t="s">
        <v>478</v>
      </c>
      <c r="R235" s="9">
        <f t="shared" si="133"/>
        <v>215385.83</v>
      </c>
      <c r="S235" s="9">
        <v>215385.83</v>
      </c>
      <c r="T235" s="9">
        <v>0</v>
      </c>
      <c r="U235" s="9">
        <f t="shared" si="134"/>
        <v>32941.35</v>
      </c>
      <c r="V235" s="54">
        <v>32941.35</v>
      </c>
      <c r="W235" s="54">
        <v>0</v>
      </c>
      <c r="X235" s="9">
        <f t="shared" si="135"/>
        <v>5067.91</v>
      </c>
      <c r="Y235" s="9">
        <v>5067.91</v>
      </c>
      <c r="Z235" s="9">
        <v>0</v>
      </c>
      <c r="AA235" s="9">
        <f t="shared" si="136"/>
        <v>0</v>
      </c>
      <c r="AB235" s="9">
        <v>0</v>
      </c>
      <c r="AC235" s="9">
        <v>0</v>
      </c>
      <c r="AD235" s="45">
        <f t="shared" si="117"/>
        <v>253395.09</v>
      </c>
      <c r="AE235" s="9"/>
      <c r="AF235" s="9">
        <f t="shared" si="137"/>
        <v>253395.09</v>
      </c>
      <c r="AG235" s="50" t="s">
        <v>966</v>
      </c>
      <c r="AH235" s="14"/>
      <c r="AI235" s="1">
        <v>158423.03</v>
      </c>
      <c r="AJ235" s="1">
        <v>24229.39</v>
      </c>
    </row>
    <row r="236" spans="1:36" ht="173.25" x14ac:dyDescent="0.25">
      <c r="A236" s="5">
        <f t="shared" si="118"/>
        <v>233</v>
      </c>
      <c r="B236" s="16">
        <v>121622</v>
      </c>
      <c r="C236" s="6">
        <v>99</v>
      </c>
      <c r="D236" s="41" t="s">
        <v>1981</v>
      </c>
      <c r="E236" s="18" t="s">
        <v>278</v>
      </c>
      <c r="F236" s="8" t="s">
        <v>294</v>
      </c>
      <c r="G236" s="5" t="s">
        <v>298</v>
      </c>
      <c r="H236" s="5" t="s">
        <v>296</v>
      </c>
      <c r="I236" s="88" t="s">
        <v>293</v>
      </c>
      <c r="J236" s="2">
        <v>43188</v>
      </c>
      <c r="K236" s="2">
        <v>43737</v>
      </c>
      <c r="L236" s="17">
        <f t="shared" si="132"/>
        <v>84.999999426373932</v>
      </c>
      <c r="M236" s="5" t="s">
        <v>136</v>
      </c>
      <c r="N236" s="5" t="s">
        <v>300</v>
      </c>
      <c r="O236" s="5" t="s">
        <v>300</v>
      </c>
      <c r="P236" s="3" t="s">
        <v>174</v>
      </c>
      <c r="Q236" s="5" t="s">
        <v>34</v>
      </c>
      <c r="R236" s="9">
        <f t="shared" si="133"/>
        <v>444540.46</v>
      </c>
      <c r="S236" s="9">
        <v>444540.46</v>
      </c>
      <c r="T236" s="9">
        <v>0</v>
      </c>
      <c r="U236" s="9">
        <f t="shared" si="134"/>
        <v>67988.539999999994</v>
      </c>
      <c r="V236" s="54">
        <v>67988.539999999994</v>
      </c>
      <c r="W236" s="54">
        <v>0</v>
      </c>
      <c r="X236" s="9">
        <f t="shared" si="135"/>
        <v>10459.780000000001</v>
      </c>
      <c r="Y236" s="4">
        <v>10459.780000000001</v>
      </c>
      <c r="Z236" s="9">
        <v>0</v>
      </c>
      <c r="AA236" s="9">
        <f t="shared" si="136"/>
        <v>0</v>
      </c>
      <c r="AB236" s="9">
        <v>0</v>
      </c>
      <c r="AC236" s="9">
        <v>0</v>
      </c>
      <c r="AD236" s="45">
        <f t="shared" si="117"/>
        <v>522988.78</v>
      </c>
      <c r="AE236" s="9">
        <v>0</v>
      </c>
      <c r="AF236" s="9">
        <f t="shared" si="137"/>
        <v>522988.78</v>
      </c>
      <c r="AG236" s="50" t="s">
        <v>966</v>
      </c>
      <c r="AH236" s="14" t="s">
        <v>1118</v>
      </c>
      <c r="AI236" s="1">
        <v>306121.42</v>
      </c>
      <c r="AJ236" s="1">
        <v>46818.559999999998</v>
      </c>
    </row>
    <row r="237" spans="1:36" ht="189" x14ac:dyDescent="0.25">
      <c r="A237" s="5">
        <f t="shared" si="118"/>
        <v>234</v>
      </c>
      <c r="B237" s="16">
        <v>121536</v>
      </c>
      <c r="C237" s="6">
        <v>102</v>
      </c>
      <c r="D237" s="41" t="s">
        <v>1981</v>
      </c>
      <c r="E237" s="18" t="s">
        <v>278</v>
      </c>
      <c r="F237" s="8" t="s">
        <v>1606</v>
      </c>
      <c r="G237" s="5" t="s">
        <v>295</v>
      </c>
      <c r="H237" s="5" t="s">
        <v>296</v>
      </c>
      <c r="I237" s="88" t="s">
        <v>301</v>
      </c>
      <c r="J237" s="2">
        <v>43186</v>
      </c>
      <c r="K237" s="2">
        <v>43643</v>
      </c>
      <c r="L237" s="17">
        <f t="shared" si="132"/>
        <v>85.000000246407055</v>
      </c>
      <c r="M237" s="5" t="s">
        <v>136</v>
      </c>
      <c r="N237" s="5" t="s">
        <v>300</v>
      </c>
      <c r="O237" s="5" t="s">
        <v>297</v>
      </c>
      <c r="P237" s="3" t="s">
        <v>174</v>
      </c>
      <c r="Q237" s="5" t="s">
        <v>34</v>
      </c>
      <c r="R237" s="9">
        <f t="shared" si="133"/>
        <v>344957.66</v>
      </c>
      <c r="S237" s="9">
        <v>344957.66</v>
      </c>
      <c r="T237" s="9">
        <v>0</v>
      </c>
      <c r="U237" s="9">
        <f t="shared" si="134"/>
        <v>52758.23</v>
      </c>
      <c r="V237" s="54">
        <v>52758.23</v>
      </c>
      <c r="W237" s="54">
        <v>0</v>
      </c>
      <c r="X237" s="9">
        <f t="shared" si="135"/>
        <v>8116.65</v>
      </c>
      <c r="Y237" s="9">
        <v>8116.65</v>
      </c>
      <c r="Z237" s="9">
        <v>0</v>
      </c>
      <c r="AA237" s="9">
        <f t="shared" si="136"/>
        <v>0</v>
      </c>
      <c r="AB237" s="9">
        <v>0</v>
      </c>
      <c r="AC237" s="9">
        <v>0</v>
      </c>
      <c r="AD237" s="45">
        <f t="shared" si="117"/>
        <v>405832.54</v>
      </c>
      <c r="AE237" s="9">
        <v>0</v>
      </c>
      <c r="AF237" s="9">
        <f t="shared" si="137"/>
        <v>405832.54</v>
      </c>
      <c r="AG237" s="50" t="s">
        <v>966</v>
      </c>
      <c r="AH237" s="14" t="s">
        <v>151</v>
      </c>
      <c r="AI237" s="1">
        <v>219496.65000000002</v>
      </c>
      <c r="AJ237" s="1">
        <v>33570.07</v>
      </c>
    </row>
    <row r="238" spans="1:36" ht="283.5" x14ac:dyDescent="0.25">
      <c r="A238" s="5">
        <f t="shared" si="118"/>
        <v>235</v>
      </c>
      <c r="B238" s="16">
        <v>135976</v>
      </c>
      <c r="C238" s="6">
        <v>806</v>
      </c>
      <c r="D238" s="41" t="s">
        <v>1981</v>
      </c>
      <c r="E238" s="18" t="s">
        <v>1700</v>
      </c>
      <c r="F238" s="8" t="s">
        <v>1735</v>
      </c>
      <c r="G238" s="5" t="s">
        <v>1009</v>
      </c>
      <c r="H238" s="5" t="s">
        <v>296</v>
      </c>
      <c r="I238" s="88" t="s">
        <v>1736</v>
      </c>
      <c r="J238" s="2">
        <v>43959</v>
      </c>
      <c r="K238" s="2">
        <v>44628</v>
      </c>
      <c r="L238" s="17">
        <f t="shared" si="132"/>
        <v>85.000000866607152</v>
      </c>
      <c r="M238" s="6">
        <v>6</v>
      </c>
      <c r="N238" s="5" t="s">
        <v>300</v>
      </c>
      <c r="O238" s="5" t="s">
        <v>300</v>
      </c>
      <c r="P238" s="3" t="s">
        <v>174</v>
      </c>
      <c r="Q238" s="5" t="s">
        <v>1713</v>
      </c>
      <c r="R238" s="9">
        <f t="shared" si="133"/>
        <v>490418.3</v>
      </c>
      <c r="S238" s="9">
        <v>490418.3</v>
      </c>
      <c r="T238" s="9">
        <v>0</v>
      </c>
      <c r="U238" s="9">
        <f t="shared" si="134"/>
        <v>75005.149999999994</v>
      </c>
      <c r="V238" s="54">
        <v>75005.149999999994</v>
      </c>
      <c r="W238" s="54">
        <v>0</v>
      </c>
      <c r="X238" s="9">
        <f t="shared" si="135"/>
        <v>11539.25</v>
      </c>
      <c r="Y238" s="9">
        <v>11539.25</v>
      </c>
      <c r="Z238" s="9">
        <v>0</v>
      </c>
      <c r="AA238" s="9">
        <f t="shared" si="136"/>
        <v>0</v>
      </c>
      <c r="AB238" s="9">
        <v>0</v>
      </c>
      <c r="AC238" s="9">
        <v>0</v>
      </c>
      <c r="AD238" s="45">
        <f t="shared" si="117"/>
        <v>576962.69999999995</v>
      </c>
      <c r="AE238" s="9">
        <v>0</v>
      </c>
      <c r="AF238" s="9">
        <f t="shared" si="137"/>
        <v>576962.69999999995</v>
      </c>
      <c r="AG238" s="60" t="s">
        <v>515</v>
      </c>
      <c r="AH238" s="60" t="s">
        <v>2177</v>
      </c>
      <c r="AI238" s="1">
        <f>10931.85+12767+34626.66+4797.4+10676+102506.6</f>
        <v>176305.51</v>
      </c>
      <c r="AJ238" s="1">
        <f>1671.93+1952.6+5295.84+733.72+1632.8+15677.48</f>
        <v>26964.369999999995</v>
      </c>
    </row>
    <row r="239" spans="1:36" ht="283.5" x14ac:dyDescent="0.25">
      <c r="A239" s="5">
        <f t="shared" si="118"/>
        <v>236</v>
      </c>
      <c r="B239" s="16">
        <v>136251</v>
      </c>
      <c r="C239" s="6">
        <v>822</v>
      </c>
      <c r="D239" s="41" t="s">
        <v>1981</v>
      </c>
      <c r="E239" s="18" t="s">
        <v>1700</v>
      </c>
      <c r="F239" s="8" t="s">
        <v>1891</v>
      </c>
      <c r="G239" s="5" t="s">
        <v>295</v>
      </c>
      <c r="H239" s="5" t="s">
        <v>296</v>
      </c>
      <c r="I239" s="88" t="s">
        <v>1892</v>
      </c>
      <c r="J239" s="2">
        <v>44020</v>
      </c>
      <c r="K239" s="2">
        <v>44447</v>
      </c>
      <c r="L239" s="17">
        <f t="shared" si="132"/>
        <v>85.000000000000014</v>
      </c>
      <c r="M239" s="6">
        <v>6</v>
      </c>
      <c r="N239" s="5" t="s">
        <v>300</v>
      </c>
      <c r="O239" s="5" t="s">
        <v>297</v>
      </c>
      <c r="P239" s="3" t="s">
        <v>174</v>
      </c>
      <c r="Q239" s="5" t="s">
        <v>1713</v>
      </c>
      <c r="R239" s="9">
        <f t="shared" si="133"/>
        <v>759150.98</v>
      </c>
      <c r="S239" s="9">
        <v>759150.98</v>
      </c>
      <c r="T239" s="9">
        <v>0</v>
      </c>
      <c r="U239" s="9">
        <f t="shared" si="134"/>
        <v>116105.44</v>
      </c>
      <c r="V239" s="54">
        <v>116105.44</v>
      </c>
      <c r="W239" s="54">
        <v>0</v>
      </c>
      <c r="X239" s="9">
        <f t="shared" si="135"/>
        <v>17862.38</v>
      </c>
      <c r="Y239" s="9">
        <v>17862.38</v>
      </c>
      <c r="Z239" s="9">
        <v>0</v>
      </c>
      <c r="AA239" s="9">
        <f t="shared" si="136"/>
        <v>0</v>
      </c>
      <c r="AB239" s="9">
        <v>0</v>
      </c>
      <c r="AC239" s="9">
        <v>0</v>
      </c>
      <c r="AD239" s="45">
        <f t="shared" si="117"/>
        <v>893118.79999999993</v>
      </c>
      <c r="AE239" s="9">
        <v>0</v>
      </c>
      <c r="AF239" s="9">
        <f t="shared" si="137"/>
        <v>893118.79999999993</v>
      </c>
      <c r="AG239" s="60" t="s">
        <v>515</v>
      </c>
      <c r="AH239" s="12" t="s">
        <v>151</v>
      </c>
      <c r="AI239" s="1">
        <f>89311.88-3326.82-4204.74+56776.44+122243.22</f>
        <v>260799.98</v>
      </c>
      <c r="AJ239" s="1">
        <f>3326.82+4204.74+18696.02</f>
        <v>26227.58</v>
      </c>
    </row>
    <row r="240" spans="1:36" ht="141.75" x14ac:dyDescent="0.25">
      <c r="A240" s="5">
        <f t="shared" si="118"/>
        <v>237</v>
      </c>
      <c r="B240" s="16">
        <v>119377</v>
      </c>
      <c r="C240" s="6">
        <v>463</v>
      </c>
      <c r="D240" s="41" t="s">
        <v>1981</v>
      </c>
      <c r="E240" s="5" t="s">
        <v>474</v>
      </c>
      <c r="F240" s="3" t="s">
        <v>854</v>
      </c>
      <c r="G240" s="5" t="s">
        <v>851</v>
      </c>
      <c r="H240" s="6" t="s">
        <v>849</v>
      </c>
      <c r="I240" s="8" t="s">
        <v>852</v>
      </c>
      <c r="J240" s="2">
        <v>43332</v>
      </c>
      <c r="K240" s="2">
        <v>43819</v>
      </c>
      <c r="L240" s="17">
        <f>R240/AD240*100</f>
        <v>85.000001900439869</v>
      </c>
      <c r="M240" s="5">
        <v>6</v>
      </c>
      <c r="N240" s="5" t="s">
        <v>371</v>
      </c>
      <c r="O240" s="5" t="s">
        <v>853</v>
      </c>
      <c r="P240" s="5" t="s">
        <v>174</v>
      </c>
      <c r="Q240" s="3" t="s">
        <v>34</v>
      </c>
      <c r="R240" s="4">
        <f>S240+T240</f>
        <v>313085.42</v>
      </c>
      <c r="S240" s="9">
        <v>313085.42</v>
      </c>
      <c r="T240" s="9">
        <v>0</v>
      </c>
      <c r="U240" s="4">
        <f>V240+W240</f>
        <v>47883.64</v>
      </c>
      <c r="V240" s="54">
        <v>47883.64</v>
      </c>
      <c r="W240" s="54">
        <v>0</v>
      </c>
      <c r="X240" s="1">
        <f>Y240+Z240</f>
        <v>7366.72</v>
      </c>
      <c r="Y240" s="1">
        <v>7366.72</v>
      </c>
      <c r="Z240" s="1">
        <v>0</v>
      </c>
      <c r="AA240" s="9">
        <f>AB240+AC240</f>
        <v>0</v>
      </c>
      <c r="AB240" s="11">
        <v>0</v>
      </c>
      <c r="AC240" s="11">
        <v>0</v>
      </c>
      <c r="AD240" s="45">
        <f t="shared" si="117"/>
        <v>368335.77999999997</v>
      </c>
      <c r="AE240" s="82">
        <v>4938.5</v>
      </c>
      <c r="AF240" s="9">
        <f>AD240+AE240</f>
        <v>373274.27999999997</v>
      </c>
      <c r="AG240" s="60" t="s">
        <v>966</v>
      </c>
      <c r="AH240" s="12" t="s">
        <v>151</v>
      </c>
      <c r="AI240" s="1">
        <v>133874.00999999998</v>
      </c>
      <c r="AJ240" s="1">
        <v>20474.830000000002</v>
      </c>
    </row>
    <row r="241" spans="1:36" ht="157.5" x14ac:dyDescent="0.25">
      <c r="A241" s="5">
        <f t="shared" si="118"/>
        <v>238</v>
      </c>
      <c r="B241" s="16">
        <v>126124</v>
      </c>
      <c r="C241" s="6">
        <v>532</v>
      </c>
      <c r="D241" s="41" t="s">
        <v>1981</v>
      </c>
      <c r="E241" s="5" t="s">
        <v>1018</v>
      </c>
      <c r="F241" s="3" t="s">
        <v>1087</v>
      </c>
      <c r="G241" s="5" t="s">
        <v>851</v>
      </c>
      <c r="H241" s="6" t="s">
        <v>849</v>
      </c>
      <c r="I241" s="8" t="s">
        <v>1088</v>
      </c>
      <c r="J241" s="2">
        <v>43462</v>
      </c>
      <c r="K241" s="2">
        <v>44528</v>
      </c>
      <c r="L241" s="17">
        <f>R241/AD241*100</f>
        <v>84.999999694403598</v>
      </c>
      <c r="M241" s="5">
        <v>6</v>
      </c>
      <c r="N241" s="5" t="s">
        <v>371</v>
      </c>
      <c r="O241" s="5" t="s">
        <v>853</v>
      </c>
      <c r="P241" s="5" t="s">
        <v>174</v>
      </c>
      <c r="Q241" s="3" t="s">
        <v>34</v>
      </c>
      <c r="R241" s="4">
        <f>S241+T241</f>
        <v>2086084.74</v>
      </c>
      <c r="S241" s="9">
        <v>2086084.74</v>
      </c>
      <c r="T241" s="9">
        <v>0</v>
      </c>
      <c r="U241" s="4">
        <f>V241+W241</f>
        <v>319048.28000000003</v>
      </c>
      <c r="V241" s="54">
        <v>319048.28000000003</v>
      </c>
      <c r="W241" s="54">
        <v>0</v>
      </c>
      <c r="X241" s="1">
        <f>Y241+Z241</f>
        <v>49084.33</v>
      </c>
      <c r="Y241" s="1">
        <v>49084.33</v>
      </c>
      <c r="Z241" s="1">
        <v>0</v>
      </c>
      <c r="AA241" s="9">
        <f>AB241+AC241</f>
        <v>0</v>
      </c>
      <c r="AB241" s="11">
        <v>0</v>
      </c>
      <c r="AC241" s="11">
        <v>0</v>
      </c>
      <c r="AD241" s="45">
        <f t="shared" si="117"/>
        <v>2454217.35</v>
      </c>
      <c r="AE241" s="82">
        <v>0</v>
      </c>
      <c r="AF241" s="9">
        <f>AD241+AE241</f>
        <v>2454217.35</v>
      </c>
      <c r="AG241" s="60" t="s">
        <v>515</v>
      </c>
      <c r="AH241" s="60" t="s">
        <v>2133</v>
      </c>
      <c r="AI241" s="1">
        <f>108981.2+420032.45+152281.32+363688.87+137544.14+237753.81</f>
        <v>1420281.79</v>
      </c>
      <c r="AJ241" s="1">
        <f>16667.72+64240.27+23290.09+55623.01+21036.17+36362.34</f>
        <v>217219.6</v>
      </c>
    </row>
    <row r="242" spans="1:36" ht="171.75" customHeight="1" x14ac:dyDescent="0.25">
      <c r="A242" s="5">
        <f t="shared" si="118"/>
        <v>239</v>
      </c>
      <c r="B242" s="5">
        <v>129237</v>
      </c>
      <c r="C242" s="6">
        <v>670</v>
      </c>
      <c r="D242" s="41" t="s">
        <v>1981</v>
      </c>
      <c r="E242" s="18" t="s">
        <v>1246</v>
      </c>
      <c r="F242" s="8" t="s">
        <v>1453</v>
      </c>
      <c r="G242" s="5" t="s">
        <v>1454</v>
      </c>
      <c r="H242" s="6" t="s">
        <v>849</v>
      </c>
      <c r="I242" s="42" t="s">
        <v>1455</v>
      </c>
      <c r="J242" s="2">
        <v>43697</v>
      </c>
      <c r="K242" s="2">
        <v>44793</v>
      </c>
      <c r="L242" s="17">
        <f>R242/AD242*100</f>
        <v>85</v>
      </c>
      <c r="M242" s="5">
        <v>6</v>
      </c>
      <c r="N242" s="5" t="s">
        <v>853</v>
      </c>
      <c r="O242" s="5" t="s">
        <v>1456</v>
      </c>
      <c r="P242" s="3" t="s">
        <v>174</v>
      </c>
      <c r="Q242" s="5" t="s">
        <v>34</v>
      </c>
      <c r="R242" s="4">
        <f>S242+T242</f>
        <v>2465000</v>
      </c>
      <c r="S242" s="9">
        <v>2465000</v>
      </c>
      <c r="T242" s="9">
        <v>0</v>
      </c>
      <c r="U242" s="4">
        <f>V242+W242</f>
        <v>377000</v>
      </c>
      <c r="V242" s="54">
        <v>377000</v>
      </c>
      <c r="W242" s="54">
        <v>0</v>
      </c>
      <c r="X242" s="4">
        <f>Y242+Z242</f>
        <v>58000</v>
      </c>
      <c r="Y242" s="9">
        <v>58000</v>
      </c>
      <c r="Z242" s="9">
        <v>0</v>
      </c>
      <c r="AA242" s="9">
        <f>AB242+AC242</f>
        <v>0</v>
      </c>
      <c r="AB242" s="9">
        <v>0</v>
      </c>
      <c r="AC242" s="9">
        <v>0</v>
      </c>
      <c r="AD242" s="45">
        <f t="shared" si="117"/>
        <v>2900000</v>
      </c>
      <c r="AE242" s="9">
        <v>0</v>
      </c>
      <c r="AF242" s="9">
        <f>AD242+AE242</f>
        <v>2900000</v>
      </c>
      <c r="AG242" s="60" t="s">
        <v>515</v>
      </c>
      <c r="AH242" s="14" t="s">
        <v>151</v>
      </c>
      <c r="AI242" s="1">
        <f>378814.52-15254.59+264996.14+310640.81+340167.45+253198.17+463751.93</f>
        <v>1996314.43</v>
      </c>
      <c r="AJ242" s="1">
        <f>36524.57+15254.59+81552.25+52025.61+4681.95+70926.76</f>
        <v>260965.73000000004</v>
      </c>
    </row>
    <row r="243" spans="1:36" ht="171.75" customHeight="1" x14ac:dyDescent="0.25">
      <c r="A243" s="5">
        <f t="shared" si="118"/>
        <v>240</v>
      </c>
      <c r="B243" s="5">
        <v>135083</v>
      </c>
      <c r="C243" s="6">
        <v>787</v>
      </c>
      <c r="D243" s="41" t="s">
        <v>1981</v>
      </c>
      <c r="E243" s="83" t="s">
        <v>1700</v>
      </c>
      <c r="F243" s="8" t="s">
        <v>1788</v>
      </c>
      <c r="G243" s="5" t="s">
        <v>851</v>
      </c>
      <c r="H243" s="6" t="s">
        <v>849</v>
      </c>
      <c r="I243" s="42" t="s">
        <v>1789</v>
      </c>
      <c r="J243" s="2">
        <v>43973</v>
      </c>
      <c r="K243" s="2">
        <v>44703</v>
      </c>
      <c r="L243" s="17">
        <f>R243/AD243*100</f>
        <v>85.000000133164178</v>
      </c>
      <c r="M243" s="5">
        <v>6</v>
      </c>
      <c r="N243" s="5" t="s">
        <v>371</v>
      </c>
      <c r="O243" s="5" t="s">
        <v>853</v>
      </c>
      <c r="P243" s="5" t="s">
        <v>174</v>
      </c>
      <c r="Q243" s="63" t="s">
        <v>34</v>
      </c>
      <c r="R243" s="4">
        <f>S243+T243</f>
        <v>2234084.3199999998</v>
      </c>
      <c r="S243" s="9">
        <v>2234084.3199999998</v>
      </c>
      <c r="T243" s="9">
        <v>0</v>
      </c>
      <c r="U243" s="4">
        <f>V243+W243</f>
        <v>341683.48</v>
      </c>
      <c r="V243" s="54">
        <v>341683.48</v>
      </c>
      <c r="W243" s="54">
        <v>0</v>
      </c>
      <c r="X243" s="4">
        <f>Y243+Z243</f>
        <v>52566.69</v>
      </c>
      <c r="Y243" s="9">
        <v>52566.69</v>
      </c>
      <c r="Z243" s="9">
        <v>0</v>
      </c>
      <c r="AA243" s="9">
        <f>AB243+AC243</f>
        <v>0</v>
      </c>
      <c r="AB243" s="9">
        <v>0</v>
      </c>
      <c r="AC243" s="9">
        <v>0</v>
      </c>
      <c r="AD243" s="45">
        <f t="shared" si="117"/>
        <v>2628334.4899999998</v>
      </c>
      <c r="AE243" s="9">
        <v>0</v>
      </c>
      <c r="AF243" s="9">
        <f>AD243+AE243</f>
        <v>2628334.4899999998</v>
      </c>
      <c r="AG243" s="60" t="s">
        <v>515</v>
      </c>
      <c r="AH243" s="14" t="s">
        <v>151</v>
      </c>
      <c r="AI243" s="1">
        <f>425+46534.06+55068.9+44200</f>
        <v>146227.96</v>
      </c>
      <c r="AJ243" s="1">
        <f>65+7116.97+8422.3+6760</f>
        <v>22364.27</v>
      </c>
    </row>
    <row r="244" spans="1:36" ht="171.75" customHeight="1" x14ac:dyDescent="0.25">
      <c r="A244" s="5">
        <f t="shared" si="118"/>
        <v>241</v>
      </c>
      <c r="B244" s="5">
        <v>135769</v>
      </c>
      <c r="C244" s="6">
        <v>845</v>
      </c>
      <c r="D244" s="41" t="s">
        <v>1981</v>
      </c>
      <c r="E244" s="83" t="s">
        <v>1700</v>
      </c>
      <c r="F244" s="8" t="s">
        <v>1856</v>
      </c>
      <c r="G244" s="5" t="s">
        <v>1454</v>
      </c>
      <c r="H244" s="6" t="s">
        <v>849</v>
      </c>
      <c r="I244" s="42" t="s">
        <v>1857</v>
      </c>
      <c r="J244" s="2">
        <v>44011</v>
      </c>
      <c r="K244" s="2">
        <v>44741</v>
      </c>
      <c r="L244" s="17">
        <f>R244/AD244*100</f>
        <v>85.000000109361991</v>
      </c>
      <c r="M244" s="5">
        <v>6</v>
      </c>
      <c r="N244" s="5" t="s">
        <v>371</v>
      </c>
      <c r="O244" s="5" t="s">
        <v>1456</v>
      </c>
      <c r="P244" s="5" t="s">
        <v>174</v>
      </c>
      <c r="Q244" s="63" t="s">
        <v>34</v>
      </c>
      <c r="R244" s="4">
        <f>S244+T244</f>
        <v>2331705.91</v>
      </c>
      <c r="S244" s="9">
        <v>2331705.91</v>
      </c>
      <c r="T244" s="9">
        <v>0</v>
      </c>
      <c r="U244" s="4">
        <f>V244+W244</f>
        <v>356613.86</v>
      </c>
      <c r="V244" s="54">
        <v>356613.86</v>
      </c>
      <c r="W244" s="54">
        <v>0</v>
      </c>
      <c r="X244" s="4">
        <f>Y244+Z244</f>
        <v>54863.65</v>
      </c>
      <c r="Y244" s="9">
        <v>54863.65</v>
      </c>
      <c r="Z244" s="9">
        <v>0</v>
      </c>
      <c r="AA244" s="9">
        <f>AB244+AC244</f>
        <v>0</v>
      </c>
      <c r="AB244" s="9"/>
      <c r="AC244" s="9">
        <v>0</v>
      </c>
      <c r="AD244" s="45">
        <f t="shared" si="117"/>
        <v>2743183.42</v>
      </c>
      <c r="AE244" s="9">
        <v>0</v>
      </c>
      <c r="AF244" s="9">
        <f>AD244+AE244</f>
        <v>2743183.42</v>
      </c>
      <c r="AG244" s="60" t="s">
        <v>515</v>
      </c>
      <c r="AH244" s="14" t="s">
        <v>151</v>
      </c>
      <c r="AI244" s="1">
        <f>274300-21766.39-7507.24</f>
        <v>245026.37</v>
      </c>
      <c r="AJ244" s="1">
        <f>21766.39+7507.24</f>
        <v>29273.629999999997</v>
      </c>
    </row>
    <row r="245" spans="1:36" ht="150.75" customHeight="1" x14ac:dyDescent="0.25">
      <c r="A245" s="5">
        <f t="shared" si="118"/>
        <v>242</v>
      </c>
      <c r="B245" s="5">
        <v>118759</v>
      </c>
      <c r="C245" s="6">
        <v>439</v>
      </c>
      <c r="D245" s="8" t="s">
        <v>1982</v>
      </c>
      <c r="E245" s="8" t="s">
        <v>540</v>
      </c>
      <c r="F245" s="3" t="s">
        <v>721</v>
      </c>
      <c r="G245" s="5" t="s">
        <v>722</v>
      </c>
      <c r="H245" s="5" t="s">
        <v>723</v>
      </c>
      <c r="I245" s="8" t="s">
        <v>724</v>
      </c>
      <c r="J245" s="2">
        <v>43304</v>
      </c>
      <c r="K245" s="2">
        <v>44067</v>
      </c>
      <c r="L245" s="17">
        <f t="shared" ref="L245:L252" si="138">R245/AD245*100</f>
        <v>84.213980856539493</v>
      </c>
      <c r="M245" s="3">
        <v>7</v>
      </c>
      <c r="N245" s="3" t="s">
        <v>725</v>
      </c>
      <c r="O245" s="3" t="s">
        <v>725</v>
      </c>
      <c r="P245" s="3" t="s">
        <v>174</v>
      </c>
      <c r="Q245" s="3" t="s">
        <v>34</v>
      </c>
      <c r="R245" s="4">
        <f t="shared" ref="R245:R252" si="139">S245+T245</f>
        <v>288260.65000000002</v>
      </c>
      <c r="S245" s="164">
        <v>288260.65000000002</v>
      </c>
      <c r="T245" s="89">
        <v>0</v>
      </c>
      <c r="U245" s="4">
        <v>47188.93</v>
      </c>
      <c r="V245" s="131">
        <v>47188.93</v>
      </c>
      <c r="W245" s="131" t="s">
        <v>728</v>
      </c>
      <c r="X245" s="4">
        <v>6845.9</v>
      </c>
      <c r="Y245" s="89">
        <v>6845.9</v>
      </c>
      <c r="Z245" s="89" t="s">
        <v>728</v>
      </c>
      <c r="AA245" s="9">
        <f t="shared" ref="AA245:AA252" si="140">AB245+AC245</f>
        <v>0</v>
      </c>
      <c r="AB245" s="9">
        <v>0</v>
      </c>
      <c r="AC245" s="9">
        <v>0</v>
      </c>
      <c r="AD245" s="45">
        <f t="shared" si="117"/>
        <v>342295.48000000004</v>
      </c>
      <c r="AE245" s="12"/>
      <c r="AF245" s="9">
        <f t="shared" ref="AF245:AF252" si="141">AD245+AE245</f>
        <v>342295.48000000004</v>
      </c>
      <c r="AG245" s="60" t="s">
        <v>966</v>
      </c>
      <c r="AH245" s="152" t="s">
        <v>1853</v>
      </c>
      <c r="AI245" s="1">
        <f>183263.95+2590.63+1665.17+3686.23</f>
        <v>191205.98000000004</v>
      </c>
      <c r="AJ245" s="1">
        <f>26943.68+2506.84+827.67+457.17+293.85+814.14</f>
        <v>31843.349999999995</v>
      </c>
    </row>
    <row r="246" spans="1:36" ht="139.5" customHeight="1" x14ac:dyDescent="0.25">
      <c r="A246" s="5">
        <f t="shared" si="118"/>
        <v>243</v>
      </c>
      <c r="B246" s="16">
        <v>119841</v>
      </c>
      <c r="C246" s="5">
        <v>477</v>
      </c>
      <c r="D246" s="41" t="s">
        <v>1981</v>
      </c>
      <c r="E246" s="8" t="s">
        <v>474</v>
      </c>
      <c r="F246" s="8" t="s">
        <v>741</v>
      </c>
      <c r="G246" s="5" t="s">
        <v>722</v>
      </c>
      <c r="H246" s="5" t="s">
        <v>723</v>
      </c>
      <c r="I246" s="8" t="s">
        <v>742</v>
      </c>
      <c r="J246" s="2">
        <v>43304</v>
      </c>
      <c r="K246" s="2">
        <v>44035</v>
      </c>
      <c r="L246" s="17">
        <f t="shared" si="138"/>
        <v>84.228550955221309</v>
      </c>
      <c r="M246" s="3">
        <v>7</v>
      </c>
      <c r="N246" s="3" t="s">
        <v>725</v>
      </c>
      <c r="O246" s="3" t="s">
        <v>725</v>
      </c>
      <c r="P246" s="3" t="s">
        <v>174</v>
      </c>
      <c r="Q246" s="5" t="s">
        <v>34</v>
      </c>
      <c r="R246" s="4">
        <f t="shared" si="139"/>
        <v>481603.39</v>
      </c>
      <c r="S246" s="1">
        <v>481603.39</v>
      </c>
      <c r="T246" s="89">
        <v>0</v>
      </c>
      <c r="U246" s="4">
        <f t="shared" ref="U246:U252" si="142">V246+W246</f>
        <v>78742.570000000007</v>
      </c>
      <c r="V246" s="74">
        <v>78742.570000000007</v>
      </c>
      <c r="W246" s="131">
        <v>0</v>
      </c>
      <c r="X246" s="4">
        <f t="shared" ref="X246:X252" si="143">Y246+Z246</f>
        <v>6246.23</v>
      </c>
      <c r="Y246" s="1">
        <v>6246.23</v>
      </c>
      <c r="Z246" s="89">
        <v>0</v>
      </c>
      <c r="AA246" s="9">
        <f t="shared" si="140"/>
        <v>5189.45</v>
      </c>
      <c r="AB246" s="11">
        <v>5189.45</v>
      </c>
      <c r="AC246" s="11">
        <v>0</v>
      </c>
      <c r="AD246" s="45">
        <f t="shared" si="117"/>
        <v>571781.6399999999</v>
      </c>
      <c r="AE246" s="12"/>
      <c r="AF246" s="9">
        <f t="shared" si="141"/>
        <v>571781.6399999999</v>
      </c>
      <c r="AG246" s="60" t="s">
        <v>966</v>
      </c>
      <c r="AH246" s="14" t="s">
        <v>1840</v>
      </c>
      <c r="AI246" s="1">
        <f>364128.16+44922.39+5304.55+18795.8</f>
        <v>433150.89999999997</v>
      </c>
      <c r="AJ246" s="1">
        <f>57655.87+9344.13+936.09+3322.23</f>
        <v>71258.319999999992</v>
      </c>
    </row>
    <row r="247" spans="1:36" ht="288.75" customHeight="1" x14ac:dyDescent="0.25">
      <c r="A247" s="5">
        <f t="shared" si="118"/>
        <v>244</v>
      </c>
      <c r="B247" s="16">
        <v>126267</v>
      </c>
      <c r="C247" s="5">
        <v>540</v>
      </c>
      <c r="D247" s="41" t="s">
        <v>1981</v>
      </c>
      <c r="E247" s="5" t="s">
        <v>1018</v>
      </c>
      <c r="F247" s="8" t="s">
        <v>1169</v>
      </c>
      <c r="G247" s="5" t="s">
        <v>1170</v>
      </c>
      <c r="H247" s="5" t="s">
        <v>151</v>
      </c>
      <c r="I247" s="8" t="s">
        <v>1171</v>
      </c>
      <c r="J247" s="2">
        <v>43544</v>
      </c>
      <c r="K247" s="2">
        <v>44671</v>
      </c>
      <c r="L247" s="17">
        <f t="shared" si="138"/>
        <v>85.000000823943722</v>
      </c>
      <c r="M247" s="3">
        <v>7</v>
      </c>
      <c r="N247" s="3" t="s">
        <v>725</v>
      </c>
      <c r="O247" s="3" t="s">
        <v>725</v>
      </c>
      <c r="P247" s="3" t="s">
        <v>174</v>
      </c>
      <c r="Q247" s="5" t="s">
        <v>34</v>
      </c>
      <c r="R247" s="4">
        <f t="shared" si="139"/>
        <v>2630640.86</v>
      </c>
      <c r="S247" s="1">
        <v>2630640.86</v>
      </c>
      <c r="T247" s="89">
        <v>0</v>
      </c>
      <c r="U247" s="4">
        <f t="shared" si="142"/>
        <v>402333.28</v>
      </c>
      <c r="V247" s="74">
        <v>402333.28</v>
      </c>
      <c r="W247" s="131">
        <v>0</v>
      </c>
      <c r="X247" s="4">
        <f t="shared" si="143"/>
        <v>61897.43</v>
      </c>
      <c r="Y247" s="1">
        <v>61897.43</v>
      </c>
      <c r="Z247" s="89">
        <v>0</v>
      </c>
      <c r="AA247" s="9">
        <f t="shared" si="140"/>
        <v>0</v>
      </c>
      <c r="AB247" s="11">
        <v>0</v>
      </c>
      <c r="AC247" s="11">
        <v>0</v>
      </c>
      <c r="AD247" s="45">
        <f t="shared" si="117"/>
        <v>3094871.57</v>
      </c>
      <c r="AE247" s="9">
        <v>7140</v>
      </c>
      <c r="AF247" s="9">
        <f t="shared" si="141"/>
        <v>3102011.57</v>
      </c>
      <c r="AG247" s="60" t="s">
        <v>515</v>
      </c>
      <c r="AH247" s="14" t="s">
        <v>1963</v>
      </c>
      <c r="AI247" s="163">
        <f>370146.45+51053.55+52313.69+29908.99+27857.94+32148.74</f>
        <v>563429.36</v>
      </c>
      <c r="AJ247" s="1">
        <f>56610.59+7808.19+8000.91+4574.32+4260.63+4916.87</f>
        <v>86171.510000000009</v>
      </c>
    </row>
    <row r="248" spans="1:36" ht="262.5" customHeight="1" x14ac:dyDescent="0.25">
      <c r="A248" s="5">
        <f t="shared" si="118"/>
        <v>245</v>
      </c>
      <c r="B248" s="16">
        <v>126475</v>
      </c>
      <c r="C248" s="5">
        <v>563</v>
      </c>
      <c r="D248" s="41" t="s">
        <v>1981</v>
      </c>
      <c r="E248" s="5" t="s">
        <v>1018</v>
      </c>
      <c r="F248" s="8" t="s">
        <v>1172</v>
      </c>
      <c r="G248" s="5" t="s">
        <v>722</v>
      </c>
      <c r="H248" s="5" t="s">
        <v>723</v>
      </c>
      <c r="I248" s="8" t="s">
        <v>1173</v>
      </c>
      <c r="J248" s="2">
        <v>43546</v>
      </c>
      <c r="K248" s="2">
        <v>44552</v>
      </c>
      <c r="L248" s="17">
        <f t="shared" si="138"/>
        <v>84.852694957888701</v>
      </c>
      <c r="M248" s="3">
        <v>7</v>
      </c>
      <c r="N248" s="3" t="s">
        <v>725</v>
      </c>
      <c r="O248" s="3" t="s">
        <v>725</v>
      </c>
      <c r="P248" s="3" t="s">
        <v>174</v>
      </c>
      <c r="Q248" s="5" t="s">
        <v>34</v>
      </c>
      <c r="R248" s="4">
        <f t="shared" si="139"/>
        <v>3141080.49</v>
      </c>
      <c r="S248" s="1">
        <v>3141080.49</v>
      </c>
      <c r="T248" s="89">
        <v>0</v>
      </c>
      <c r="U248" s="4">
        <f t="shared" si="142"/>
        <v>486687.44</v>
      </c>
      <c r="V248" s="74">
        <v>486687.44</v>
      </c>
      <c r="W248" s="131">
        <v>0</v>
      </c>
      <c r="X248" s="4">
        <f t="shared" si="143"/>
        <v>67620.820000000007</v>
      </c>
      <c r="Y248" s="1">
        <v>67620.820000000007</v>
      </c>
      <c r="Z248" s="89">
        <v>0</v>
      </c>
      <c r="AA248" s="9">
        <f t="shared" si="140"/>
        <v>6415.29</v>
      </c>
      <c r="AB248" s="11">
        <v>6415.29</v>
      </c>
      <c r="AC248" s="11">
        <v>0</v>
      </c>
      <c r="AD248" s="45">
        <f t="shared" si="117"/>
        <v>3701804.04</v>
      </c>
      <c r="AE248" s="12">
        <v>0</v>
      </c>
      <c r="AF248" s="9">
        <f t="shared" si="141"/>
        <v>3701804.04</v>
      </c>
      <c r="AG248" s="60" t="s">
        <v>515</v>
      </c>
      <c r="AH248" s="14" t="s">
        <v>2208</v>
      </c>
      <c r="AI248" s="163">
        <f>237041.31+26332.56+366510.56+21875.84+506442.81-2889.74+19264.93+477683.17+18319.98-66.42+467774.13+453723.86</f>
        <v>2592012.9899999998</v>
      </c>
      <c r="AJ248" s="1">
        <f>37803.32+56054.55+3860.43+77455.96+2889.74+73057.43+3232.92+66.42+71541.91+73093.23</f>
        <v>399055.91000000003</v>
      </c>
    </row>
    <row r="249" spans="1:36" ht="262.5" customHeight="1" x14ac:dyDescent="0.25">
      <c r="A249" s="5">
        <f t="shared" si="118"/>
        <v>246</v>
      </c>
      <c r="B249" s="16">
        <v>129622</v>
      </c>
      <c r="C249" s="5">
        <v>660</v>
      </c>
      <c r="D249" s="41" t="s">
        <v>1981</v>
      </c>
      <c r="E249" s="5" t="s">
        <v>1246</v>
      </c>
      <c r="F249" s="8" t="s">
        <v>1358</v>
      </c>
      <c r="G249" s="5" t="s">
        <v>1359</v>
      </c>
      <c r="H249" s="5" t="s">
        <v>151</v>
      </c>
      <c r="I249" s="8" t="s">
        <v>1480</v>
      </c>
      <c r="J249" s="2">
        <v>43658</v>
      </c>
      <c r="K249" s="2">
        <v>44542</v>
      </c>
      <c r="L249" s="17">
        <f t="shared" si="138"/>
        <v>85.000000125030468</v>
      </c>
      <c r="M249" s="3">
        <v>7</v>
      </c>
      <c r="N249" s="3" t="s">
        <v>725</v>
      </c>
      <c r="O249" s="3" t="s">
        <v>1359</v>
      </c>
      <c r="P249" s="3" t="s">
        <v>174</v>
      </c>
      <c r="Q249" s="5" t="s">
        <v>34</v>
      </c>
      <c r="R249" s="4">
        <f t="shared" si="139"/>
        <v>3399171.34</v>
      </c>
      <c r="S249" s="1">
        <v>3399171.34</v>
      </c>
      <c r="T249" s="89">
        <v>0</v>
      </c>
      <c r="U249" s="4">
        <f t="shared" si="142"/>
        <v>519873.26</v>
      </c>
      <c r="V249" s="74">
        <v>519873.26</v>
      </c>
      <c r="W249" s="131">
        <v>0</v>
      </c>
      <c r="X249" s="4">
        <f t="shared" si="143"/>
        <v>79980.5</v>
      </c>
      <c r="Y249" s="1">
        <v>79980.5</v>
      </c>
      <c r="Z249" s="89">
        <v>0</v>
      </c>
      <c r="AA249" s="9">
        <f t="shared" si="140"/>
        <v>0</v>
      </c>
      <c r="AB249" s="11">
        <v>0</v>
      </c>
      <c r="AC249" s="11">
        <v>0</v>
      </c>
      <c r="AD249" s="45">
        <f t="shared" si="117"/>
        <v>3999025.0999999996</v>
      </c>
      <c r="AE249" s="165">
        <v>0</v>
      </c>
      <c r="AF249" s="9">
        <f t="shared" si="141"/>
        <v>3999025.0999999996</v>
      </c>
      <c r="AG249" s="60" t="s">
        <v>515</v>
      </c>
      <c r="AH249" s="14" t="s">
        <v>151</v>
      </c>
      <c r="AI249" s="163">
        <f>343094.2-3035.63-16936.36+315374.33-32128.75+325893.07+273927.11+376480.47+329014.87-11990.79-18859.37</f>
        <v>1880833.15</v>
      </c>
      <c r="AJ249" s="1">
        <f>4707.04+14150.24+4556.89+6032.52+3035.63+16936.36+32128.75+99719.83+50066.77+11990.79+18859.37</f>
        <v>262184.19</v>
      </c>
    </row>
    <row r="250" spans="1:36" ht="187.5" customHeight="1" x14ac:dyDescent="0.25">
      <c r="A250" s="5">
        <f t="shared" si="118"/>
        <v>247</v>
      </c>
      <c r="B250" s="16">
        <v>135967</v>
      </c>
      <c r="C250" s="5">
        <v>770</v>
      </c>
      <c r="D250" s="41" t="s">
        <v>1981</v>
      </c>
      <c r="E250" s="18" t="s">
        <v>1700</v>
      </c>
      <c r="F250" s="8" t="s">
        <v>1707</v>
      </c>
      <c r="G250" s="5" t="s">
        <v>1170</v>
      </c>
      <c r="H250" s="5" t="s">
        <v>151</v>
      </c>
      <c r="I250" s="42" t="s">
        <v>1708</v>
      </c>
      <c r="J250" s="2">
        <v>43949</v>
      </c>
      <c r="K250" s="2">
        <v>44589</v>
      </c>
      <c r="L250" s="17">
        <f t="shared" si="138"/>
        <v>85</v>
      </c>
      <c r="M250" s="3">
        <v>7</v>
      </c>
      <c r="N250" s="3" t="s">
        <v>725</v>
      </c>
      <c r="O250" s="3" t="s">
        <v>1170</v>
      </c>
      <c r="P250" s="3" t="s">
        <v>174</v>
      </c>
      <c r="Q250" s="5" t="s">
        <v>34</v>
      </c>
      <c r="R250" s="4">
        <f t="shared" si="139"/>
        <v>848725</v>
      </c>
      <c r="S250" s="1">
        <v>848725</v>
      </c>
      <c r="T250" s="89">
        <v>0</v>
      </c>
      <c r="U250" s="4">
        <f t="shared" si="142"/>
        <v>129805</v>
      </c>
      <c r="V250" s="74">
        <v>129805</v>
      </c>
      <c r="W250" s="131">
        <v>0</v>
      </c>
      <c r="X250" s="4">
        <f t="shared" si="143"/>
        <v>19970</v>
      </c>
      <c r="Y250" s="1">
        <v>19970</v>
      </c>
      <c r="Z250" s="89">
        <v>0</v>
      </c>
      <c r="AA250" s="9">
        <f t="shared" si="140"/>
        <v>0</v>
      </c>
      <c r="AB250" s="11">
        <v>0</v>
      </c>
      <c r="AC250" s="11">
        <v>0</v>
      </c>
      <c r="AD250" s="45">
        <f t="shared" si="117"/>
        <v>998500</v>
      </c>
      <c r="AE250" s="165">
        <v>0</v>
      </c>
      <c r="AF250" s="9">
        <f t="shared" si="141"/>
        <v>998500</v>
      </c>
      <c r="AG250" s="60" t="s">
        <v>515</v>
      </c>
      <c r="AH250" s="14" t="s">
        <v>151</v>
      </c>
      <c r="AI250" s="163">
        <f>23413.25+1502.08</f>
        <v>24915.33</v>
      </c>
      <c r="AJ250" s="1">
        <f>3580.85+229.73</f>
        <v>3810.58</v>
      </c>
    </row>
    <row r="251" spans="1:36" ht="141.75" x14ac:dyDescent="0.25">
      <c r="A251" s="5">
        <f t="shared" si="118"/>
        <v>248</v>
      </c>
      <c r="B251" s="16">
        <v>136083</v>
      </c>
      <c r="C251" s="5">
        <v>836</v>
      </c>
      <c r="D251" s="41" t="s">
        <v>1981</v>
      </c>
      <c r="E251" s="18" t="s">
        <v>1700</v>
      </c>
      <c r="F251" s="8" t="s">
        <v>1883</v>
      </c>
      <c r="G251" s="5" t="s">
        <v>722</v>
      </c>
      <c r="H251" s="5" t="s">
        <v>151</v>
      </c>
      <c r="I251" s="42" t="s">
        <v>1992</v>
      </c>
      <c r="J251" s="2">
        <v>44018</v>
      </c>
      <c r="K251" s="2">
        <v>44871</v>
      </c>
      <c r="L251" s="17">
        <f t="shared" si="138"/>
        <v>84.999999799611231</v>
      </c>
      <c r="M251" s="3">
        <v>7</v>
      </c>
      <c r="N251" s="3" t="s">
        <v>725</v>
      </c>
      <c r="O251" s="3" t="s">
        <v>1884</v>
      </c>
      <c r="P251" s="3" t="s">
        <v>174</v>
      </c>
      <c r="Q251" s="5" t="s">
        <v>34</v>
      </c>
      <c r="R251" s="4">
        <f t="shared" si="139"/>
        <v>2545052.79</v>
      </c>
      <c r="S251" s="1">
        <v>2545052.79</v>
      </c>
      <c r="T251" s="89">
        <v>0</v>
      </c>
      <c r="U251" s="4">
        <f t="shared" si="142"/>
        <v>389243.37</v>
      </c>
      <c r="V251" s="74">
        <v>389243.37</v>
      </c>
      <c r="W251" s="131">
        <v>0</v>
      </c>
      <c r="X251" s="4">
        <f t="shared" si="143"/>
        <v>59883.6</v>
      </c>
      <c r="Y251" s="1">
        <v>59883.6</v>
      </c>
      <c r="Z251" s="89">
        <v>0</v>
      </c>
      <c r="AA251" s="9">
        <f t="shared" si="140"/>
        <v>0</v>
      </c>
      <c r="AB251" s="11">
        <v>0</v>
      </c>
      <c r="AC251" s="11">
        <v>0</v>
      </c>
      <c r="AD251" s="45">
        <f t="shared" si="117"/>
        <v>2994179.7600000002</v>
      </c>
      <c r="AE251" s="165">
        <v>0</v>
      </c>
      <c r="AF251" s="9">
        <f t="shared" si="141"/>
        <v>2994179.7600000002</v>
      </c>
      <c r="AG251" s="60" t="s">
        <v>515</v>
      </c>
      <c r="AH251" s="14" t="s">
        <v>151</v>
      </c>
      <c r="AI251" s="163">
        <f>58043.12+42755.85</f>
        <v>100798.97</v>
      </c>
      <c r="AJ251" s="163">
        <f>8877.18+6539.13</f>
        <v>15416.310000000001</v>
      </c>
    </row>
    <row r="252" spans="1:36" ht="267.75" x14ac:dyDescent="0.25">
      <c r="A252" s="5">
        <f t="shared" si="118"/>
        <v>249</v>
      </c>
      <c r="B252" s="16">
        <v>136328</v>
      </c>
      <c r="C252" s="5">
        <v>844</v>
      </c>
      <c r="D252" s="41" t="s">
        <v>1981</v>
      </c>
      <c r="E252" s="18" t="s">
        <v>1700</v>
      </c>
      <c r="F252" s="8" t="s">
        <v>1893</v>
      </c>
      <c r="G252" s="5" t="s">
        <v>1359</v>
      </c>
      <c r="H252" s="5" t="s">
        <v>151</v>
      </c>
      <c r="I252" s="42" t="s">
        <v>1894</v>
      </c>
      <c r="J252" s="2">
        <v>44020</v>
      </c>
      <c r="K252" s="2">
        <v>44689</v>
      </c>
      <c r="L252" s="17">
        <f t="shared" si="138"/>
        <v>85.000000347346798</v>
      </c>
      <c r="M252" s="3">
        <v>7</v>
      </c>
      <c r="N252" s="3" t="s">
        <v>725</v>
      </c>
      <c r="O252" s="3" t="s">
        <v>1895</v>
      </c>
      <c r="P252" s="3" t="s">
        <v>174</v>
      </c>
      <c r="Q252" s="5" t="s">
        <v>34</v>
      </c>
      <c r="R252" s="4">
        <f t="shared" si="139"/>
        <v>2447121.96</v>
      </c>
      <c r="S252" s="1">
        <v>2447121.96</v>
      </c>
      <c r="T252" s="89">
        <v>0</v>
      </c>
      <c r="U252" s="4">
        <f t="shared" si="142"/>
        <v>374265.7</v>
      </c>
      <c r="V252" s="74">
        <v>374265.7</v>
      </c>
      <c r="W252" s="131">
        <v>0</v>
      </c>
      <c r="X252" s="4">
        <f t="shared" si="143"/>
        <v>57579.34</v>
      </c>
      <c r="Y252" s="1">
        <v>57579.34</v>
      </c>
      <c r="Z252" s="89">
        <v>0</v>
      </c>
      <c r="AA252" s="9">
        <f t="shared" si="140"/>
        <v>0</v>
      </c>
      <c r="AB252" s="11">
        <v>0</v>
      </c>
      <c r="AC252" s="11">
        <v>0</v>
      </c>
      <c r="AD252" s="45">
        <f t="shared" si="117"/>
        <v>2878967</v>
      </c>
      <c r="AE252" s="165">
        <v>0</v>
      </c>
      <c r="AF252" s="9">
        <f t="shared" si="141"/>
        <v>2878967</v>
      </c>
      <c r="AG252" s="60" t="s">
        <v>515</v>
      </c>
      <c r="AH252" s="14" t="s">
        <v>2202</v>
      </c>
      <c r="AI252" s="163">
        <f>265023-6347.44-21588.71+278069.69</f>
        <v>515156.54000000004</v>
      </c>
      <c r="AJ252" s="163">
        <f>6347.44+21588.71+6828.38</f>
        <v>34764.53</v>
      </c>
    </row>
    <row r="253" spans="1:36" ht="252" x14ac:dyDescent="0.25">
      <c r="A253" s="5">
        <f t="shared" si="118"/>
        <v>250</v>
      </c>
      <c r="B253" s="16">
        <v>117764</v>
      </c>
      <c r="C253" s="5">
        <v>416</v>
      </c>
      <c r="D253" s="8" t="s">
        <v>1982</v>
      </c>
      <c r="E253" s="8" t="s">
        <v>540</v>
      </c>
      <c r="F253" s="8" t="s">
        <v>827</v>
      </c>
      <c r="G253" s="5" t="s">
        <v>828</v>
      </c>
      <c r="H253" s="5" t="s">
        <v>151</v>
      </c>
      <c r="I253" s="166" t="s">
        <v>1483</v>
      </c>
      <c r="J253" s="2">
        <v>43326</v>
      </c>
      <c r="K253" s="2">
        <v>43813</v>
      </c>
      <c r="L253" s="17">
        <f t="shared" ref="L253:L258" si="144">R253/AD253*100</f>
        <v>85.000000298812211</v>
      </c>
      <c r="M253" s="5">
        <v>1</v>
      </c>
      <c r="N253" s="5" t="s">
        <v>426</v>
      </c>
      <c r="O253" s="5" t="s">
        <v>426</v>
      </c>
      <c r="P253" s="5" t="s">
        <v>174</v>
      </c>
      <c r="Q253" s="3" t="s">
        <v>34</v>
      </c>
      <c r="R253" s="4">
        <f t="shared" ref="R253:R258" si="145">S253+T253</f>
        <v>284459.59000000003</v>
      </c>
      <c r="S253" s="1">
        <v>284459.59000000003</v>
      </c>
      <c r="T253" s="89">
        <v>0</v>
      </c>
      <c r="U253" s="4">
        <f t="shared" ref="U253:U258" si="146">V253+W253</f>
        <v>43505.58</v>
      </c>
      <c r="V253" s="74">
        <v>43505.58</v>
      </c>
      <c r="W253" s="131">
        <v>0</v>
      </c>
      <c r="X253" s="1">
        <f t="shared" ref="X253:X258" si="147">Y253+Z253</f>
        <v>6693.17</v>
      </c>
      <c r="Y253" s="1">
        <v>6693.17</v>
      </c>
      <c r="Z253" s="89">
        <v>0</v>
      </c>
      <c r="AA253" s="9">
        <f t="shared" ref="AA253:AA258" si="148">AB253+AC253</f>
        <v>0</v>
      </c>
      <c r="AB253" s="73">
        <v>0</v>
      </c>
      <c r="AC253" s="73">
        <v>0</v>
      </c>
      <c r="AD253" s="45">
        <f t="shared" si="117"/>
        <v>334658.34000000003</v>
      </c>
      <c r="AE253" s="60">
        <v>0</v>
      </c>
      <c r="AF253" s="9">
        <f t="shared" ref="AF253:AF258" si="149">AD253+AE253</f>
        <v>334658.34000000003</v>
      </c>
      <c r="AG253" s="50" t="s">
        <v>966</v>
      </c>
      <c r="AH253" s="60" t="s">
        <v>151</v>
      </c>
      <c r="AI253" s="9">
        <v>113379.81</v>
      </c>
      <c r="AJ253" s="9">
        <v>17340.43</v>
      </c>
    </row>
    <row r="254" spans="1:36" ht="141.75" x14ac:dyDescent="0.25">
      <c r="A254" s="5">
        <f t="shared" si="118"/>
        <v>251</v>
      </c>
      <c r="B254" s="16">
        <v>128093</v>
      </c>
      <c r="C254" s="5">
        <v>626</v>
      </c>
      <c r="D254" s="41" t="s">
        <v>1981</v>
      </c>
      <c r="E254" s="8" t="s">
        <v>1246</v>
      </c>
      <c r="F254" s="8" t="s">
        <v>1377</v>
      </c>
      <c r="G254" s="5" t="s">
        <v>1378</v>
      </c>
      <c r="H254" s="5" t="s">
        <v>151</v>
      </c>
      <c r="I254" s="8" t="s">
        <v>1379</v>
      </c>
      <c r="J254" s="2">
        <v>43670</v>
      </c>
      <c r="K254" s="2">
        <v>44401</v>
      </c>
      <c r="L254" s="17">
        <f t="shared" si="144"/>
        <v>85.000000000000014</v>
      </c>
      <c r="M254" s="5">
        <v>1</v>
      </c>
      <c r="N254" s="5" t="s">
        <v>426</v>
      </c>
      <c r="O254" s="5" t="s">
        <v>426</v>
      </c>
      <c r="P254" s="5" t="s">
        <v>174</v>
      </c>
      <c r="Q254" s="3" t="s">
        <v>34</v>
      </c>
      <c r="R254" s="4">
        <f t="shared" si="145"/>
        <v>2360805.2999999998</v>
      </c>
      <c r="S254" s="1">
        <v>2360805.2999999998</v>
      </c>
      <c r="T254" s="89">
        <v>0</v>
      </c>
      <c r="U254" s="4">
        <f t="shared" si="146"/>
        <v>361064.38</v>
      </c>
      <c r="V254" s="74">
        <v>361064.38</v>
      </c>
      <c r="W254" s="131">
        <v>0</v>
      </c>
      <c r="X254" s="1">
        <f t="shared" si="147"/>
        <v>55548.32</v>
      </c>
      <c r="Y254" s="1">
        <v>55548.32</v>
      </c>
      <c r="Z254" s="89">
        <v>0</v>
      </c>
      <c r="AA254" s="9">
        <f t="shared" si="148"/>
        <v>0</v>
      </c>
      <c r="AB254" s="89">
        <v>0</v>
      </c>
      <c r="AC254" s="89">
        <v>0</v>
      </c>
      <c r="AD254" s="45">
        <f t="shared" si="117"/>
        <v>2777417.9999999995</v>
      </c>
      <c r="AE254" s="60">
        <v>0</v>
      </c>
      <c r="AF254" s="9">
        <f t="shared" si="149"/>
        <v>2777417.9999999995</v>
      </c>
      <c r="AG254" s="50" t="s">
        <v>966</v>
      </c>
      <c r="AH254" s="60"/>
      <c r="AI254" s="9">
        <f>322900.1+67975.35+61200.54+167474.18+120525.39+40857.99+61301.45+1126778.54</f>
        <v>1969013.54</v>
      </c>
      <c r="AJ254" s="9">
        <f>49384.72+10396.23+9360.09+25613.7+18433.3+6248.87+9375.51+172330.88</f>
        <v>301143.3</v>
      </c>
    </row>
    <row r="255" spans="1:36" ht="252" x14ac:dyDescent="0.25">
      <c r="A255" s="5">
        <f t="shared" si="118"/>
        <v>252</v>
      </c>
      <c r="B255" s="16">
        <v>136121</v>
      </c>
      <c r="C255" s="5">
        <v>778</v>
      </c>
      <c r="D255" s="41" t="s">
        <v>1981</v>
      </c>
      <c r="E255" s="83" t="s">
        <v>1700</v>
      </c>
      <c r="F255" s="8" t="s">
        <v>1794</v>
      </c>
      <c r="G255" s="5" t="s">
        <v>1793</v>
      </c>
      <c r="H255" s="5" t="s">
        <v>151</v>
      </c>
      <c r="I255" s="8" t="s">
        <v>1795</v>
      </c>
      <c r="J255" s="2">
        <v>43973</v>
      </c>
      <c r="K255" s="2">
        <v>44887</v>
      </c>
      <c r="L255" s="17">
        <f t="shared" si="144"/>
        <v>85.000000076716475</v>
      </c>
      <c r="M255" s="5">
        <v>1</v>
      </c>
      <c r="N255" s="5" t="s">
        <v>426</v>
      </c>
      <c r="O255" s="5" t="s">
        <v>1796</v>
      </c>
      <c r="P255" s="66" t="s">
        <v>174</v>
      </c>
      <c r="Q255" s="63" t="s">
        <v>34</v>
      </c>
      <c r="R255" s="4">
        <f t="shared" si="145"/>
        <v>3323927.74</v>
      </c>
      <c r="S255" s="1">
        <v>3323927.74</v>
      </c>
      <c r="T255" s="89">
        <v>0</v>
      </c>
      <c r="U255" s="4">
        <f t="shared" si="146"/>
        <v>508365.42</v>
      </c>
      <c r="V255" s="74">
        <v>508365.42</v>
      </c>
      <c r="W255" s="131">
        <v>0</v>
      </c>
      <c r="X255" s="1">
        <f t="shared" si="147"/>
        <v>78210.06</v>
      </c>
      <c r="Y255" s="1">
        <v>78210.06</v>
      </c>
      <c r="Z255" s="89">
        <v>0</v>
      </c>
      <c r="AA255" s="9">
        <f t="shared" si="148"/>
        <v>0</v>
      </c>
      <c r="AB255" s="89">
        <v>0</v>
      </c>
      <c r="AC255" s="89">
        <v>0</v>
      </c>
      <c r="AD255" s="45">
        <f t="shared" si="117"/>
        <v>3910503.22</v>
      </c>
      <c r="AE255" s="60">
        <v>0</v>
      </c>
      <c r="AF255" s="9">
        <f t="shared" si="149"/>
        <v>3910503.22</v>
      </c>
      <c r="AG255" s="60" t="s">
        <v>515</v>
      </c>
      <c r="AH255" s="60"/>
      <c r="AI255" s="9">
        <f>30250.4+23570.5+87729.35+88902.35</f>
        <v>230452.6</v>
      </c>
      <c r="AJ255" s="9">
        <f>4626.53+3604.9+13417.43+13596.83</f>
        <v>35245.69</v>
      </c>
    </row>
    <row r="256" spans="1:36" ht="220.5" x14ac:dyDescent="0.25">
      <c r="A256" s="5">
        <f t="shared" si="118"/>
        <v>253</v>
      </c>
      <c r="B256" s="16">
        <v>136253</v>
      </c>
      <c r="C256" s="5">
        <v>786</v>
      </c>
      <c r="D256" s="41" t="s">
        <v>1981</v>
      </c>
      <c r="E256" s="83" t="s">
        <v>1700</v>
      </c>
      <c r="F256" s="8" t="s">
        <v>1804</v>
      </c>
      <c r="G256" s="5" t="s">
        <v>1805</v>
      </c>
      <c r="H256" s="5" t="s">
        <v>151</v>
      </c>
      <c r="I256" s="8" t="s">
        <v>1806</v>
      </c>
      <c r="J256" s="2">
        <v>43977</v>
      </c>
      <c r="K256" s="2">
        <v>44891</v>
      </c>
      <c r="L256" s="17">
        <f t="shared" si="144"/>
        <v>85.000000077356688</v>
      </c>
      <c r="M256" s="5">
        <v>1</v>
      </c>
      <c r="N256" s="5" t="s">
        <v>426</v>
      </c>
      <c r="O256" s="5" t="s">
        <v>1807</v>
      </c>
      <c r="P256" s="66" t="s">
        <v>174</v>
      </c>
      <c r="Q256" s="63" t="s">
        <v>34</v>
      </c>
      <c r="R256" s="4">
        <f t="shared" si="145"/>
        <v>3296418.51</v>
      </c>
      <c r="S256" s="1">
        <v>3296418.51</v>
      </c>
      <c r="T256" s="89">
        <v>0</v>
      </c>
      <c r="U256" s="4">
        <f t="shared" si="146"/>
        <v>504158.13</v>
      </c>
      <c r="V256" s="74">
        <v>504158.13</v>
      </c>
      <c r="W256" s="131">
        <v>0</v>
      </c>
      <c r="X256" s="1">
        <f t="shared" si="147"/>
        <v>77562.78</v>
      </c>
      <c r="Y256" s="1">
        <v>77562.78</v>
      </c>
      <c r="Z256" s="89">
        <v>0</v>
      </c>
      <c r="AA256" s="9">
        <f t="shared" si="148"/>
        <v>0</v>
      </c>
      <c r="AB256" s="89">
        <v>0</v>
      </c>
      <c r="AC256" s="89">
        <v>0</v>
      </c>
      <c r="AD256" s="45">
        <f t="shared" si="117"/>
        <v>3878139.4199999995</v>
      </c>
      <c r="AE256" s="167">
        <v>0</v>
      </c>
      <c r="AF256" s="9">
        <f t="shared" si="149"/>
        <v>3878139.4199999995</v>
      </c>
      <c r="AG256" s="60" t="s">
        <v>515</v>
      </c>
      <c r="AH256" s="60"/>
      <c r="AI256" s="9">
        <f>46849.45+76037.6+46900.45</f>
        <v>169787.5</v>
      </c>
      <c r="AJ256" s="9">
        <f>7165.21+11629.28+7173.01</f>
        <v>25967.5</v>
      </c>
    </row>
    <row r="257" spans="1:36" ht="88.5" customHeight="1" x14ac:dyDescent="0.25">
      <c r="A257" s="5">
        <f t="shared" si="118"/>
        <v>254</v>
      </c>
      <c r="B257" s="16">
        <v>135768</v>
      </c>
      <c r="C257" s="5">
        <v>782</v>
      </c>
      <c r="D257" s="41" t="s">
        <v>1981</v>
      </c>
      <c r="E257" s="83" t="s">
        <v>1700</v>
      </c>
      <c r="F257" s="8" t="s">
        <v>1818</v>
      </c>
      <c r="G257" s="5" t="s">
        <v>828</v>
      </c>
      <c r="H257" s="5" t="s">
        <v>151</v>
      </c>
      <c r="I257" s="8" t="s">
        <v>1819</v>
      </c>
      <c r="J257" s="2">
        <v>43998</v>
      </c>
      <c r="K257" s="2">
        <v>44728</v>
      </c>
      <c r="L257" s="17">
        <f t="shared" si="144"/>
        <v>85.000000630128795</v>
      </c>
      <c r="M257" s="5">
        <v>1</v>
      </c>
      <c r="N257" s="5" t="s">
        <v>426</v>
      </c>
      <c r="O257" s="5" t="s">
        <v>1820</v>
      </c>
      <c r="P257" s="66" t="s">
        <v>174</v>
      </c>
      <c r="Q257" s="63" t="s">
        <v>34</v>
      </c>
      <c r="R257" s="4">
        <f t="shared" si="145"/>
        <v>1011697.93</v>
      </c>
      <c r="S257" s="1">
        <v>1011697.93</v>
      </c>
      <c r="T257" s="89">
        <v>0</v>
      </c>
      <c r="U257" s="4">
        <f t="shared" si="146"/>
        <v>154730.26000000004</v>
      </c>
      <c r="V257" s="74">
        <v>154730.26000000004</v>
      </c>
      <c r="W257" s="131">
        <v>0</v>
      </c>
      <c r="X257" s="1">
        <f t="shared" si="147"/>
        <v>23804.66</v>
      </c>
      <c r="Y257" s="1">
        <v>23804.66</v>
      </c>
      <c r="Z257" s="89">
        <v>0</v>
      </c>
      <c r="AA257" s="9">
        <f t="shared" si="148"/>
        <v>0</v>
      </c>
      <c r="AB257" s="89">
        <v>0</v>
      </c>
      <c r="AC257" s="89">
        <v>0</v>
      </c>
      <c r="AD257" s="45">
        <f t="shared" si="117"/>
        <v>1190232.8500000001</v>
      </c>
      <c r="AE257" s="167">
        <v>0</v>
      </c>
      <c r="AF257" s="9">
        <f t="shared" si="149"/>
        <v>1190232.8500000001</v>
      </c>
      <c r="AG257" s="60" t="s">
        <v>515</v>
      </c>
      <c r="AH257" s="60" t="s">
        <v>2159</v>
      </c>
      <c r="AI257" s="9">
        <f>67626-4071.15</f>
        <v>63554.85</v>
      </c>
      <c r="AJ257" s="9">
        <v>4071.15</v>
      </c>
    </row>
    <row r="258" spans="1:36" ht="106.5" customHeight="1" x14ac:dyDescent="0.25">
      <c r="A258" s="5">
        <f t="shared" si="118"/>
        <v>255</v>
      </c>
      <c r="B258" s="16">
        <v>136101</v>
      </c>
      <c r="C258" s="5">
        <v>777</v>
      </c>
      <c r="D258" s="41" t="s">
        <v>1981</v>
      </c>
      <c r="E258" s="83" t="s">
        <v>1700</v>
      </c>
      <c r="F258" s="8" t="s">
        <v>1821</v>
      </c>
      <c r="G258" s="5" t="s">
        <v>1822</v>
      </c>
      <c r="H258" s="5" t="s">
        <v>151</v>
      </c>
      <c r="I258" s="8" t="s">
        <v>1823</v>
      </c>
      <c r="J258" s="2">
        <v>43998</v>
      </c>
      <c r="K258" s="2">
        <v>44911</v>
      </c>
      <c r="L258" s="17">
        <f t="shared" si="144"/>
        <v>85.000000076954905</v>
      </c>
      <c r="M258" s="5">
        <v>1</v>
      </c>
      <c r="N258" s="5" t="s">
        <v>426</v>
      </c>
      <c r="O258" s="5" t="s">
        <v>1822</v>
      </c>
      <c r="P258" s="66" t="s">
        <v>174</v>
      </c>
      <c r="Q258" s="63" t="s">
        <v>34</v>
      </c>
      <c r="R258" s="4">
        <f t="shared" si="145"/>
        <v>3313628.46</v>
      </c>
      <c r="S258" s="1">
        <v>3313628.46</v>
      </c>
      <c r="T258" s="89">
        <v>0</v>
      </c>
      <c r="U258" s="4">
        <f t="shared" si="146"/>
        <v>506790.24</v>
      </c>
      <c r="V258" s="74">
        <v>506790.24</v>
      </c>
      <c r="W258" s="131">
        <v>0</v>
      </c>
      <c r="X258" s="1">
        <f t="shared" si="147"/>
        <v>77967.72</v>
      </c>
      <c r="Y258" s="1">
        <v>77967.72</v>
      </c>
      <c r="Z258" s="89">
        <v>0</v>
      </c>
      <c r="AA258" s="9">
        <f t="shared" si="148"/>
        <v>0</v>
      </c>
      <c r="AB258" s="89">
        <v>0</v>
      </c>
      <c r="AC258" s="89">
        <v>0</v>
      </c>
      <c r="AD258" s="45">
        <f t="shared" si="117"/>
        <v>3898386.4200000004</v>
      </c>
      <c r="AE258" s="167">
        <v>0</v>
      </c>
      <c r="AF258" s="9">
        <f t="shared" si="149"/>
        <v>3898386.4200000004</v>
      </c>
      <c r="AG258" s="60" t="s">
        <v>515</v>
      </c>
      <c r="AH258" s="60"/>
      <c r="AI258" s="9">
        <f>61251+21093.6</f>
        <v>82344.600000000006</v>
      </c>
      <c r="AJ258" s="9">
        <f>9367.8+3226.08</f>
        <v>12593.88</v>
      </c>
    </row>
    <row r="259" spans="1:36" ht="159" customHeight="1" x14ac:dyDescent="0.25">
      <c r="A259" s="5">
        <f t="shared" si="118"/>
        <v>256</v>
      </c>
      <c r="B259" s="16">
        <v>110909</v>
      </c>
      <c r="C259" s="6">
        <v>115</v>
      </c>
      <c r="D259" s="41" t="s">
        <v>1981</v>
      </c>
      <c r="E259" s="18" t="s">
        <v>278</v>
      </c>
      <c r="F259" s="3" t="s">
        <v>355</v>
      </c>
      <c r="G259" s="5" t="s">
        <v>354</v>
      </c>
      <c r="H259" s="5" t="s">
        <v>151</v>
      </c>
      <c r="I259" s="42" t="s">
        <v>356</v>
      </c>
      <c r="J259" s="2">
        <v>43214</v>
      </c>
      <c r="K259" s="2">
        <v>43762</v>
      </c>
      <c r="L259" s="17">
        <f>R259/AD259*100</f>
        <v>85.000000000000014</v>
      </c>
      <c r="M259" s="5">
        <v>3</v>
      </c>
      <c r="N259" s="5" t="s">
        <v>357</v>
      </c>
      <c r="O259" s="5" t="s">
        <v>366</v>
      </c>
      <c r="P259" s="3" t="s">
        <v>174</v>
      </c>
      <c r="Q259" s="5" t="s">
        <v>34</v>
      </c>
      <c r="R259" s="4">
        <f>S259+T259</f>
        <v>349633.9</v>
      </c>
      <c r="S259" s="89">
        <v>349633.9</v>
      </c>
      <c r="T259" s="89">
        <v>0</v>
      </c>
      <c r="U259" s="4">
        <f>V259+W259</f>
        <v>53473.42</v>
      </c>
      <c r="V259" s="131">
        <v>53473.42</v>
      </c>
      <c r="W259" s="131">
        <v>0</v>
      </c>
      <c r="X259" s="4">
        <f>Y259+Z259</f>
        <v>8226.68</v>
      </c>
      <c r="Y259" s="89">
        <v>8226.68</v>
      </c>
      <c r="Z259" s="89">
        <v>0</v>
      </c>
      <c r="AA259" s="9">
        <f>AB259+AC259</f>
        <v>0</v>
      </c>
      <c r="AB259" s="168">
        <v>0</v>
      </c>
      <c r="AC259" s="168">
        <v>0</v>
      </c>
      <c r="AD259" s="45">
        <f t="shared" si="117"/>
        <v>411334</v>
      </c>
      <c r="AE259" s="9">
        <v>0</v>
      </c>
      <c r="AF259" s="9">
        <f>AD259+AE259</f>
        <v>411334</v>
      </c>
      <c r="AG259" s="50" t="s">
        <v>966</v>
      </c>
      <c r="AH259" s="14" t="s">
        <v>1435</v>
      </c>
      <c r="AI259" s="1">
        <v>288582.45</v>
      </c>
      <c r="AJ259" s="1">
        <v>44136.13</v>
      </c>
    </row>
    <row r="260" spans="1:36" ht="204.75" x14ac:dyDescent="0.25">
      <c r="A260" s="5">
        <f t="shared" si="118"/>
        <v>257</v>
      </c>
      <c r="B260" s="16">
        <v>126118</v>
      </c>
      <c r="C260" s="6">
        <v>530</v>
      </c>
      <c r="D260" s="41" t="s">
        <v>1981</v>
      </c>
      <c r="E260" s="18" t="s">
        <v>1018</v>
      </c>
      <c r="F260" s="3" t="s">
        <v>1065</v>
      </c>
      <c r="G260" s="3" t="s">
        <v>1066</v>
      </c>
      <c r="H260" s="5" t="s">
        <v>362</v>
      </c>
      <c r="I260" s="42" t="s">
        <v>1067</v>
      </c>
      <c r="J260" s="2">
        <v>43447</v>
      </c>
      <c r="K260" s="2">
        <v>44755</v>
      </c>
      <c r="L260" s="17">
        <f>R260/AD260*100</f>
        <v>85.000000836129914</v>
      </c>
      <c r="M260" s="6">
        <v>3</v>
      </c>
      <c r="N260" s="5" t="s">
        <v>357</v>
      </c>
      <c r="O260" s="5" t="s">
        <v>357</v>
      </c>
      <c r="P260" s="3" t="s">
        <v>174</v>
      </c>
      <c r="Q260" s="5" t="s">
        <v>34</v>
      </c>
      <c r="R260" s="4">
        <f>S260+T260</f>
        <v>813270.76</v>
      </c>
      <c r="S260" s="89">
        <v>813270.76</v>
      </c>
      <c r="T260" s="89">
        <v>0</v>
      </c>
      <c r="U260" s="4">
        <f>V260+W260</f>
        <v>124382.58</v>
      </c>
      <c r="V260" s="131">
        <v>124382.58</v>
      </c>
      <c r="W260" s="131">
        <v>0</v>
      </c>
      <c r="X260" s="4">
        <f>Y260+Z260</f>
        <v>19135.78</v>
      </c>
      <c r="Y260" s="89">
        <v>19135.78</v>
      </c>
      <c r="Z260" s="89">
        <v>0</v>
      </c>
      <c r="AA260" s="9">
        <f>AB260+AC260</f>
        <v>0</v>
      </c>
      <c r="AB260" s="9">
        <v>0</v>
      </c>
      <c r="AC260" s="9">
        <v>0</v>
      </c>
      <c r="AD260" s="45">
        <f t="shared" si="117"/>
        <v>956789.12</v>
      </c>
      <c r="AE260" s="12"/>
      <c r="AF260" s="9">
        <f>AD260+AE260</f>
        <v>956789.12</v>
      </c>
      <c r="AG260" s="60" t="s">
        <v>515</v>
      </c>
      <c r="AH260" s="14" t="s">
        <v>1971</v>
      </c>
      <c r="AI260" s="1">
        <f>92794.07+26620.14</f>
        <v>119414.21</v>
      </c>
      <c r="AJ260" s="1">
        <f>14192.04+4071.32</f>
        <v>18263.36</v>
      </c>
    </row>
    <row r="261" spans="1:36" ht="204.75" x14ac:dyDescent="0.25">
      <c r="A261" s="5">
        <f t="shared" si="118"/>
        <v>258</v>
      </c>
      <c r="B261" s="16">
        <v>129759</v>
      </c>
      <c r="C261" s="6">
        <v>675</v>
      </c>
      <c r="D261" s="41" t="s">
        <v>1981</v>
      </c>
      <c r="E261" s="18" t="s">
        <v>1246</v>
      </c>
      <c r="F261" s="3" t="s">
        <v>1282</v>
      </c>
      <c r="G261" s="3" t="s">
        <v>2006</v>
      </c>
      <c r="H261" s="5" t="s">
        <v>362</v>
      </c>
      <c r="I261" s="42" t="s">
        <v>1283</v>
      </c>
      <c r="J261" s="2">
        <v>43622</v>
      </c>
      <c r="K261" s="2">
        <v>44261</v>
      </c>
      <c r="L261" s="17">
        <f>R261/AD261*100</f>
        <v>85.000000231937065</v>
      </c>
      <c r="M261" s="6">
        <v>3</v>
      </c>
      <c r="N261" s="5" t="s">
        <v>357</v>
      </c>
      <c r="O261" s="5" t="s">
        <v>357</v>
      </c>
      <c r="P261" s="3" t="s">
        <v>174</v>
      </c>
      <c r="Q261" s="5" t="s">
        <v>34</v>
      </c>
      <c r="R261" s="4">
        <f>S261+T261</f>
        <v>3298308.61</v>
      </c>
      <c r="S261" s="89">
        <v>3298308.61</v>
      </c>
      <c r="T261" s="89">
        <v>0</v>
      </c>
      <c r="U261" s="169">
        <f>V261+W261</f>
        <v>504447.19</v>
      </c>
      <c r="V261" s="131">
        <v>504447.19</v>
      </c>
      <c r="W261" s="131">
        <v>0</v>
      </c>
      <c r="X261" s="4">
        <f>Y261+Z261</f>
        <v>77607.259999999995</v>
      </c>
      <c r="Y261" s="89">
        <v>77607.259999999995</v>
      </c>
      <c r="Z261" s="89">
        <v>0</v>
      </c>
      <c r="AA261" s="9">
        <f>AB261+AC261</f>
        <v>0</v>
      </c>
      <c r="AB261" s="9">
        <v>0</v>
      </c>
      <c r="AC261" s="9">
        <v>0</v>
      </c>
      <c r="AD261" s="45">
        <f t="shared" ref="AD261:AD324" si="150">R261+U261+X261+AA261</f>
        <v>3880363.0599999996</v>
      </c>
      <c r="AE261" s="12"/>
      <c r="AF261" s="9">
        <f>AD261+AE261</f>
        <v>3880363.0599999996</v>
      </c>
      <c r="AG261" s="60" t="s">
        <v>966</v>
      </c>
      <c r="AH261" s="12"/>
      <c r="AI261" s="1">
        <f>350262.31-13137.88+459904.21+1860571.74-4239.22</f>
        <v>2653361.1599999997</v>
      </c>
      <c r="AJ261" s="1">
        <f>13345.6+16884.01+7544.38+13137.88+70338.29+284558.03</f>
        <v>405808.19</v>
      </c>
    </row>
    <row r="262" spans="1:36" ht="157.5" x14ac:dyDescent="0.25">
      <c r="A262" s="5">
        <f t="shared" ref="A262:A325" si="151">A261+1</f>
        <v>259</v>
      </c>
      <c r="B262" s="16">
        <v>129754</v>
      </c>
      <c r="C262" s="6">
        <v>674</v>
      </c>
      <c r="D262" s="41" t="s">
        <v>1981</v>
      </c>
      <c r="E262" s="18" t="s">
        <v>1246</v>
      </c>
      <c r="F262" s="3" t="s">
        <v>1292</v>
      </c>
      <c r="G262" s="3" t="s">
        <v>1066</v>
      </c>
      <c r="H262" s="5" t="s">
        <v>362</v>
      </c>
      <c r="I262" s="42" t="s">
        <v>1293</v>
      </c>
      <c r="J262" s="2">
        <v>43630</v>
      </c>
      <c r="K262" s="2">
        <v>44606</v>
      </c>
      <c r="L262" s="17">
        <f>R262/AD262*100</f>
        <v>85.000000138264667</v>
      </c>
      <c r="M262" s="6">
        <v>3</v>
      </c>
      <c r="N262" s="5" t="s">
        <v>357</v>
      </c>
      <c r="O262" s="5" t="s">
        <v>357</v>
      </c>
      <c r="P262" s="3" t="s">
        <v>174</v>
      </c>
      <c r="Q262" s="5" t="s">
        <v>34</v>
      </c>
      <c r="R262" s="4">
        <f>S262+T262</f>
        <v>2459052.1800000002</v>
      </c>
      <c r="S262" s="89">
        <v>2459052.1800000002</v>
      </c>
      <c r="T262" s="170">
        <v>0</v>
      </c>
      <c r="U262" s="4">
        <f>V262+W262</f>
        <v>376090.33</v>
      </c>
      <c r="V262" s="131">
        <v>376090.33</v>
      </c>
      <c r="W262" s="131">
        <v>0</v>
      </c>
      <c r="X262" s="4">
        <f>Y262+Z262</f>
        <v>57860.05</v>
      </c>
      <c r="Y262" s="89">
        <v>57860.05</v>
      </c>
      <c r="Z262" s="89">
        <v>0</v>
      </c>
      <c r="AA262" s="9">
        <f>AB262+AC262</f>
        <v>0</v>
      </c>
      <c r="AB262" s="9">
        <v>0</v>
      </c>
      <c r="AC262" s="9">
        <v>0</v>
      </c>
      <c r="AD262" s="45">
        <f t="shared" si="150"/>
        <v>2893002.56</v>
      </c>
      <c r="AE262" s="12">
        <v>0</v>
      </c>
      <c r="AF262" s="9">
        <f>AD262+AE262</f>
        <v>2893002.56</v>
      </c>
      <c r="AG262" s="60" t="s">
        <v>515</v>
      </c>
      <c r="AH262" s="60" t="s">
        <v>2085</v>
      </c>
      <c r="AI262" s="1">
        <f>102987.97+61200+27715.54+30570.65+26244.97</f>
        <v>248719.13</v>
      </c>
      <c r="AJ262" s="1">
        <f>15751.1+9360+4238.85+4675.51+4013.94</f>
        <v>38039.4</v>
      </c>
    </row>
    <row r="263" spans="1:36" ht="336.75" customHeight="1" x14ac:dyDescent="0.25">
      <c r="A263" s="5">
        <f t="shared" si="151"/>
        <v>260</v>
      </c>
      <c r="B263" s="16">
        <v>135765</v>
      </c>
      <c r="C263" s="6">
        <v>821</v>
      </c>
      <c r="D263" s="41" t="s">
        <v>1981</v>
      </c>
      <c r="E263" s="83" t="s">
        <v>1700</v>
      </c>
      <c r="F263" s="3" t="s">
        <v>1888</v>
      </c>
      <c r="G263" s="3" t="s">
        <v>1889</v>
      </c>
      <c r="H263" s="5" t="s">
        <v>1092</v>
      </c>
      <c r="I263" s="42" t="s">
        <v>1890</v>
      </c>
      <c r="J263" s="2">
        <v>44020</v>
      </c>
      <c r="K263" s="2">
        <v>44873</v>
      </c>
      <c r="L263" s="17">
        <f>R263/AD263*100</f>
        <v>84.714058426963518</v>
      </c>
      <c r="M263" s="6">
        <v>3</v>
      </c>
      <c r="N263" s="5" t="s">
        <v>357</v>
      </c>
      <c r="O263" s="5" t="s">
        <v>1889</v>
      </c>
      <c r="P263" s="3" t="s">
        <v>174</v>
      </c>
      <c r="Q263" s="5" t="s">
        <v>34</v>
      </c>
      <c r="R263" s="4">
        <f>S263+T263</f>
        <v>3306220.95</v>
      </c>
      <c r="S263" s="89">
        <v>3306220.95</v>
      </c>
      <c r="T263" s="170">
        <v>0</v>
      </c>
      <c r="U263" s="4">
        <f>V263+W263</f>
        <v>518523.83</v>
      </c>
      <c r="V263" s="131">
        <v>518523.83</v>
      </c>
      <c r="W263" s="131">
        <v>0</v>
      </c>
      <c r="X263" s="4">
        <f>Y263+Z263</f>
        <v>64926.92</v>
      </c>
      <c r="Y263" s="89">
        <v>64926.92</v>
      </c>
      <c r="Z263" s="89">
        <v>0</v>
      </c>
      <c r="AA263" s="9">
        <f>AB263+AC263</f>
        <v>13129.1</v>
      </c>
      <c r="AB263" s="9">
        <v>13129.1</v>
      </c>
      <c r="AC263" s="9">
        <v>0</v>
      </c>
      <c r="AD263" s="45">
        <f t="shared" si="150"/>
        <v>3902800.8000000003</v>
      </c>
      <c r="AE263" s="74">
        <v>97199.2</v>
      </c>
      <c r="AF263" s="9">
        <f>AD263+AE263</f>
        <v>4000000.0000000005</v>
      </c>
      <c r="AG263" s="60" t="s">
        <v>515</v>
      </c>
      <c r="AH263" s="12"/>
      <c r="AI263" s="1">
        <f>390280.08+1188911.03+27628.67</f>
        <v>1606819.78</v>
      </c>
      <c r="AJ263" s="1">
        <f>181833.45+39447.43</f>
        <v>221280.88</v>
      </c>
    </row>
    <row r="264" spans="1:36" ht="173.25" x14ac:dyDescent="0.25">
      <c r="A264" s="5">
        <f t="shared" si="151"/>
        <v>261</v>
      </c>
      <c r="B264" s="70">
        <v>119235</v>
      </c>
      <c r="C264" s="6">
        <v>479</v>
      </c>
      <c r="D264" s="41" t="s">
        <v>1981</v>
      </c>
      <c r="E264" s="8" t="s">
        <v>474</v>
      </c>
      <c r="F264" s="8" t="s">
        <v>574</v>
      </c>
      <c r="G264" s="5" t="s">
        <v>1801</v>
      </c>
      <c r="H264" s="5" t="s">
        <v>151</v>
      </c>
      <c r="I264" s="8" t="s">
        <v>575</v>
      </c>
      <c r="J264" s="2">
        <v>43276</v>
      </c>
      <c r="K264" s="2">
        <v>43702</v>
      </c>
      <c r="L264" s="17">
        <f t="shared" ref="L264:L269" si="152">R264/AD264*100</f>
        <v>84.999999139224727</v>
      </c>
      <c r="M264" s="3">
        <v>5</v>
      </c>
      <c r="N264" s="3" t="s">
        <v>576</v>
      </c>
      <c r="O264" s="3" t="s">
        <v>577</v>
      </c>
      <c r="P264" s="3" t="s">
        <v>174</v>
      </c>
      <c r="Q264" s="3" t="s">
        <v>478</v>
      </c>
      <c r="R264" s="4">
        <f t="shared" ref="R264:R269" si="153">S264+T264</f>
        <v>246870.47</v>
      </c>
      <c r="S264" s="1">
        <v>246870.47</v>
      </c>
      <c r="T264" s="89">
        <v>0</v>
      </c>
      <c r="U264" s="4">
        <f t="shared" ref="U264:U269" si="154">V264+W264</f>
        <v>37756.660000000003</v>
      </c>
      <c r="V264" s="74">
        <v>37756.660000000003</v>
      </c>
      <c r="W264" s="131">
        <v>0</v>
      </c>
      <c r="X264" s="4">
        <f t="shared" ref="X264:X269" si="155">Y264+Z264</f>
        <v>5808.72</v>
      </c>
      <c r="Y264" s="1">
        <v>5808.72</v>
      </c>
      <c r="Z264" s="89">
        <v>0</v>
      </c>
      <c r="AA264" s="9">
        <f>AB264+AC264</f>
        <v>0</v>
      </c>
      <c r="AB264" s="171">
        <v>0</v>
      </c>
      <c r="AC264" s="171">
        <v>0</v>
      </c>
      <c r="AD264" s="45">
        <f t="shared" si="150"/>
        <v>290435.84999999998</v>
      </c>
      <c r="AE264" s="12"/>
      <c r="AF264" s="9">
        <f t="shared" ref="AF264:AF269" si="156">AD264+AE264</f>
        <v>290435.84999999998</v>
      </c>
      <c r="AG264" s="50" t="s">
        <v>966</v>
      </c>
      <c r="AH264" s="110" t="s">
        <v>296</v>
      </c>
      <c r="AI264" s="1">
        <v>202756.04</v>
      </c>
      <c r="AJ264" s="1">
        <v>31009.739999999998</v>
      </c>
    </row>
    <row r="265" spans="1:36" ht="141.75" x14ac:dyDescent="0.25">
      <c r="A265" s="5">
        <f t="shared" si="151"/>
        <v>262</v>
      </c>
      <c r="B265" s="16">
        <v>119160</v>
      </c>
      <c r="C265" s="5">
        <v>482</v>
      </c>
      <c r="D265" s="41" t="s">
        <v>1981</v>
      </c>
      <c r="E265" s="8" t="s">
        <v>474</v>
      </c>
      <c r="F265" s="8" t="s">
        <v>733</v>
      </c>
      <c r="G265" s="5" t="s">
        <v>734</v>
      </c>
      <c r="H265" s="5" t="s">
        <v>151</v>
      </c>
      <c r="I265" s="8" t="s">
        <v>735</v>
      </c>
      <c r="J265" s="2">
        <v>43304</v>
      </c>
      <c r="K265" s="2">
        <v>43974</v>
      </c>
      <c r="L265" s="17">
        <f t="shared" si="152"/>
        <v>84.99999840000666</v>
      </c>
      <c r="M265" s="3">
        <v>5</v>
      </c>
      <c r="N265" s="3" t="s">
        <v>576</v>
      </c>
      <c r="O265" s="3" t="s">
        <v>736</v>
      </c>
      <c r="P265" s="3" t="s">
        <v>174</v>
      </c>
      <c r="Q265" s="5" t="s">
        <v>34</v>
      </c>
      <c r="R265" s="4">
        <f t="shared" si="153"/>
        <v>212500.88</v>
      </c>
      <c r="S265" s="1">
        <v>212500.88</v>
      </c>
      <c r="T265" s="89">
        <v>0</v>
      </c>
      <c r="U265" s="4">
        <f t="shared" si="154"/>
        <v>32500.1</v>
      </c>
      <c r="V265" s="74">
        <v>32500.1</v>
      </c>
      <c r="W265" s="131">
        <v>0</v>
      </c>
      <c r="X265" s="4">
        <f t="shared" si="155"/>
        <v>5000.0600000000004</v>
      </c>
      <c r="Y265" s="1">
        <v>5000.0600000000004</v>
      </c>
      <c r="Z265" s="89">
        <v>0</v>
      </c>
      <c r="AA265" s="9">
        <f>AB265+AC265</f>
        <v>0</v>
      </c>
      <c r="AB265" s="9">
        <v>0</v>
      </c>
      <c r="AC265" s="9">
        <v>0</v>
      </c>
      <c r="AD265" s="45">
        <f t="shared" si="150"/>
        <v>250001.04</v>
      </c>
      <c r="AE265" s="12"/>
      <c r="AF265" s="9">
        <f t="shared" si="156"/>
        <v>250001.04</v>
      </c>
      <c r="AG265" s="60" t="s">
        <v>966</v>
      </c>
      <c r="AH265" s="110" t="s">
        <v>1697</v>
      </c>
      <c r="AI265" s="1">
        <f>136389.48+39853.1</f>
        <v>176242.58000000002</v>
      </c>
      <c r="AJ265" s="1">
        <f>20859.59+6095.18</f>
        <v>26954.77</v>
      </c>
    </row>
    <row r="266" spans="1:36" ht="173.25" x14ac:dyDescent="0.25">
      <c r="A266" s="5">
        <f t="shared" si="151"/>
        <v>263</v>
      </c>
      <c r="B266" s="16">
        <v>117063</v>
      </c>
      <c r="C266" s="5">
        <v>411</v>
      </c>
      <c r="D266" s="8" t="s">
        <v>1982</v>
      </c>
      <c r="E266" s="5" t="s">
        <v>540</v>
      </c>
      <c r="F266" s="8" t="s">
        <v>786</v>
      </c>
      <c r="G266" s="5" t="s">
        <v>734</v>
      </c>
      <c r="H266" s="6" t="s">
        <v>151</v>
      </c>
      <c r="I266" s="8" t="s">
        <v>787</v>
      </c>
      <c r="J266" s="2">
        <v>43313</v>
      </c>
      <c r="K266" s="2">
        <v>43800</v>
      </c>
      <c r="L266" s="17">
        <f t="shared" si="152"/>
        <v>85</v>
      </c>
      <c r="M266" s="5">
        <v>5</v>
      </c>
      <c r="N266" s="5" t="s">
        <v>576</v>
      </c>
      <c r="O266" s="5" t="s">
        <v>736</v>
      </c>
      <c r="P266" s="5" t="s">
        <v>174</v>
      </c>
      <c r="Q266" s="5" t="s">
        <v>478</v>
      </c>
      <c r="R266" s="4">
        <f t="shared" si="153"/>
        <v>213015.1</v>
      </c>
      <c r="S266" s="1">
        <v>213015.1</v>
      </c>
      <c r="T266" s="57">
        <v>0</v>
      </c>
      <c r="U266" s="4">
        <f t="shared" si="154"/>
        <v>32578.78</v>
      </c>
      <c r="V266" s="74">
        <v>32578.78</v>
      </c>
      <c r="W266" s="131">
        <v>0</v>
      </c>
      <c r="X266" s="4">
        <f t="shared" si="155"/>
        <v>5012.12</v>
      </c>
      <c r="Y266" s="82">
        <v>5012.12</v>
      </c>
      <c r="Z266" s="82">
        <v>0</v>
      </c>
      <c r="AA266" s="9">
        <f>AB266+AC266</f>
        <v>0</v>
      </c>
      <c r="AB266" s="9">
        <v>0</v>
      </c>
      <c r="AC266" s="9">
        <v>0</v>
      </c>
      <c r="AD266" s="45">
        <f t="shared" si="150"/>
        <v>250606</v>
      </c>
      <c r="AE266" s="12"/>
      <c r="AF266" s="9">
        <f t="shared" si="156"/>
        <v>250606</v>
      </c>
      <c r="AG266" s="50" t="s">
        <v>966</v>
      </c>
      <c r="AH266" s="12" t="s">
        <v>1345</v>
      </c>
      <c r="AI266" s="163">
        <v>148385.51999999999</v>
      </c>
      <c r="AJ266" s="163">
        <v>22694.260000000002</v>
      </c>
    </row>
    <row r="267" spans="1:36" ht="157.5" x14ac:dyDescent="0.25">
      <c r="A267" s="5">
        <f t="shared" si="151"/>
        <v>264</v>
      </c>
      <c r="B267" s="16">
        <v>126522</v>
      </c>
      <c r="C267" s="5">
        <v>554</v>
      </c>
      <c r="D267" s="41" t="s">
        <v>1981</v>
      </c>
      <c r="E267" s="18" t="s">
        <v>1018</v>
      </c>
      <c r="F267" s="88" t="s">
        <v>1192</v>
      </c>
      <c r="G267" s="5" t="s">
        <v>1801</v>
      </c>
      <c r="H267" s="6" t="s">
        <v>151</v>
      </c>
      <c r="I267" s="8" t="s">
        <v>1193</v>
      </c>
      <c r="J267" s="2">
        <v>43556</v>
      </c>
      <c r="K267" s="2">
        <v>44531</v>
      </c>
      <c r="L267" s="17">
        <f t="shared" si="152"/>
        <v>85.0000001266326</v>
      </c>
      <c r="M267" s="5">
        <v>5</v>
      </c>
      <c r="N267" s="5" t="s">
        <v>576</v>
      </c>
      <c r="O267" s="5" t="s">
        <v>577</v>
      </c>
      <c r="P267" s="5" t="s">
        <v>174</v>
      </c>
      <c r="Q267" s="5" t="s">
        <v>478</v>
      </c>
      <c r="R267" s="4">
        <f t="shared" si="153"/>
        <v>3356165.93</v>
      </c>
      <c r="S267" s="1">
        <v>3356165.93</v>
      </c>
      <c r="T267" s="57">
        <v>0</v>
      </c>
      <c r="U267" s="4">
        <f t="shared" si="154"/>
        <v>513295.96</v>
      </c>
      <c r="V267" s="74">
        <v>513295.96</v>
      </c>
      <c r="W267" s="131">
        <v>0</v>
      </c>
      <c r="X267" s="4">
        <f t="shared" si="155"/>
        <v>78968.61</v>
      </c>
      <c r="Y267" s="82">
        <v>78968.61</v>
      </c>
      <c r="Z267" s="82">
        <v>0</v>
      </c>
      <c r="AA267" s="9">
        <v>0</v>
      </c>
      <c r="AB267" s="9">
        <v>0</v>
      </c>
      <c r="AC267" s="9">
        <v>0</v>
      </c>
      <c r="AD267" s="45">
        <f t="shared" si="150"/>
        <v>3948430.5</v>
      </c>
      <c r="AE267" s="12"/>
      <c r="AF267" s="9">
        <f t="shared" si="156"/>
        <v>3948430.5</v>
      </c>
      <c r="AG267" s="60" t="s">
        <v>515</v>
      </c>
      <c r="AH267" s="60" t="s">
        <v>2217</v>
      </c>
      <c r="AI267" s="163">
        <f>129133.7+27747.4+291574.82+647249.5+380477.38+97969.94</f>
        <v>1574152.7399999998</v>
      </c>
      <c r="AJ267" s="163">
        <f>19749.87+4243.72+44593.8+98991.1+58190.66+14983.64</f>
        <v>240752.78999999998</v>
      </c>
    </row>
    <row r="268" spans="1:36" ht="283.5" x14ac:dyDescent="0.25">
      <c r="A268" s="5">
        <f t="shared" si="151"/>
        <v>265</v>
      </c>
      <c r="B268" s="16">
        <v>135760</v>
      </c>
      <c r="C268" s="5">
        <v>784</v>
      </c>
      <c r="D268" s="41" t="s">
        <v>1981</v>
      </c>
      <c r="E268" s="18" t="s">
        <v>1700</v>
      </c>
      <c r="F268" s="19" t="s">
        <v>1730</v>
      </c>
      <c r="G268" s="5" t="s">
        <v>1731</v>
      </c>
      <c r="H268" s="6" t="s">
        <v>151</v>
      </c>
      <c r="I268" s="8" t="s">
        <v>1732</v>
      </c>
      <c r="J268" s="2">
        <v>43959</v>
      </c>
      <c r="K268" s="2">
        <v>44508</v>
      </c>
      <c r="L268" s="17">
        <f t="shared" si="152"/>
        <v>85</v>
      </c>
      <c r="M268" s="5">
        <v>5</v>
      </c>
      <c r="N268" s="5" t="s">
        <v>576</v>
      </c>
      <c r="O268" s="5" t="s">
        <v>1731</v>
      </c>
      <c r="P268" s="5" t="s">
        <v>174</v>
      </c>
      <c r="Q268" s="5" t="s">
        <v>1713</v>
      </c>
      <c r="R268" s="4">
        <f t="shared" si="153"/>
        <v>479451</v>
      </c>
      <c r="S268" s="1">
        <v>479451</v>
      </c>
      <c r="T268" s="57">
        <v>0</v>
      </c>
      <c r="U268" s="4">
        <f t="shared" si="154"/>
        <v>73327.8</v>
      </c>
      <c r="V268" s="74">
        <v>73327.8</v>
      </c>
      <c r="W268" s="131">
        <v>0</v>
      </c>
      <c r="X268" s="4">
        <f t="shared" si="155"/>
        <v>11281.2</v>
      </c>
      <c r="Y268" s="82">
        <v>11281.2</v>
      </c>
      <c r="Z268" s="82">
        <v>0</v>
      </c>
      <c r="AA268" s="9">
        <v>0</v>
      </c>
      <c r="AB268" s="9">
        <v>0</v>
      </c>
      <c r="AC268" s="9">
        <v>0</v>
      </c>
      <c r="AD268" s="45">
        <f t="shared" si="150"/>
        <v>564060</v>
      </c>
      <c r="AE268" s="12">
        <v>0</v>
      </c>
      <c r="AF268" s="9">
        <f t="shared" si="156"/>
        <v>564060</v>
      </c>
      <c r="AG268" s="60" t="s">
        <v>515</v>
      </c>
      <c r="AH268" s="60" t="s">
        <v>151</v>
      </c>
      <c r="AI268" s="163">
        <v>859.78</v>
      </c>
      <c r="AJ268" s="163">
        <v>131.5</v>
      </c>
    </row>
    <row r="269" spans="1:36" ht="189" x14ac:dyDescent="0.25">
      <c r="A269" s="5">
        <f t="shared" si="151"/>
        <v>266</v>
      </c>
      <c r="B269" s="16">
        <v>136091</v>
      </c>
      <c r="C269" s="5">
        <v>847</v>
      </c>
      <c r="D269" s="41" t="s">
        <v>1981</v>
      </c>
      <c r="E269" s="83" t="s">
        <v>1700</v>
      </c>
      <c r="F269" s="19" t="s">
        <v>1800</v>
      </c>
      <c r="G269" s="5" t="s">
        <v>1801</v>
      </c>
      <c r="H269" s="6" t="s">
        <v>1802</v>
      </c>
      <c r="I269" s="8" t="s">
        <v>1803</v>
      </c>
      <c r="J269" s="2">
        <v>43973</v>
      </c>
      <c r="K269" s="2">
        <v>44887</v>
      </c>
      <c r="L269" s="17">
        <f t="shared" si="152"/>
        <v>85</v>
      </c>
      <c r="M269" s="5">
        <v>5</v>
      </c>
      <c r="N269" s="5" t="s">
        <v>576</v>
      </c>
      <c r="O269" s="5" t="s">
        <v>1731</v>
      </c>
      <c r="P269" s="5" t="s">
        <v>174</v>
      </c>
      <c r="Q269" s="63" t="s">
        <v>34</v>
      </c>
      <c r="R269" s="4">
        <f t="shared" si="153"/>
        <v>2381041.25</v>
      </c>
      <c r="S269" s="1">
        <v>2381041.25</v>
      </c>
      <c r="T269" s="57">
        <v>0</v>
      </c>
      <c r="U269" s="4">
        <f t="shared" si="154"/>
        <v>364159.25</v>
      </c>
      <c r="V269" s="74">
        <v>364159.25</v>
      </c>
      <c r="W269" s="131">
        <v>0</v>
      </c>
      <c r="X269" s="4">
        <f t="shared" si="155"/>
        <v>56024.5</v>
      </c>
      <c r="Y269" s="82">
        <v>56024.5</v>
      </c>
      <c r="Z269" s="82">
        <v>0</v>
      </c>
      <c r="AA269" s="9">
        <v>0</v>
      </c>
      <c r="AB269" s="9">
        <v>0</v>
      </c>
      <c r="AC269" s="9">
        <v>0</v>
      </c>
      <c r="AD269" s="45">
        <f t="shared" si="150"/>
        <v>2801225</v>
      </c>
      <c r="AE269" s="12">
        <v>0</v>
      </c>
      <c r="AF269" s="9">
        <f t="shared" si="156"/>
        <v>2801225</v>
      </c>
      <c r="AG269" s="60" t="s">
        <v>515</v>
      </c>
      <c r="AH269" s="60" t="s">
        <v>151</v>
      </c>
      <c r="AI269" s="163">
        <f>38897.7+155670.76</f>
        <v>194568.46000000002</v>
      </c>
      <c r="AJ269" s="163">
        <f>5949.06+23808.47</f>
        <v>29757.530000000002</v>
      </c>
    </row>
    <row r="270" spans="1:36" ht="189" x14ac:dyDescent="0.25">
      <c r="A270" s="5">
        <f t="shared" si="151"/>
        <v>267</v>
      </c>
      <c r="B270" s="16">
        <v>119289</v>
      </c>
      <c r="C270" s="5">
        <v>484</v>
      </c>
      <c r="D270" s="41" t="s">
        <v>1981</v>
      </c>
      <c r="E270" s="5" t="s">
        <v>474</v>
      </c>
      <c r="F270" s="8" t="s">
        <v>554</v>
      </c>
      <c r="G270" s="5" t="s">
        <v>555</v>
      </c>
      <c r="H270" s="5" t="s">
        <v>296</v>
      </c>
      <c r="I270" s="77" t="s">
        <v>556</v>
      </c>
      <c r="J270" s="2">
        <v>43271</v>
      </c>
      <c r="K270" s="2">
        <v>43941</v>
      </c>
      <c r="L270" s="17">
        <f>R270/AD270*100</f>
        <v>85.000003319296809</v>
      </c>
      <c r="M270" s="6">
        <v>3</v>
      </c>
      <c r="N270" s="5" t="s">
        <v>372</v>
      </c>
      <c r="O270" s="5" t="s">
        <v>514</v>
      </c>
      <c r="P270" s="5" t="s">
        <v>174</v>
      </c>
      <c r="Q270" s="5" t="s">
        <v>478</v>
      </c>
      <c r="R270" s="4">
        <f>S270+T270</f>
        <v>332901.85000000009</v>
      </c>
      <c r="S270" s="11">
        <v>332901.85000000009</v>
      </c>
      <c r="T270" s="11">
        <v>0</v>
      </c>
      <c r="U270" s="4">
        <f>V270+W270</f>
        <v>50914.380000000005</v>
      </c>
      <c r="V270" s="74">
        <v>50914.380000000005</v>
      </c>
      <c r="W270" s="74">
        <v>0</v>
      </c>
      <c r="X270" s="4">
        <f>Y270+Z270</f>
        <v>7832.9900000000016</v>
      </c>
      <c r="Y270" s="1">
        <v>7832.9900000000016</v>
      </c>
      <c r="Z270" s="1">
        <v>0</v>
      </c>
      <c r="AA270" s="9">
        <f>AB270+AC270</f>
        <v>0</v>
      </c>
      <c r="AB270" s="73">
        <v>0</v>
      </c>
      <c r="AC270" s="73">
        <v>0</v>
      </c>
      <c r="AD270" s="45">
        <f t="shared" si="150"/>
        <v>391649.22000000009</v>
      </c>
      <c r="AE270" s="11">
        <f>1018.08+193.44</f>
        <v>1211.52</v>
      </c>
      <c r="AF270" s="9">
        <f>AD270+AE270</f>
        <v>392860.74000000011</v>
      </c>
      <c r="AG270" s="60" t="s">
        <v>966</v>
      </c>
      <c r="AH270" s="60" t="s">
        <v>1562</v>
      </c>
      <c r="AI270" s="163">
        <f>184371.13+90330.3</f>
        <v>274701.43</v>
      </c>
      <c r="AJ270" s="1">
        <f>28197.95+13815.22</f>
        <v>42013.17</v>
      </c>
    </row>
    <row r="271" spans="1:36" ht="315" x14ac:dyDescent="0.25">
      <c r="A271" s="5">
        <f t="shared" si="151"/>
        <v>268</v>
      </c>
      <c r="B271" s="70">
        <v>118717</v>
      </c>
      <c r="C271" s="6">
        <v>435</v>
      </c>
      <c r="D271" s="8" t="s">
        <v>1982</v>
      </c>
      <c r="E271" s="18" t="s">
        <v>540</v>
      </c>
      <c r="F271" s="8" t="s">
        <v>870</v>
      </c>
      <c r="G271" s="5" t="s">
        <v>555</v>
      </c>
      <c r="H271" s="5" t="s">
        <v>296</v>
      </c>
      <c r="I271" s="42" t="s">
        <v>871</v>
      </c>
      <c r="J271" s="2">
        <v>43333</v>
      </c>
      <c r="K271" s="2">
        <v>43790</v>
      </c>
      <c r="L271" s="17">
        <f>R271/AD271*100</f>
        <v>84.999995136543049</v>
      </c>
      <c r="M271" s="5">
        <v>3</v>
      </c>
      <c r="N271" s="5" t="s">
        <v>372</v>
      </c>
      <c r="O271" s="5" t="s">
        <v>514</v>
      </c>
      <c r="P271" s="5" t="s">
        <v>174</v>
      </c>
      <c r="Q271" s="5" t="s">
        <v>478</v>
      </c>
      <c r="R271" s="4">
        <f>S271+T271</f>
        <v>227204.63</v>
      </c>
      <c r="S271" s="57">
        <v>227204.63</v>
      </c>
      <c r="T271" s="11">
        <v>0</v>
      </c>
      <c r="U271" s="4">
        <f>V271+W271</f>
        <v>34748.959999999999</v>
      </c>
      <c r="V271" s="71">
        <v>34748.959999999999</v>
      </c>
      <c r="W271" s="131">
        <v>0</v>
      </c>
      <c r="X271" s="4">
        <f>Y271+Z271</f>
        <v>5345.99</v>
      </c>
      <c r="Y271" s="82">
        <v>5345.99</v>
      </c>
      <c r="Z271" s="82">
        <v>0</v>
      </c>
      <c r="AA271" s="9">
        <f>AB271+AC271</f>
        <v>0</v>
      </c>
      <c r="AB271" s="9">
        <v>0</v>
      </c>
      <c r="AC271" s="9">
        <v>0</v>
      </c>
      <c r="AD271" s="45">
        <f t="shared" si="150"/>
        <v>267299.58</v>
      </c>
      <c r="AE271" s="12">
        <v>37391</v>
      </c>
      <c r="AF271" s="9">
        <f>AD271+AE271</f>
        <v>304690.58</v>
      </c>
      <c r="AG271" s="50" t="s">
        <v>966</v>
      </c>
      <c r="AH271" s="60" t="s">
        <v>1068</v>
      </c>
      <c r="AI271" s="163">
        <v>209499.62</v>
      </c>
      <c r="AJ271" s="163">
        <v>32041.13</v>
      </c>
    </row>
    <row r="272" spans="1:36" ht="283.5" x14ac:dyDescent="0.25">
      <c r="A272" s="5">
        <f t="shared" si="151"/>
        <v>269</v>
      </c>
      <c r="B272" s="16">
        <v>129688</v>
      </c>
      <c r="C272" s="5">
        <v>686</v>
      </c>
      <c r="D272" s="41" t="s">
        <v>1981</v>
      </c>
      <c r="E272" s="6" t="s">
        <v>1246</v>
      </c>
      <c r="F272" s="8" t="s">
        <v>1257</v>
      </c>
      <c r="G272" s="5" t="s">
        <v>1258</v>
      </c>
      <c r="H272" s="5" t="s">
        <v>296</v>
      </c>
      <c r="I272" s="42" t="s">
        <v>1259</v>
      </c>
      <c r="J272" s="2">
        <v>43614</v>
      </c>
      <c r="K272" s="2">
        <v>44590</v>
      </c>
      <c r="L272" s="17">
        <f>R272/AD272*100</f>
        <v>84.999999952929599</v>
      </c>
      <c r="M272" s="5">
        <v>3</v>
      </c>
      <c r="N272" s="5" t="s">
        <v>372</v>
      </c>
      <c r="O272" s="5" t="s">
        <v>514</v>
      </c>
      <c r="P272" s="5" t="s">
        <v>174</v>
      </c>
      <c r="Q272" s="5" t="s">
        <v>478</v>
      </c>
      <c r="R272" s="4">
        <f>S272+T272</f>
        <v>2708708.76</v>
      </c>
      <c r="S272" s="57">
        <v>2708708.76</v>
      </c>
      <c r="T272" s="11">
        <v>0</v>
      </c>
      <c r="U272" s="4">
        <f>V272+W272</f>
        <v>414273.1</v>
      </c>
      <c r="V272" s="71">
        <v>414273.1</v>
      </c>
      <c r="W272" s="131">
        <v>0</v>
      </c>
      <c r="X272" s="4">
        <f>Y272+Z272</f>
        <v>63734.33</v>
      </c>
      <c r="Y272" s="82">
        <v>63734.33</v>
      </c>
      <c r="Z272" s="82">
        <v>0</v>
      </c>
      <c r="AA272" s="9">
        <f>AB272+AC272</f>
        <v>0</v>
      </c>
      <c r="AB272" s="82">
        <v>0</v>
      </c>
      <c r="AC272" s="82">
        <v>0</v>
      </c>
      <c r="AD272" s="45">
        <f t="shared" si="150"/>
        <v>3186716.19</v>
      </c>
      <c r="AE272" s="12">
        <v>0</v>
      </c>
      <c r="AF272" s="9">
        <f>AD272+AE272</f>
        <v>3186716.19</v>
      </c>
      <c r="AG272" s="60" t="s">
        <v>515</v>
      </c>
      <c r="AH272" s="60" t="s">
        <v>2174</v>
      </c>
      <c r="AI272" s="1">
        <f>120014.5+245371.24</f>
        <v>365385.74</v>
      </c>
      <c r="AJ272" s="1">
        <f>18355.16+37527.36</f>
        <v>55882.520000000004</v>
      </c>
    </row>
    <row r="273" spans="1:36" ht="220.5" x14ac:dyDescent="0.25">
      <c r="A273" s="5">
        <f t="shared" si="151"/>
        <v>270</v>
      </c>
      <c r="B273" s="16">
        <v>119720</v>
      </c>
      <c r="C273" s="5">
        <v>481</v>
      </c>
      <c r="D273" s="41" t="s">
        <v>1981</v>
      </c>
      <c r="E273" s="5" t="s">
        <v>474</v>
      </c>
      <c r="F273" s="8" t="s">
        <v>516</v>
      </c>
      <c r="G273" s="5" t="s">
        <v>517</v>
      </c>
      <c r="H273" s="5" t="s">
        <v>296</v>
      </c>
      <c r="I273" s="77" t="s">
        <v>519</v>
      </c>
      <c r="J273" s="2">
        <v>43264</v>
      </c>
      <c r="K273" s="2">
        <v>44056</v>
      </c>
      <c r="L273" s="17">
        <f t="shared" ref="L273:L279" si="157">R273/AD273*100</f>
        <v>85.00000159999999</v>
      </c>
      <c r="M273" s="6">
        <v>3</v>
      </c>
      <c r="N273" s="5" t="s">
        <v>373</v>
      </c>
      <c r="O273" s="5" t="s">
        <v>518</v>
      </c>
      <c r="P273" s="5" t="s">
        <v>174</v>
      </c>
      <c r="Q273" s="5" t="s">
        <v>478</v>
      </c>
      <c r="R273" s="4">
        <f t="shared" ref="R273:R279" si="158">S273+T273</f>
        <v>531250.01</v>
      </c>
      <c r="S273" s="11">
        <v>531250.01</v>
      </c>
      <c r="T273" s="11">
        <v>0</v>
      </c>
      <c r="U273" s="4">
        <f t="shared" ref="U273:U279" si="159">V273+W273</f>
        <v>81249.989999999991</v>
      </c>
      <c r="V273" s="74">
        <v>81249.989999999991</v>
      </c>
      <c r="W273" s="74">
        <v>0</v>
      </c>
      <c r="X273" s="4">
        <f t="shared" ref="X273:X279" si="160">Y273+Z273</f>
        <v>12500</v>
      </c>
      <c r="Y273" s="1">
        <v>12500</v>
      </c>
      <c r="Z273" s="1">
        <v>0</v>
      </c>
      <c r="AA273" s="9">
        <f t="shared" ref="AA273:AA279" si="161">AB273+AC273</f>
        <v>0</v>
      </c>
      <c r="AB273" s="73">
        <v>0</v>
      </c>
      <c r="AC273" s="73">
        <v>0</v>
      </c>
      <c r="AD273" s="45">
        <f t="shared" si="150"/>
        <v>625000</v>
      </c>
      <c r="AE273" s="11">
        <v>19813.5</v>
      </c>
      <c r="AF273" s="9">
        <f t="shared" ref="AF273:AF279" si="162">AD273+AE273</f>
        <v>644813.5</v>
      </c>
      <c r="AG273" s="60" t="s">
        <v>966</v>
      </c>
      <c r="AH273" s="60" t="s">
        <v>1572</v>
      </c>
      <c r="AI273" s="163">
        <f>266726.48+117536.39+35965.91</f>
        <v>420228.78</v>
      </c>
      <c r="AJ273" s="1">
        <f>40793.44+17976.15+5500.66</f>
        <v>64270.25</v>
      </c>
    </row>
    <row r="274" spans="1:36" ht="307.5" customHeight="1" x14ac:dyDescent="0.25">
      <c r="A274" s="5">
        <f t="shared" si="151"/>
        <v>271</v>
      </c>
      <c r="B274" s="16">
        <v>118770</v>
      </c>
      <c r="C274" s="5">
        <v>440</v>
      </c>
      <c r="D274" s="8" t="s">
        <v>1982</v>
      </c>
      <c r="E274" s="8" t="s">
        <v>540</v>
      </c>
      <c r="F274" s="8" t="s">
        <v>804</v>
      </c>
      <c r="G274" s="5" t="s">
        <v>805</v>
      </c>
      <c r="H274" s="5" t="s">
        <v>151</v>
      </c>
      <c r="I274" s="8" t="s">
        <v>807</v>
      </c>
      <c r="J274" s="2">
        <v>43318</v>
      </c>
      <c r="K274" s="2">
        <v>43683</v>
      </c>
      <c r="L274" s="17">
        <f t="shared" si="157"/>
        <v>85</v>
      </c>
      <c r="M274" s="5">
        <v>3</v>
      </c>
      <c r="N274" s="5" t="s">
        <v>373</v>
      </c>
      <c r="O274" s="5" t="s">
        <v>806</v>
      </c>
      <c r="P274" s="5" t="s">
        <v>174</v>
      </c>
      <c r="Q274" s="5" t="s">
        <v>478</v>
      </c>
      <c r="R274" s="4">
        <f t="shared" si="158"/>
        <v>254981.3</v>
      </c>
      <c r="S274" s="1">
        <v>254981.3</v>
      </c>
      <c r="T274" s="73">
        <v>0</v>
      </c>
      <c r="U274" s="4">
        <f t="shared" si="159"/>
        <v>38997.14</v>
      </c>
      <c r="V274" s="74">
        <v>38997.14</v>
      </c>
      <c r="W274" s="74">
        <v>0</v>
      </c>
      <c r="X274" s="4">
        <f t="shared" si="160"/>
        <v>5999.56</v>
      </c>
      <c r="Y274" s="1">
        <v>5999.56</v>
      </c>
      <c r="Z274" s="1">
        <v>0</v>
      </c>
      <c r="AA274" s="9">
        <f t="shared" si="161"/>
        <v>0</v>
      </c>
      <c r="AB274" s="73">
        <v>0</v>
      </c>
      <c r="AC274" s="73">
        <v>0</v>
      </c>
      <c r="AD274" s="45">
        <f t="shared" si="150"/>
        <v>299978</v>
      </c>
      <c r="AE274" s="60">
        <v>0</v>
      </c>
      <c r="AF274" s="9">
        <f t="shared" si="162"/>
        <v>299978</v>
      </c>
      <c r="AG274" s="50" t="s">
        <v>966</v>
      </c>
      <c r="AH274" s="60" t="s">
        <v>1145</v>
      </c>
      <c r="AI274" s="163">
        <v>213387.11000000002</v>
      </c>
      <c r="AJ274" s="163">
        <v>32635.670000000002</v>
      </c>
    </row>
    <row r="275" spans="1:36" ht="220.5" x14ac:dyDescent="0.25">
      <c r="A275" s="5">
        <f t="shared" si="151"/>
        <v>272</v>
      </c>
      <c r="B275" s="16">
        <v>126498</v>
      </c>
      <c r="C275" s="5">
        <v>572</v>
      </c>
      <c r="D275" s="41" t="s">
        <v>1981</v>
      </c>
      <c r="E275" s="8" t="s">
        <v>1018</v>
      </c>
      <c r="F275" s="8" t="s">
        <v>1177</v>
      </c>
      <c r="G275" s="5" t="s">
        <v>805</v>
      </c>
      <c r="H275" s="5" t="s">
        <v>151</v>
      </c>
      <c r="I275" s="8" t="s">
        <v>1178</v>
      </c>
      <c r="J275" s="2">
        <v>43552</v>
      </c>
      <c r="K275" s="2">
        <v>44467</v>
      </c>
      <c r="L275" s="17">
        <f t="shared" si="157"/>
        <v>85.000000127055301</v>
      </c>
      <c r="M275" s="5">
        <v>3</v>
      </c>
      <c r="N275" s="5" t="s">
        <v>373</v>
      </c>
      <c r="O275" s="5" t="s">
        <v>806</v>
      </c>
      <c r="P275" s="5" t="s">
        <v>174</v>
      </c>
      <c r="Q275" s="5" t="s">
        <v>478</v>
      </c>
      <c r="R275" s="4">
        <f t="shared" si="158"/>
        <v>3345000.16</v>
      </c>
      <c r="S275" s="1">
        <v>3345000.16</v>
      </c>
      <c r="T275" s="73">
        <v>0</v>
      </c>
      <c r="U275" s="4">
        <f t="shared" si="159"/>
        <v>516462.97</v>
      </c>
      <c r="V275" s="74">
        <v>516462.97</v>
      </c>
      <c r="W275" s="74">
        <v>0</v>
      </c>
      <c r="X275" s="4">
        <f t="shared" si="160"/>
        <v>73831.17</v>
      </c>
      <c r="Y275" s="1">
        <v>73831.17</v>
      </c>
      <c r="Z275" s="1">
        <v>0</v>
      </c>
      <c r="AA275" s="9">
        <f t="shared" si="161"/>
        <v>0</v>
      </c>
      <c r="AB275" s="73">
        <v>0</v>
      </c>
      <c r="AC275" s="73">
        <v>0</v>
      </c>
      <c r="AD275" s="45">
        <f t="shared" si="150"/>
        <v>3935294.3</v>
      </c>
      <c r="AE275" s="60">
        <v>4974.2</v>
      </c>
      <c r="AF275" s="9">
        <f t="shared" si="162"/>
        <v>3940268.5</v>
      </c>
      <c r="AG275" s="60" t="s">
        <v>515</v>
      </c>
      <c r="AH275" s="60" t="s">
        <v>1145</v>
      </c>
      <c r="AI275" s="163">
        <f>81729.2+65676.7+875554.4+122189.2</f>
        <v>1145149.5</v>
      </c>
      <c r="AJ275" s="163">
        <f>12499.76+10044.67+133908.32+18687.76</f>
        <v>175140.51</v>
      </c>
    </row>
    <row r="276" spans="1:36" ht="265.5" customHeight="1" x14ac:dyDescent="0.25">
      <c r="A276" s="5">
        <f t="shared" si="151"/>
        <v>273</v>
      </c>
      <c r="B276" s="16">
        <v>126289</v>
      </c>
      <c r="C276" s="5">
        <v>492</v>
      </c>
      <c r="D276" s="41" t="s">
        <v>1981</v>
      </c>
      <c r="E276" s="8" t="s">
        <v>1018</v>
      </c>
      <c r="F276" s="8" t="s">
        <v>1202</v>
      </c>
      <c r="G276" s="5" t="s">
        <v>1203</v>
      </c>
      <c r="H276" s="5" t="s">
        <v>362</v>
      </c>
      <c r="I276" s="8" t="s">
        <v>1204</v>
      </c>
      <c r="J276" s="2">
        <v>43563</v>
      </c>
      <c r="K276" s="2">
        <v>44477</v>
      </c>
      <c r="L276" s="17">
        <f t="shared" si="157"/>
        <v>85.000000203645214</v>
      </c>
      <c r="M276" s="6">
        <v>3</v>
      </c>
      <c r="N276" s="5" t="s">
        <v>373</v>
      </c>
      <c r="O276" s="5" t="s">
        <v>518</v>
      </c>
      <c r="P276" s="5" t="s">
        <v>174</v>
      </c>
      <c r="Q276" s="5" t="s">
        <v>34</v>
      </c>
      <c r="R276" s="4">
        <f t="shared" si="158"/>
        <v>2504355.21</v>
      </c>
      <c r="S276" s="9">
        <v>2504355.21</v>
      </c>
      <c r="T276" s="9">
        <v>0</v>
      </c>
      <c r="U276" s="4">
        <f t="shared" si="159"/>
        <v>383019.03</v>
      </c>
      <c r="V276" s="54">
        <v>383019.03</v>
      </c>
      <c r="W276" s="54">
        <v>0</v>
      </c>
      <c r="X276" s="4">
        <f t="shared" si="160"/>
        <v>58926</v>
      </c>
      <c r="Y276" s="9">
        <v>58926</v>
      </c>
      <c r="Z276" s="9">
        <v>0</v>
      </c>
      <c r="AA276" s="9">
        <f t="shared" si="161"/>
        <v>0</v>
      </c>
      <c r="AB276" s="9">
        <v>0</v>
      </c>
      <c r="AC276" s="9">
        <v>0</v>
      </c>
      <c r="AD276" s="45">
        <f t="shared" si="150"/>
        <v>2946300.24</v>
      </c>
      <c r="AE276" s="9">
        <v>3255.78</v>
      </c>
      <c r="AF276" s="9">
        <f t="shared" si="162"/>
        <v>2949556.02</v>
      </c>
      <c r="AG276" s="60" t="s">
        <v>515</v>
      </c>
      <c r="AH276" s="12"/>
      <c r="AI276" s="163">
        <f>4165.36+806216.08+307283.93</f>
        <v>1117665.3699999999</v>
      </c>
      <c r="AJ276" s="163">
        <f>637.05+123303.63+46996.36</f>
        <v>170937.04</v>
      </c>
    </row>
    <row r="277" spans="1:36" ht="252" x14ac:dyDescent="0.25">
      <c r="A277" s="5">
        <f t="shared" si="151"/>
        <v>274</v>
      </c>
      <c r="B277" s="16">
        <v>135121</v>
      </c>
      <c r="C277" s="5">
        <v>804</v>
      </c>
      <c r="D277" s="41" t="s">
        <v>1981</v>
      </c>
      <c r="E277" s="18" t="s">
        <v>1700</v>
      </c>
      <c r="F277" s="56" t="s">
        <v>1722</v>
      </c>
      <c r="G277" s="5" t="s">
        <v>1203</v>
      </c>
      <c r="H277" s="5" t="s">
        <v>362</v>
      </c>
      <c r="I277" s="8" t="s">
        <v>1918</v>
      </c>
      <c r="J277" s="2">
        <v>43959</v>
      </c>
      <c r="K277" s="2">
        <v>44873</v>
      </c>
      <c r="L277" s="17">
        <f t="shared" si="157"/>
        <v>85</v>
      </c>
      <c r="M277" s="6">
        <v>3</v>
      </c>
      <c r="N277" s="5" t="s">
        <v>373</v>
      </c>
      <c r="O277" s="5" t="s">
        <v>518</v>
      </c>
      <c r="P277" s="66" t="s">
        <v>174</v>
      </c>
      <c r="Q277" s="63" t="s">
        <v>34</v>
      </c>
      <c r="R277" s="4">
        <f t="shared" si="158"/>
        <v>2517623.5</v>
      </c>
      <c r="S277" s="9">
        <v>2517623.5</v>
      </c>
      <c r="T277" s="9">
        <v>0</v>
      </c>
      <c r="U277" s="4">
        <f t="shared" si="159"/>
        <v>385048.3</v>
      </c>
      <c r="V277" s="54">
        <v>385048.3</v>
      </c>
      <c r="W277" s="54">
        <v>0</v>
      </c>
      <c r="X277" s="4">
        <f t="shared" si="160"/>
        <v>59238.2</v>
      </c>
      <c r="Y277" s="9">
        <v>59238.2</v>
      </c>
      <c r="Z277" s="9">
        <v>0</v>
      </c>
      <c r="AA277" s="9">
        <f t="shared" si="161"/>
        <v>0</v>
      </c>
      <c r="AB277" s="9">
        <v>0</v>
      </c>
      <c r="AC277" s="9">
        <v>0</v>
      </c>
      <c r="AD277" s="45">
        <f t="shared" si="150"/>
        <v>2961910</v>
      </c>
      <c r="AE277" s="9">
        <v>0</v>
      </c>
      <c r="AF277" s="9">
        <f t="shared" si="162"/>
        <v>2961910</v>
      </c>
      <c r="AG277" s="60" t="s">
        <v>515</v>
      </c>
      <c r="AH277" s="14" t="s">
        <v>151</v>
      </c>
      <c r="AI277" s="163">
        <v>29444.76</v>
      </c>
      <c r="AJ277" s="163">
        <v>4503.32</v>
      </c>
    </row>
    <row r="278" spans="1:36" ht="189" x14ac:dyDescent="0.25">
      <c r="A278" s="5">
        <f t="shared" si="151"/>
        <v>275</v>
      </c>
      <c r="B278" s="16">
        <v>135860</v>
      </c>
      <c r="C278" s="5">
        <v>811</v>
      </c>
      <c r="D278" s="41" t="s">
        <v>1981</v>
      </c>
      <c r="E278" s="18" t="s">
        <v>1700</v>
      </c>
      <c r="F278" s="56" t="s">
        <v>1881</v>
      </c>
      <c r="G278" s="5" t="s">
        <v>517</v>
      </c>
      <c r="H278" s="5" t="s">
        <v>362</v>
      </c>
      <c r="I278" s="8" t="s">
        <v>1919</v>
      </c>
      <c r="J278" s="2">
        <v>44018</v>
      </c>
      <c r="K278" s="2">
        <v>44932</v>
      </c>
      <c r="L278" s="17">
        <f t="shared" si="157"/>
        <v>85</v>
      </c>
      <c r="M278" s="6">
        <v>3</v>
      </c>
      <c r="N278" s="5" t="s">
        <v>373</v>
      </c>
      <c r="O278" s="5" t="s">
        <v>1882</v>
      </c>
      <c r="P278" s="66" t="s">
        <v>174</v>
      </c>
      <c r="Q278" s="63" t="s">
        <v>34</v>
      </c>
      <c r="R278" s="4">
        <f t="shared" si="158"/>
        <v>3388860.75</v>
      </c>
      <c r="S278" s="9">
        <v>3388860.75</v>
      </c>
      <c r="T278" s="9">
        <v>0</v>
      </c>
      <c r="U278" s="4">
        <f t="shared" si="159"/>
        <v>518296.35</v>
      </c>
      <c r="V278" s="54">
        <v>518296.35</v>
      </c>
      <c r="W278" s="54">
        <v>0</v>
      </c>
      <c r="X278" s="4">
        <f t="shared" si="160"/>
        <v>79737.899999999994</v>
      </c>
      <c r="Y278" s="9">
        <v>79737.899999999994</v>
      </c>
      <c r="Z278" s="9">
        <v>0</v>
      </c>
      <c r="AA278" s="9">
        <f t="shared" si="161"/>
        <v>0</v>
      </c>
      <c r="AB278" s="9">
        <v>0</v>
      </c>
      <c r="AC278" s="9">
        <v>0</v>
      </c>
      <c r="AD278" s="45">
        <f t="shared" si="150"/>
        <v>3986895</v>
      </c>
      <c r="AE278" s="9">
        <v>0</v>
      </c>
      <c r="AF278" s="9">
        <f t="shared" si="162"/>
        <v>3986895</v>
      </c>
      <c r="AG278" s="60" t="s">
        <v>515</v>
      </c>
      <c r="AH278" s="14"/>
      <c r="AI278" s="163">
        <f>139842.93+110534+52909.1</f>
        <v>303286.02999999997</v>
      </c>
      <c r="AJ278" s="163">
        <f>21387.74+16905.2+8091.98</f>
        <v>46384.92</v>
      </c>
    </row>
    <row r="279" spans="1:36" ht="330.75" x14ac:dyDescent="0.25">
      <c r="A279" s="5">
        <f t="shared" si="151"/>
        <v>276</v>
      </c>
      <c r="B279" s="16">
        <v>136188</v>
      </c>
      <c r="C279" s="5">
        <v>842</v>
      </c>
      <c r="D279" s="41" t="s">
        <v>1981</v>
      </c>
      <c r="E279" s="18" t="s">
        <v>1700</v>
      </c>
      <c r="F279" s="56" t="s">
        <v>1917</v>
      </c>
      <c r="G279" s="5" t="s">
        <v>805</v>
      </c>
      <c r="H279" s="5" t="s">
        <v>362</v>
      </c>
      <c r="I279" s="8" t="s">
        <v>1920</v>
      </c>
      <c r="J279" s="2">
        <v>44039</v>
      </c>
      <c r="K279" s="2">
        <v>44922</v>
      </c>
      <c r="L279" s="17">
        <f t="shared" si="157"/>
        <v>84.999999881414638</v>
      </c>
      <c r="M279" s="6">
        <v>3</v>
      </c>
      <c r="N279" s="5" t="s">
        <v>373</v>
      </c>
      <c r="O279" s="5" t="s">
        <v>806</v>
      </c>
      <c r="P279" s="66" t="s">
        <v>174</v>
      </c>
      <c r="Q279" s="63" t="s">
        <v>34</v>
      </c>
      <c r="R279" s="4">
        <f t="shared" si="158"/>
        <v>2150349.87</v>
      </c>
      <c r="S279" s="9">
        <v>2150349.87</v>
      </c>
      <c r="T279" s="9">
        <v>0</v>
      </c>
      <c r="U279" s="4">
        <f t="shared" si="159"/>
        <v>328877.03999999998</v>
      </c>
      <c r="V279" s="54">
        <v>328877.03999999998</v>
      </c>
      <c r="W279" s="54">
        <v>0</v>
      </c>
      <c r="X279" s="4">
        <f t="shared" si="160"/>
        <v>50596.47</v>
      </c>
      <c r="Y279" s="9">
        <v>50596.47</v>
      </c>
      <c r="Z279" s="9">
        <v>0</v>
      </c>
      <c r="AA279" s="9">
        <f t="shared" si="161"/>
        <v>0</v>
      </c>
      <c r="AB279" s="9">
        <v>0</v>
      </c>
      <c r="AC279" s="9">
        <v>0</v>
      </c>
      <c r="AD279" s="45">
        <f t="shared" si="150"/>
        <v>2529823.3800000004</v>
      </c>
      <c r="AE279" s="9">
        <v>0</v>
      </c>
      <c r="AF279" s="9">
        <f t="shared" si="162"/>
        <v>2529823.3800000004</v>
      </c>
      <c r="AG279" s="60" t="s">
        <v>515</v>
      </c>
      <c r="AH279" s="14"/>
      <c r="AI279" s="163">
        <f>60942.87</f>
        <v>60942.87</v>
      </c>
      <c r="AJ279" s="163">
        <f>9320.68</f>
        <v>9320.68</v>
      </c>
    </row>
    <row r="280" spans="1:36" ht="204.75" x14ac:dyDescent="0.25">
      <c r="A280" s="5">
        <f t="shared" si="151"/>
        <v>277</v>
      </c>
      <c r="B280" s="16">
        <v>120582</v>
      </c>
      <c r="C280" s="6">
        <v>109</v>
      </c>
      <c r="D280" s="41" t="s">
        <v>1981</v>
      </c>
      <c r="E280" s="18" t="s">
        <v>278</v>
      </c>
      <c r="F280" s="8" t="s">
        <v>177</v>
      </c>
      <c r="G280" s="5" t="s">
        <v>178</v>
      </c>
      <c r="H280" s="5" t="s">
        <v>151</v>
      </c>
      <c r="I280" s="77" t="s">
        <v>181</v>
      </c>
      <c r="J280" s="2">
        <v>43129</v>
      </c>
      <c r="K280" s="2">
        <v>43675</v>
      </c>
      <c r="L280" s="17">
        <f t="shared" ref="L280:L289" si="163">R280/AD280*100</f>
        <v>85.000000819683009</v>
      </c>
      <c r="M280" s="5">
        <v>1</v>
      </c>
      <c r="N280" s="5" t="s">
        <v>185</v>
      </c>
      <c r="O280" s="5" t="s">
        <v>185</v>
      </c>
      <c r="P280" s="3" t="s">
        <v>174</v>
      </c>
      <c r="Q280" s="5" t="s">
        <v>34</v>
      </c>
      <c r="R280" s="9">
        <f t="shared" ref="R280:R287" si="164">S280+T280</f>
        <v>518493.12</v>
      </c>
      <c r="S280" s="9">
        <v>518493.12</v>
      </c>
      <c r="T280" s="9">
        <v>0</v>
      </c>
      <c r="U280" s="4">
        <f t="shared" ref="U280:U289" si="165">V280+W280</f>
        <v>79298.94</v>
      </c>
      <c r="V280" s="54">
        <v>79298.94</v>
      </c>
      <c r="W280" s="54">
        <v>0</v>
      </c>
      <c r="X280" s="9">
        <f t="shared" ref="X280:X289" si="166">Y280+Z280</f>
        <v>12199.84</v>
      </c>
      <c r="Y280" s="9">
        <v>12199.84</v>
      </c>
      <c r="Z280" s="9">
        <v>0</v>
      </c>
      <c r="AA280" s="9">
        <f t="shared" ref="AA280:AA289" si="167">AB280+AC280</f>
        <v>0</v>
      </c>
      <c r="AB280" s="9">
        <v>0</v>
      </c>
      <c r="AC280" s="9">
        <v>0</v>
      </c>
      <c r="AD280" s="45">
        <f t="shared" si="150"/>
        <v>609991.9</v>
      </c>
      <c r="AE280" s="9">
        <v>0</v>
      </c>
      <c r="AF280" s="9">
        <f t="shared" ref="AF280:AF289" si="168">AD280+AE280</f>
        <v>609991.9</v>
      </c>
      <c r="AG280" s="50" t="s">
        <v>966</v>
      </c>
      <c r="AH280" s="14" t="s">
        <v>1214</v>
      </c>
      <c r="AI280" s="1">
        <v>460519.85000000003</v>
      </c>
      <c r="AJ280" s="172">
        <v>70432.44</v>
      </c>
    </row>
    <row r="281" spans="1:36" ht="173.25" x14ac:dyDescent="0.25">
      <c r="A281" s="5">
        <f t="shared" si="151"/>
        <v>278</v>
      </c>
      <c r="B281" s="16">
        <v>120630</v>
      </c>
      <c r="C281" s="6">
        <v>101</v>
      </c>
      <c r="D281" s="41" t="s">
        <v>1981</v>
      </c>
      <c r="E281" s="18" t="s">
        <v>278</v>
      </c>
      <c r="F281" s="8" t="s">
        <v>237</v>
      </c>
      <c r="G281" s="5" t="s">
        <v>1326</v>
      </c>
      <c r="H281" s="5" t="s">
        <v>151</v>
      </c>
      <c r="I281" s="42" t="s">
        <v>244</v>
      </c>
      <c r="J281" s="2">
        <v>43145</v>
      </c>
      <c r="K281" s="2">
        <v>43630</v>
      </c>
      <c r="L281" s="17">
        <f t="shared" si="163"/>
        <v>85.000000236289679</v>
      </c>
      <c r="M281" s="5">
        <v>1</v>
      </c>
      <c r="N281" s="5" t="s">
        <v>185</v>
      </c>
      <c r="O281" s="5" t="s">
        <v>243</v>
      </c>
      <c r="P281" s="3" t="s">
        <v>174</v>
      </c>
      <c r="Q281" s="5" t="s">
        <v>34</v>
      </c>
      <c r="R281" s="9">
        <f t="shared" si="164"/>
        <v>359727.94</v>
      </c>
      <c r="S281" s="9">
        <v>359727.94</v>
      </c>
      <c r="T281" s="9">
        <v>0</v>
      </c>
      <c r="U281" s="4">
        <f t="shared" si="165"/>
        <v>55017.21</v>
      </c>
      <c r="V281" s="54">
        <v>55017.21</v>
      </c>
      <c r="W281" s="54">
        <v>0</v>
      </c>
      <c r="X281" s="9">
        <f t="shared" si="166"/>
        <v>8464.19</v>
      </c>
      <c r="Y281" s="9">
        <v>8464.19</v>
      </c>
      <c r="Z281" s="9">
        <v>0</v>
      </c>
      <c r="AA281" s="9">
        <f t="shared" si="167"/>
        <v>0</v>
      </c>
      <c r="AB281" s="9">
        <v>0</v>
      </c>
      <c r="AC281" s="9">
        <v>0</v>
      </c>
      <c r="AD281" s="45">
        <f t="shared" si="150"/>
        <v>423209.34</v>
      </c>
      <c r="AE281" s="9">
        <v>0</v>
      </c>
      <c r="AF281" s="9">
        <f t="shared" si="168"/>
        <v>423209.34</v>
      </c>
      <c r="AG281" s="50" t="s">
        <v>966</v>
      </c>
      <c r="AH281" s="14"/>
      <c r="AI281" s="1">
        <v>270648.24</v>
      </c>
      <c r="AJ281" s="1">
        <v>41393.249999999993</v>
      </c>
    </row>
    <row r="282" spans="1:36" ht="157.5" x14ac:dyDescent="0.25">
      <c r="A282" s="5">
        <f t="shared" si="151"/>
        <v>279</v>
      </c>
      <c r="B282" s="16">
        <v>120672</v>
      </c>
      <c r="C282" s="6">
        <v>106</v>
      </c>
      <c r="D282" s="41" t="s">
        <v>1981</v>
      </c>
      <c r="E282" s="18" t="s">
        <v>278</v>
      </c>
      <c r="F282" s="8" t="s">
        <v>238</v>
      </c>
      <c r="G282" s="5" t="s">
        <v>1041</v>
      </c>
      <c r="H282" s="5" t="s">
        <v>151</v>
      </c>
      <c r="I282" s="42" t="s">
        <v>245</v>
      </c>
      <c r="J282" s="2">
        <v>43145</v>
      </c>
      <c r="K282" s="2">
        <v>43630</v>
      </c>
      <c r="L282" s="17">
        <f t="shared" si="163"/>
        <v>84.999999174149096</v>
      </c>
      <c r="M282" s="5">
        <v>1</v>
      </c>
      <c r="N282" s="5" t="s">
        <v>185</v>
      </c>
      <c r="O282" s="5" t="s">
        <v>185</v>
      </c>
      <c r="P282" s="3" t="s">
        <v>174</v>
      </c>
      <c r="Q282" s="5" t="s">
        <v>34</v>
      </c>
      <c r="R282" s="9">
        <f t="shared" si="164"/>
        <v>360234.51</v>
      </c>
      <c r="S282" s="11">
        <v>360234.51</v>
      </c>
      <c r="T282" s="9">
        <v>0</v>
      </c>
      <c r="U282" s="4">
        <f t="shared" si="165"/>
        <v>55094.69</v>
      </c>
      <c r="V282" s="74">
        <v>55094.69</v>
      </c>
      <c r="W282" s="54">
        <v>0</v>
      </c>
      <c r="X282" s="146">
        <f t="shared" si="166"/>
        <v>8476.11</v>
      </c>
      <c r="Y282" s="11">
        <v>8476.11</v>
      </c>
      <c r="Z282" s="146">
        <v>0</v>
      </c>
      <c r="AA282" s="146">
        <f t="shared" si="167"/>
        <v>0</v>
      </c>
      <c r="AB282" s="9">
        <v>0</v>
      </c>
      <c r="AC282" s="9">
        <v>0</v>
      </c>
      <c r="AD282" s="45">
        <f t="shared" si="150"/>
        <v>423805.31</v>
      </c>
      <c r="AE282" s="9">
        <v>0</v>
      </c>
      <c r="AF282" s="9">
        <f t="shared" si="168"/>
        <v>423805.31</v>
      </c>
      <c r="AG282" s="50" t="s">
        <v>966</v>
      </c>
      <c r="AH282" s="14"/>
      <c r="AI282" s="1">
        <v>331258.69999999995</v>
      </c>
      <c r="AJ282" s="1">
        <v>50663.100000000006</v>
      </c>
    </row>
    <row r="283" spans="1:36" ht="141.75" x14ac:dyDescent="0.25">
      <c r="A283" s="5">
        <f t="shared" si="151"/>
        <v>280</v>
      </c>
      <c r="B283" s="16">
        <v>118196</v>
      </c>
      <c r="C283" s="6">
        <v>425</v>
      </c>
      <c r="D283" s="8" t="s">
        <v>1982</v>
      </c>
      <c r="E283" s="18" t="s">
        <v>540</v>
      </c>
      <c r="F283" s="8" t="s">
        <v>531</v>
      </c>
      <c r="G283" s="5" t="s">
        <v>534</v>
      </c>
      <c r="H283" s="5" t="s">
        <v>362</v>
      </c>
      <c r="I283" s="42" t="s">
        <v>532</v>
      </c>
      <c r="J283" s="2">
        <v>43269</v>
      </c>
      <c r="K283" s="2">
        <v>43756</v>
      </c>
      <c r="L283" s="17">
        <f t="shared" si="163"/>
        <v>85</v>
      </c>
      <c r="M283" s="5">
        <v>1</v>
      </c>
      <c r="N283" s="5" t="s">
        <v>185</v>
      </c>
      <c r="O283" s="5" t="s">
        <v>185</v>
      </c>
      <c r="P283" s="3" t="s">
        <v>174</v>
      </c>
      <c r="Q283" s="5" t="s">
        <v>34</v>
      </c>
      <c r="R283" s="11">
        <f t="shared" si="164"/>
        <v>339668.5</v>
      </c>
      <c r="S283" s="11">
        <v>339668.5</v>
      </c>
      <c r="T283" s="11">
        <v>0</v>
      </c>
      <c r="U283" s="4">
        <f t="shared" si="165"/>
        <v>51949.3</v>
      </c>
      <c r="V283" s="74">
        <v>51949.3</v>
      </c>
      <c r="W283" s="74">
        <v>0</v>
      </c>
      <c r="X283" s="146">
        <f t="shared" si="166"/>
        <v>7992.2</v>
      </c>
      <c r="Y283" s="11">
        <v>7992.2</v>
      </c>
      <c r="Z283" s="11">
        <v>0</v>
      </c>
      <c r="AA283" s="9">
        <f t="shared" si="167"/>
        <v>0</v>
      </c>
      <c r="AB283" s="9">
        <v>0</v>
      </c>
      <c r="AC283" s="9">
        <v>0</v>
      </c>
      <c r="AD283" s="45">
        <f t="shared" si="150"/>
        <v>399610</v>
      </c>
      <c r="AE283" s="11">
        <v>0</v>
      </c>
      <c r="AF283" s="9">
        <f t="shared" si="168"/>
        <v>399610</v>
      </c>
      <c r="AG283" s="50" t="s">
        <v>966</v>
      </c>
      <c r="AH283" s="14"/>
      <c r="AI283" s="1">
        <v>263215.08999999997</v>
      </c>
      <c r="AJ283" s="1">
        <v>40256.43</v>
      </c>
    </row>
    <row r="284" spans="1:36" ht="141.75" x14ac:dyDescent="0.25">
      <c r="A284" s="5">
        <f t="shared" si="151"/>
        <v>281</v>
      </c>
      <c r="B284" s="16">
        <v>126155</v>
      </c>
      <c r="C284" s="5">
        <v>544</v>
      </c>
      <c r="D284" s="41" t="s">
        <v>1981</v>
      </c>
      <c r="E284" s="18" t="s">
        <v>1018</v>
      </c>
      <c r="F284" s="8" t="s">
        <v>1033</v>
      </c>
      <c r="G284" s="5" t="s">
        <v>1034</v>
      </c>
      <c r="H284" s="5" t="s">
        <v>362</v>
      </c>
      <c r="I284" s="42" t="s">
        <v>1035</v>
      </c>
      <c r="J284" s="2">
        <v>43437</v>
      </c>
      <c r="K284" s="2">
        <v>44533</v>
      </c>
      <c r="L284" s="17">
        <f t="shared" si="163"/>
        <v>85.000000318097122</v>
      </c>
      <c r="M284" s="5">
        <v>1</v>
      </c>
      <c r="N284" s="5" t="s">
        <v>185</v>
      </c>
      <c r="O284" s="5" t="s">
        <v>185</v>
      </c>
      <c r="P284" s="3" t="s">
        <v>174</v>
      </c>
      <c r="Q284" s="5" t="s">
        <v>34</v>
      </c>
      <c r="R284" s="11">
        <f t="shared" si="164"/>
        <v>2672139.91</v>
      </c>
      <c r="S284" s="11">
        <v>2672139.91</v>
      </c>
      <c r="T284" s="11">
        <v>0</v>
      </c>
      <c r="U284" s="4">
        <f t="shared" si="165"/>
        <v>408680.21</v>
      </c>
      <c r="V284" s="74">
        <v>408680.21</v>
      </c>
      <c r="W284" s="74">
        <v>0</v>
      </c>
      <c r="X284" s="146">
        <f t="shared" si="166"/>
        <v>62873.88</v>
      </c>
      <c r="Y284" s="11">
        <v>62873.88</v>
      </c>
      <c r="Z284" s="11">
        <v>0</v>
      </c>
      <c r="AA284" s="9">
        <f t="shared" si="167"/>
        <v>0</v>
      </c>
      <c r="AB284" s="9">
        <v>0</v>
      </c>
      <c r="AC284" s="9">
        <v>0</v>
      </c>
      <c r="AD284" s="45">
        <f t="shared" si="150"/>
        <v>3143694</v>
      </c>
      <c r="AE284" s="11">
        <v>0</v>
      </c>
      <c r="AF284" s="9">
        <f t="shared" si="168"/>
        <v>3143694</v>
      </c>
      <c r="AG284" s="60" t="s">
        <v>515</v>
      </c>
      <c r="AH284" s="14" t="s">
        <v>2171</v>
      </c>
      <c r="AI284" s="1">
        <f>810585.98+89720.9+63383.91+272519.44</f>
        <v>1236210.23</v>
      </c>
      <c r="AJ284" s="1">
        <f>123971.92+13722.02+9694+41679.44</f>
        <v>189067.38</v>
      </c>
    </row>
    <row r="285" spans="1:36" ht="138" customHeight="1" x14ac:dyDescent="0.25">
      <c r="A285" s="5">
        <f t="shared" si="151"/>
        <v>282</v>
      </c>
      <c r="B285" s="16">
        <v>125900</v>
      </c>
      <c r="C285" s="6">
        <v>518</v>
      </c>
      <c r="D285" s="41" t="s">
        <v>1981</v>
      </c>
      <c r="E285" s="18" t="s">
        <v>1018</v>
      </c>
      <c r="F285" s="8" t="s">
        <v>1040</v>
      </c>
      <c r="G285" s="5" t="s">
        <v>178</v>
      </c>
      <c r="H285" s="5" t="s">
        <v>362</v>
      </c>
      <c r="I285" s="42" t="s">
        <v>1042</v>
      </c>
      <c r="J285" s="2">
        <v>43439</v>
      </c>
      <c r="K285" s="2">
        <v>44109</v>
      </c>
      <c r="L285" s="17">
        <f t="shared" si="163"/>
        <v>85.000001224772731</v>
      </c>
      <c r="M285" s="5">
        <v>1</v>
      </c>
      <c r="N285" s="5" t="s">
        <v>185</v>
      </c>
      <c r="O285" s="5" t="s">
        <v>185</v>
      </c>
      <c r="P285" s="3" t="s">
        <v>174</v>
      </c>
      <c r="Q285" s="5" t="s">
        <v>34</v>
      </c>
      <c r="R285" s="11">
        <f t="shared" si="164"/>
        <v>694006.31</v>
      </c>
      <c r="S285" s="11">
        <v>694006.31</v>
      </c>
      <c r="T285" s="11">
        <v>0</v>
      </c>
      <c r="U285" s="4">
        <f t="shared" si="165"/>
        <v>106142.13</v>
      </c>
      <c r="V285" s="74">
        <v>106142.13</v>
      </c>
      <c r="W285" s="74">
        <v>0</v>
      </c>
      <c r="X285" s="146">
        <f t="shared" si="166"/>
        <v>16329.56</v>
      </c>
      <c r="Y285" s="11">
        <v>16329.56</v>
      </c>
      <c r="Z285" s="11">
        <v>0</v>
      </c>
      <c r="AA285" s="9">
        <f t="shared" si="167"/>
        <v>0</v>
      </c>
      <c r="AB285" s="11">
        <v>0</v>
      </c>
      <c r="AC285" s="11">
        <v>0</v>
      </c>
      <c r="AD285" s="45">
        <f t="shared" si="150"/>
        <v>816478.00000000012</v>
      </c>
      <c r="AE285" s="11">
        <v>0</v>
      </c>
      <c r="AF285" s="9">
        <f t="shared" si="168"/>
        <v>816478.00000000012</v>
      </c>
      <c r="AG285" s="60" t="s">
        <v>966</v>
      </c>
      <c r="AH285" s="14" t="s">
        <v>1808</v>
      </c>
      <c r="AI285" s="1">
        <f>233487.13+113184.8+158166.13</f>
        <v>504838.06</v>
      </c>
      <c r="AJ285" s="1">
        <f>35709.8+17310.62+24190.11</f>
        <v>77210.53</v>
      </c>
    </row>
    <row r="286" spans="1:36" ht="157.5" x14ac:dyDescent="0.25">
      <c r="A286" s="5">
        <f t="shared" si="151"/>
        <v>283</v>
      </c>
      <c r="B286" s="16">
        <v>126350</v>
      </c>
      <c r="C286" s="6">
        <v>570</v>
      </c>
      <c r="D286" s="41" t="s">
        <v>1981</v>
      </c>
      <c r="E286" s="18" t="s">
        <v>1018</v>
      </c>
      <c r="F286" s="8" t="s">
        <v>1207</v>
      </c>
      <c r="G286" s="5" t="s">
        <v>1041</v>
      </c>
      <c r="H286" s="5" t="s">
        <v>362</v>
      </c>
      <c r="I286" s="42" t="s">
        <v>1208</v>
      </c>
      <c r="J286" s="2">
        <v>43564</v>
      </c>
      <c r="K286" s="2">
        <v>44570</v>
      </c>
      <c r="L286" s="17">
        <f t="shared" si="163"/>
        <v>84.999999916591278</v>
      </c>
      <c r="M286" s="5">
        <v>1</v>
      </c>
      <c r="N286" s="5" t="s">
        <v>185</v>
      </c>
      <c r="O286" s="5" t="s">
        <v>185</v>
      </c>
      <c r="P286" s="3" t="s">
        <v>174</v>
      </c>
      <c r="Q286" s="5" t="s">
        <v>34</v>
      </c>
      <c r="R286" s="11">
        <f t="shared" si="164"/>
        <v>2038156.45</v>
      </c>
      <c r="S286" s="11">
        <v>2038156.45</v>
      </c>
      <c r="T286" s="11">
        <v>0</v>
      </c>
      <c r="U286" s="4">
        <f t="shared" si="165"/>
        <v>311718.05</v>
      </c>
      <c r="V286" s="74">
        <v>311718.05</v>
      </c>
      <c r="W286" s="74">
        <v>0</v>
      </c>
      <c r="X286" s="146">
        <f t="shared" si="166"/>
        <v>47956.62</v>
      </c>
      <c r="Y286" s="11">
        <v>47956.62</v>
      </c>
      <c r="Z286" s="11">
        <v>0</v>
      </c>
      <c r="AA286" s="9">
        <f t="shared" si="167"/>
        <v>0</v>
      </c>
      <c r="AB286" s="9">
        <v>0</v>
      </c>
      <c r="AC286" s="9">
        <v>0</v>
      </c>
      <c r="AD286" s="45">
        <f t="shared" si="150"/>
        <v>2397831.12</v>
      </c>
      <c r="AE286" s="11">
        <v>35700</v>
      </c>
      <c r="AF286" s="9">
        <f t="shared" si="168"/>
        <v>2433531.12</v>
      </c>
      <c r="AG286" s="60" t="s">
        <v>515</v>
      </c>
      <c r="AH286" s="14" t="s">
        <v>2202</v>
      </c>
      <c r="AI286" s="1">
        <f>167370.71+11789.5+6828.9+28082.3</f>
        <v>214071.40999999997</v>
      </c>
      <c r="AJ286" s="1">
        <f>25597.86+1803.1+1044.42+4294.94</f>
        <v>32740.319999999996</v>
      </c>
    </row>
    <row r="287" spans="1:36" ht="157.5" x14ac:dyDescent="0.25">
      <c r="A287" s="5">
        <f t="shared" si="151"/>
        <v>284</v>
      </c>
      <c r="B287" s="16">
        <v>128787</v>
      </c>
      <c r="C287" s="6">
        <v>631</v>
      </c>
      <c r="D287" s="41" t="s">
        <v>1981</v>
      </c>
      <c r="E287" s="18" t="s">
        <v>1246</v>
      </c>
      <c r="F287" s="8" t="s">
        <v>1271</v>
      </c>
      <c r="G287" s="5" t="s">
        <v>1326</v>
      </c>
      <c r="H287" s="5" t="s">
        <v>362</v>
      </c>
      <c r="I287" s="42" t="s">
        <v>1272</v>
      </c>
      <c r="J287" s="2">
        <v>43622</v>
      </c>
      <c r="K287" s="2">
        <v>44718</v>
      </c>
      <c r="L287" s="17">
        <f t="shared" si="163"/>
        <v>84.999999929965156</v>
      </c>
      <c r="M287" s="5">
        <v>1</v>
      </c>
      <c r="N287" s="5" t="s">
        <v>185</v>
      </c>
      <c r="O287" s="5" t="s">
        <v>243</v>
      </c>
      <c r="P287" s="3" t="s">
        <v>174</v>
      </c>
      <c r="Q287" s="5" t="s">
        <v>34</v>
      </c>
      <c r="R287" s="11">
        <f t="shared" si="164"/>
        <v>3034203.56</v>
      </c>
      <c r="S287" s="11">
        <v>3034203.56</v>
      </c>
      <c r="T287" s="11">
        <v>0</v>
      </c>
      <c r="U287" s="11">
        <f t="shared" si="165"/>
        <v>464054.66</v>
      </c>
      <c r="V287" s="74">
        <v>464054.66</v>
      </c>
      <c r="W287" s="74">
        <v>0</v>
      </c>
      <c r="X287" s="173">
        <f t="shared" si="166"/>
        <v>71393.03</v>
      </c>
      <c r="Y287" s="174">
        <v>71393.03</v>
      </c>
      <c r="Z287" s="11">
        <v>0</v>
      </c>
      <c r="AA287" s="9">
        <f t="shared" si="167"/>
        <v>0</v>
      </c>
      <c r="AB287" s="11">
        <v>0</v>
      </c>
      <c r="AC287" s="11">
        <v>0</v>
      </c>
      <c r="AD287" s="45">
        <f t="shared" si="150"/>
        <v>3569651.25</v>
      </c>
      <c r="AE287" s="11">
        <v>0</v>
      </c>
      <c r="AF287" s="9">
        <f t="shared" si="168"/>
        <v>3569651.25</v>
      </c>
      <c r="AG287" s="60" t="s">
        <v>515</v>
      </c>
      <c r="AH287" s="14" t="s">
        <v>2209</v>
      </c>
      <c r="AI287" s="1">
        <f>504827.43-10178.86-5459.66-2835.27-2355.43</f>
        <v>483998.21</v>
      </c>
      <c r="AJ287" s="1">
        <f>22614.24+10178.86+5459.66+2835.27+2355.43</f>
        <v>43443.460000000006</v>
      </c>
    </row>
    <row r="288" spans="1:36" ht="180" x14ac:dyDescent="0.25">
      <c r="A288" s="5">
        <f t="shared" si="151"/>
        <v>285</v>
      </c>
      <c r="B288" s="16">
        <v>136326</v>
      </c>
      <c r="C288" s="6">
        <v>812</v>
      </c>
      <c r="D288" s="41" t="s">
        <v>1981</v>
      </c>
      <c r="E288" s="83" t="s">
        <v>1700</v>
      </c>
      <c r="F288" s="8" t="s">
        <v>1769</v>
      </c>
      <c r="G288" s="5" t="s">
        <v>1041</v>
      </c>
      <c r="H288" s="5" t="s">
        <v>362</v>
      </c>
      <c r="I288" s="42" t="s">
        <v>1770</v>
      </c>
      <c r="J288" s="2">
        <v>43970</v>
      </c>
      <c r="K288" s="2">
        <v>44518</v>
      </c>
      <c r="L288" s="17">
        <f t="shared" si="163"/>
        <v>85.00000053912315</v>
      </c>
      <c r="M288" s="5">
        <v>1</v>
      </c>
      <c r="N288" s="5" t="s">
        <v>185</v>
      </c>
      <c r="O288" s="5" t="s">
        <v>185</v>
      </c>
      <c r="P288" s="3" t="s">
        <v>174</v>
      </c>
      <c r="Q288" s="63" t="s">
        <v>34</v>
      </c>
      <c r="R288" s="11">
        <f>S288+T288</f>
        <v>788317.12</v>
      </c>
      <c r="S288" s="11">
        <v>788317.12</v>
      </c>
      <c r="T288" s="11">
        <v>0</v>
      </c>
      <c r="U288" s="11">
        <f t="shared" si="165"/>
        <v>120566.14</v>
      </c>
      <c r="V288" s="74">
        <v>120566.14</v>
      </c>
      <c r="W288" s="74">
        <v>0</v>
      </c>
      <c r="X288" s="173">
        <f t="shared" si="166"/>
        <v>18548.64</v>
      </c>
      <c r="Y288" s="175">
        <v>18548.64</v>
      </c>
      <c r="Z288" s="11">
        <v>0</v>
      </c>
      <c r="AA288" s="9">
        <f t="shared" si="167"/>
        <v>0</v>
      </c>
      <c r="AB288" s="11">
        <v>0</v>
      </c>
      <c r="AC288" s="11">
        <v>0</v>
      </c>
      <c r="AD288" s="45">
        <f t="shared" si="150"/>
        <v>927431.9</v>
      </c>
      <c r="AE288" s="11">
        <v>0</v>
      </c>
      <c r="AF288" s="9">
        <f t="shared" si="168"/>
        <v>927431.9</v>
      </c>
      <c r="AG288" s="60" t="s">
        <v>515</v>
      </c>
      <c r="AH288" s="14"/>
      <c r="AI288" s="1">
        <f>16971.95+12398.1+17217.92</f>
        <v>46587.97</v>
      </c>
      <c r="AJ288" s="1">
        <f>2595.71+1896.18+2633.33</f>
        <v>7125.22</v>
      </c>
    </row>
    <row r="289" spans="1:109" ht="252" x14ac:dyDescent="0.25">
      <c r="A289" s="5">
        <f t="shared" si="151"/>
        <v>286</v>
      </c>
      <c r="B289" s="16">
        <v>136134</v>
      </c>
      <c r="C289" s="6">
        <v>829</v>
      </c>
      <c r="D289" s="41" t="s">
        <v>1981</v>
      </c>
      <c r="E289" s="83" t="s">
        <v>1700</v>
      </c>
      <c r="F289" s="8" t="s">
        <v>1875</v>
      </c>
      <c r="G289" s="5" t="s">
        <v>1326</v>
      </c>
      <c r="H289" s="5" t="s">
        <v>362</v>
      </c>
      <c r="I289" s="42" t="s">
        <v>1876</v>
      </c>
      <c r="J289" s="2">
        <v>44014</v>
      </c>
      <c r="K289" s="2">
        <v>44928</v>
      </c>
      <c r="L289" s="17">
        <f t="shared" si="163"/>
        <v>85</v>
      </c>
      <c r="M289" s="5">
        <v>1</v>
      </c>
      <c r="N289" s="5" t="s">
        <v>185</v>
      </c>
      <c r="O289" s="5" t="s">
        <v>243</v>
      </c>
      <c r="P289" s="3" t="s">
        <v>174</v>
      </c>
      <c r="Q289" s="63" t="s">
        <v>34</v>
      </c>
      <c r="R289" s="11">
        <f>S289+T289</f>
        <v>2452525.4</v>
      </c>
      <c r="S289" s="11">
        <v>2452525.4</v>
      </c>
      <c r="T289" s="11">
        <v>0</v>
      </c>
      <c r="U289" s="11">
        <f t="shared" si="165"/>
        <v>375092.12</v>
      </c>
      <c r="V289" s="74">
        <v>375092.12</v>
      </c>
      <c r="W289" s="74">
        <v>0</v>
      </c>
      <c r="X289" s="173">
        <f t="shared" si="166"/>
        <v>57706.48</v>
      </c>
      <c r="Y289" s="175">
        <v>57706.48</v>
      </c>
      <c r="Z289" s="11">
        <v>0</v>
      </c>
      <c r="AA289" s="9">
        <f t="shared" si="167"/>
        <v>0</v>
      </c>
      <c r="AB289" s="11">
        <v>0</v>
      </c>
      <c r="AC289" s="11">
        <v>0</v>
      </c>
      <c r="AD289" s="45">
        <f t="shared" si="150"/>
        <v>2885324</v>
      </c>
      <c r="AE289" s="11">
        <v>0</v>
      </c>
      <c r="AF289" s="9">
        <f t="shared" si="168"/>
        <v>2885324</v>
      </c>
      <c r="AG289" s="60" t="s">
        <v>515</v>
      </c>
      <c r="AH289" s="14"/>
      <c r="AI289" s="1">
        <f>28853-2863.19+142731.06-11903.65-3858.41</f>
        <v>152958.81</v>
      </c>
      <c r="AJ289" s="1">
        <f>2863.19+11903.65+3858.41</f>
        <v>18625.25</v>
      </c>
    </row>
    <row r="290" spans="1:109" ht="409.5" x14ac:dyDescent="0.25">
      <c r="A290" s="5">
        <f t="shared" si="151"/>
        <v>287</v>
      </c>
      <c r="B290" s="16">
        <v>118788</v>
      </c>
      <c r="C290" s="5">
        <v>445</v>
      </c>
      <c r="D290" s="8" t="s">
        <v>1982</v>
      </c>
      <c r="E290" s="8" t="s">
        <v>540</v>
      </c>
      <c r="F290" s="8" t="s">
        <v>823</v>
      </c>
      <c r="G290" s="5" t="s">
        <v>824</v>
      </c>
      <c r="H290" s="5" t="s">
        <v>151</v>
      </c>
      <c r="I290" s="8" t="s">
        <v>825</v>
      </c>
      <c r="J290" s="2">
        <v>43325</v>
      </c>
      <c r="K290" s="2">
        <v>43690</v>
      </c>
      <c r="L290" s="17">
        <f>R290/AD290*100</f>
        <v>85.000001253240569</v>
      </c>
      <c r="M290" s="5">
        <v>2</v>
      </c>
      <c r="N290" s="5" t="s">
        <v>374</v>
      </c>
      <c r="O290" s="5" t="s">
        <v>826</v>
      </c>
      <c r="P290" s="5" t="s">
        <v>174</v>
      </c>
      <c r="Q290" s="5" t="s">
        <v>34</v>
      </c>
      <c r="R290" s="1">
        <f>S290+T290</f>
        <v>339120.85</v>
      </c>
      <c r="S290" s="1">
        <v>339120.85</v>
      </c>
      <c r="T290" s="73">
        <v>0</v>
      </c>
      <c r="U290" s="1">
        <f>V290+W290</f>
        <v>51865.54</v>
      </c>
      <c r="V290" s="74">
        <v>51865.54</v>
      </c>
      <c r="W290" s="74">
        <v>0</v>
      </c>
      <c r="X290" s="1">
        <f>Y290+Z290</f>
        <v>7979.31</v>
      </c>
      <c r="Y290" s="1">
        <v>7979.31</v>
      </c>
      <c r="Z290" s="1">
        <v>0</v>
      </c>
      <c r="AA290" s="9">
        <f>AB290+AC290</f>
        <v>0</v>
      </c>
      <c r="AB290" s="9">
        <v>0</v>
      </c>
      <c r="AC290" s="9">
        <v>0</v>
      </c>
      <c r="AD290" s="45">
        <f t="shared" si="150"/>
        <v>398965.69999999995</v>
      </c>
      <c r="AE290" s="60"/>
      <c r="AF290" s="9">
        <f>AD290+AE290</f>
        <v>398965.69999999995</v>
      </c>
      <c r="AG290" s="50" t="s">
        <v>966</v>
      </c>
      <c r="AH290" s="60" t="s">
        <v>151</v>
      </c>
      <c r="AI290" s="1">
        <v>285754.77</v>
      </c>
      <c r="AJ290" s="1">
        <v>43703.66</v>
      </c>
    </row>
    <row r="291" spans="1:109" ht="267.75" x14ac:dyDescent="0.25">
      <c r="A291" s="5">
        <f t="shared" si="151"/>
        <v>288</v>
      </c>
      <c r="B291" s="16">
        <v>125665</v>
      </c>
      <c r="C291" s="5">
        <v>557</v>
      </c>
      <c r="D291" s="41" t="s">
        <v>1981</v>
      </c>
      <c r="E291" s="8" t="s">
        <v>1018</v>
      </c>
      <c r="F291" s="8" t="s">
        <v>1019</v>
      </c>
      <c r="G291" s="5" t="s">
        <v>2008</v>
      </c>
      <c r="H291" s="5" t="s">
        <v>151</v>
      </c>
      <c r="I291" s="8" t="s">
        <v>1020</v>
      </c>
      <c r="J291" s="2">
        <v>43425</v>
      </c>
      <c r="K291" s="2">
        <v>44794</v>
      </c>
      <c r="L291" s="17">
        <f>R291/AD291*100</f>
        <v>84.999999890649349</v>
      </c>
      <c r="M291" s="5">
        <v>2</v>
      </c>
      <c r="N291" s="5" t="s">
        <v>374</v>
      </c>
      <c r="O291" s="5" t="s">
        <v>826</v>
      </c>
      <c r="P291" s="5" t="s">
        <v>174</v>
      </c>
      <c r="Q291" s="5" t="s">
        <v>34</v>
      </c>
      <c r="R291" s="1">
        <f>S291+T291</f>
        <v>3497921.5</v>
      </c>
      <c r="S291" s="1">
        <v>3497921.5</v>
      </c>
      <c r="T291" s="73">
        <v>0</v>
      </c>
      <c r="U291" s="1">
        <f>V291+W291</f>
        <v>534976.2300000001</v>
      </c>
      <c r="V291" s="74">
        <v>534976.2300000001</v>
      </c>
      <c r="W291" s="74">
        <v>0</v>
      </c>
      <c r="X291" s="1">
        <f>Y291+Z291</f>
        <v>82304.039999999994</v>
      </c>
      <c r="Y291" s="1">
        <v>82304.039999999994</v>
      </c>
      <c r="Z291" s="1">
        <v>0</v>
      </c>
      <c r="AA291" s="9">
        <f>AB291+AC291</f>
        <v>0</v>
      </c>
      <c r="AB291" s="9">
        <v>0</v>
      </c>
      <c r="AC291" s="9">
        <v>0</v>
      </c>
      <c r="AD291" s="45">
        <f t="shared" si="150"/>
        <v>4115201.77</v>
      </c>
      <c r="AE291" s="60">
        <v>114240</v>
      </c>
      <c r="AF291" s="9">
        <f>AD291+AE291</f>
        <v>4229441.7699999996</v>
      </c>
      <c r="AG291" s="60" t="s">
        <v>515</v>
      </c>
      <c r="AH291" s="60" t="s">
        <v>2113</v>
      </c>
      <c r="AI291" s="1">
        <f>142406.78+91705.18</f>
        <v>234111.96</v>
      </c>
      <c r="AJ291" s="1">
        <f>21779.86+14025.5</f>
        <v>35805.360000000001</v>
      </c>
    </row>
    <row r="292" spans="1:109" ht="157.5" x14ac:dyDescent="0.25">
      <c r="A292" s="5">
        <f t="shared" si="151"/>
        <v>289</v>
      </c>
      <c r="B292" s="16">
        <v>136071</v>
      </c>
      <c r="C292" s="5">
        <v>768</v>
      </c>
      <c r="D292" s="41" t="s">
        <v>1981</v>
      </c>
      <c r="E292" s="18" t="s">
        <v>1700</v>
      </c>
      <c r="F292" s="56" t="s">
        <v>1714</v>
      </c>
      <c r="G292" s="5" t="s">
        <v>2008</v>
      </c>
      <c r="H292" s="5" t="s">
        <v>151</v>
      </c>
      <c r="I292" s="42" t="s">
        <v>1715</v>
      </c>
      <c r="J292" s="2">
        <v>43949</v>
      </c>
      <c r="K292" s="2">
        <v>44467</v>
      </c>
      <c r="L292" s="17">
        <f>R292/AD292*100</f>
        <v>85</v>
      </c>
      <c r="M292" s="5">
        <v>2</v>
      </c>
      <c r="N292" s="5" t="s">
        <v>374</v>
      </c>
      <c r="O292" s="5" t="s">
        <v>826</v>
      </c>
      <c r="P292" s="5" t="s">
        <v>174</v>
      </c>
      <c r="Q292" s="5" t="s">
        <v>34</v>
      </c>
      <c r="R292" s="1">
        <f>S292+T292</f>
        <v>576959.6</v>
      </c>
      <c r="S292" s="1">
        <v>576959.6</v>
      </c>
      <c r="T292" s="74">
        <v>0</v>
      </c>
      <c r="U292" s="1">
        <f>V292+W292</f>
        <v>88240.88</v>
      </c>
      <c r="V292" s="74">
        <v>88240.88</v>
      </c>
      <c r="W292" s="74">
        <v>0</v>
      </c>
      <c r="X292" s="1">
        <f>Y292+Z292</f>
        <v>13575.52</v>
      </c>
      <c r="Y292" s="1">
        <v>13575.52</v>
      </c>
      <c r="Z292" s="1">
        <v>0</v>
      </c>
      <c r="AA292" s="9">
        <f>AB292+AC292</f>
        <v>0</v>
      </c>
      <c r="AB292" s="9">
        <v>0</v>
      </c>
      <c r="AC292" s="9">
        <v>0</v>
      </c>
      <c r="AD292" s="45">
        <f t="shared" si="150"/>
        <v>678776</v>
      </c>
      <c r="AE292" s="60">
        <v>0</v>
      </c>
      <c r="AF292" s="9">
        <f>AD292+AE292</f>
        <v>678776</v>
      </c>
      <c r="AG292" s="60" t="s">
        <v>515</v>
      </c>
      <c r="AH292" s="60" t="s">
        <v>151</v>
      </c>
      <c r="AI292" s="1">
        <v>112223.9</v>
      </c>
      <c r="AJ292" s="1">
        <v>17163.66</v>
      </c>
    </row>
    <row r="293" spans="1:109" ht="173.25" x14ac:dyDescent="0.25">
      <c r="A293" s="5">
        <f t="shared" si="151"/>
        <v>290</v>
      </c>
      <c r="B293" s="16">
        <v>136088</v>
      </c>
      <c r="C293" s="5">
        <v>813</v>
      </c>
      <c r="D293" s="41" t="s">
        <v>1981</v>
      </c>
      <c r="E293" s="18" t="s">
        <v>1700</v>
      </c>
      <c r="F293" s="56" t="s">
        <v>1824</v>
      </c>
      <c r="G293" s="5" t="s">
        <v>824</v>
      </c>
      <c r="H293" s="5" t="s">
        <v>151</v>
      </c>
      <c r="I293" s="42" t="s">
        <v>1825</v>
      </c>
      <c r="J293" s="2">
        <v>43998</v>
      </c>
      <c r="K293" s="2">
        <v>44697</v>
      </c>
      <c r="L293" s="17">
        <f>R293/AD293*100</f>
        <v>85.00000001266109</v>
      </c>
      <c r="M293" s="5">
        <v>2</v>
      </c>
      <c r="N293" s="5" t="s">
        <v>374</v>
      </c>
      <c r="O293" s="5" t="s">
        <v>1826</v>
      </c>
      <c r="P293" s="5" t="s">
        <v>174</v>
      </c>
      <c r="Q293" s="5" t="s">
        <v>34</v>
      </c>
      <c r="R293" s="1">
        <f>S293+T293</f>
        <v>3356741.18</v>
      </c>
      <c r="S293" s="1">
        <v>3356741.18</v>
      </c>
      <c r="T293" s="74">
        <v>0</v>
      </c>
      <c r="U293" s="1">
        <f>V293+W293</f>
        <v>513383.94</v>
      </c>
      <c r="V293" s="74">
        <v>513383.94</v>
      </c>
      <c r="W293" s="74">
        <v>0</v>
      </c>
      <c r="X293" s="1">
        <f>Y293+Z293</f>
        <v>78982.149999999994</v>
      </c>
      <c r="Y293" s="1">
        <v>78982.149999999994</v>
      </c>
      <c r="Z293" s="1">
        <v>0</v>
      </c>
      <c r="AA293" s="9">
        <f>AB293+AC293</f>
        <v>0</v>
      </c>
      <c r="AB293" s="9">
        <v>0</v>
      </c>
      <c r="AC293" s="9">
        <v>0</v>
      </c>
      <c r="AD293" s="45">
        <f t="shared" si="150"/>
        <v>3949107.27</v>
      </c>
      <c r="AE293" s="60">
        <v>0</v>
      </c>
      <c r="AF293" s="9">
        <f>AD293+AE293</f>
        <v>3949107.27</v>
      </c>
      <c r="AG293" s="60" t="s">
        <v>515</v>
      </c>
      <c r="AH293" s="60" t="s">
        <v>2151</v>
      </c>
      <c r="AI293" s="1">
        <f>52842.15+27804.95+103071.85</f>
        <v>183718.95</v>
      </c>
      <c r="AJ293" s="1">
        <f>8081.74+4252.52+15763.93</f>
        <v>28098.190000000002</v>
      </c>
    </row>
    <row r="294" spans="1:109" ht="141.75" x14ac:dyDescent="0.25">
      <c r="A294" s="5">
        <f t="shared" si="151"/>
        <v>291</v>
      </c>
      <c r="B294" s="16">
        <v>118894</v>
      </c>
      <c r="C294" s="6">
        <v>15</v>
      </c>
      <c r="D294" s="5" t="s">
        <v>143</v>
      </c>
      <c r="E294" s="25" t="s">
        <v>107</v>
      </c>
      <c r="F294" s="8" t="s">
        <v>58</v>
      </c>
      <c r="G294" s="3" t="s">
        <v>2123</v>
      </c>
      <c r="H294" s="5" t="s">
        <v>151</v>
      </c>
      <c r="I294" s="77" t="s">
        <v>59</v>
      </c>
      <c r="J294" s="2">
        <v>42717</v>
      </c>
      <c r="K294" s="2">
        <v>43995</v>
      </c>
      <c r="L294" s="17">
        <f t="shared" ref="L294:L302" si="169">R294/AD294*100</f>
        <v>83.983863051796376</v>
      </c>
      <c r="M294" s="5" t="s">
        <v>136</v>
      </c>
      <c r="N294" s="5" t="s">
        <v>262</v>
      </c>
      <c r="O294" s="5" t="s">
        <v>262</v>
      </c>
      <c r="P294" s="3" t="s">
        <v>138</v>
      </c>
      <c r="Q294" s="5" t="s">
        <v>34</v>
      </c>
      <c r="R294" s="9">
        <f t="shared" ref="R294:R302" si="170">S294+T294</f>
        <v>2106832.29</v>
      </c>
      <c r="S294" s="9">
        <v>1698976.68</v>
      </c>
      <c r="T294" s="9">
        <v>407855.61</v>
      </c>
      <c r="U294" s="9">
        <f t="shared" ref="U294:U302" si="171">V294+W294</f>
        <v>0</v>
      </c>
      <c r="V294" s="54">
        <v>0</v>
      </c>
      <c r="W294" s="54">
        <v>0</v>
      </c>
      <c r="X294" s="9">
        <f t="shared" ref="X294:X302" si="172">Y294+Z294</f>
        <v>401783.30999999994</v>
      </c>
      <c r="Y294" s="9">
        <v>299819.40999999997</v>
      </c>
      <c r="Z294" s="9">
        <v>101963.9</v>
      </c>
      <c r="AA294" s="9">
        <f t="shared" ref="AA294:AA302" si="173">AB294+AC294</f>
        <v>0</v>
      </c>
      <c r="AB294" s="9">
        <v>0</v>
      </c>
      <c r="AC294" s="9">
        <v>0</v>
      </c>
      <c r="AD294" s="45">
        <f t="shared" si="150"/>
        <v>2508615.6</v>
      </c>
      <c r="AE294" s="9">
        <v>154711.20000000001</v>
      </c>
      <c r="AF294" s="9">
        <f t="shared" ref="AF294:AF302" si="174">AD294+AE294</f>
        <v>2663326.8000000003</v>
      </c>
      <c r="AG294" s="60" t="s">
        <v>966</v>
      </c>
      <c r="AH294" s="14" t="s">
        <v>1416</v>
      </c>
      <c r="AI294" s="1">
        <f>749071.73+539901.84+5494.22</f>
        <v>1294467.7899999998</v>
      </c>
      <c r="AJ294" s="1">
        <v>0</v>
      </c>
    </row>
    <row r="295" spans="1:109" s="75" customFormat="1" ht="141.75" x14ac:dyDescent="0.25">
      <c r="A295" s="5">
        <f t="shared" si="151"/>
        <v>292</v>
      </c>
      <c r="B295" s="16">
        <v>119196</v>
      </c>
      <c r="C295" s="6">
        <v>20</v>
      </c>
      <c r="D295" s="5" t="s">
        <v>143</v>
      </c>
      <c r="E295" s="25" t="s">
        <v>107</v>
      </c>
      <c r="F295" s="8" t="s">
        <v>65</v>
      </c>
      <c r="G295" s="3" t="s">
        <v>2037</v>
      </c>
      <c r="H295" s="5" t="s">
        <v>168</v>
      </c>
      <c r="I295" s="77" t="s">
        <v>66</v>
      </c>
      <c r="J295" s="2">
        <v>42464</v>
      </c>
      <c r="K295" s="2">
        <v>44351</v>
      </c>
      <c r="L295" s="17">
        <f t="shared" si="169"/>
        <v>83.983862957234891</v>
      </c>
      <c r="M295" s="5" t="s">
        <v>136</v>
      </c>
      <c r="N295" s="5" t="s">
        <v>262</v>
      </c>
      <c r="O295" s="5" t="s">
        <v>262</v>
      </c>
      <c r="P295" s="3" t="s">
        <v>138</v>
      </c>
      <c r="Q295" s="5" t="s">
        <v>34</v>
      </c>
      <c r="R295" s="9">
        <f t="shared" si="170"/>
        <v>14714221.08</v>
      </c>
      <c r="S295" s="9">
        <v>11865737.33</v>
      </c>
      <c r="T295" s="9">
        <v>2848483.75</v>
      </c>
      <c r="U295" s="9">
        <f t="shared" si="171"/>
        <v>0</v>
      </c>
      <c r="V295" s="54">
        <v>0</v>
      </c>
      <c r="W295" s="54">
        <v>0</v>
      </c>
      <c r="X295" s="9">
        <f t="shared" si="172"/>
        <v>2806074.56</v>
      </c>
      <c r="Y295" s="9">
        <v>2093953.62</v>
      </c>
      <c r="Z295" s="9">
        <v>712120.94</v>
      </c>
      <c r="AA295" s="9">
        <f t="shared" si="173"/>
        <v>0</v>
      </c>
      <c r="AB295" s="9">
        <v>0</v>
      </c>
      <c r="AC295" s="9">
        <v>0</v>
      </c>
      <c r="AD295" s="45">
        <f t="shared" si="150"/>
        <v>17520295.640000001</v>
      </c>
      <c r="AE295" s="9">
        <v>0</v>
      </c>
      <c r="AF295" s="9">
        <f t="shared" si="174"/>
        <v>17520295.640000001</v>
      </c>
      <c r="AG295" s="60" t="s">
        <v>966</v>
      </c>
      <c r="AH295" s="14" t="s">
        <v>2100</v>
      </c>
      <c r="AI295" s="163">
        <f>8318831+1813378.18+1752669.98+348361.29+643650.68</f>
        <v>12876891.129999999</v>
      </c>
      <c r="AJ295" s="1">
        <v>0</v>
      </c>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row>
    <row r="296" spans="1:109" s="75" customFormat="1" ht="141.75" x14ac:dyDescent="0.25">
      <c r="A296" s="5">
        <f t="shared" si="151"/>
        <v>293</v>
      </c>
      <c r="B296" s="16">
        <v>119622</v>
      </c>
      <c r="C296" s="5">
        <v>45</v>
      </c>
      <c r="D296" s="5" t="s">
        <v>144</v>
      </c>
      <c r="E296" s="25" t="s">
        <v>148</v>
      </c>
      <c r="F296" s="8" t="s">
        <v>105</v>
      </c>
      <c r="G296" s="5" t="s">
        <v>104</v>
      </c>
      <c r="H296" s="5" t="s">
        <v>151</v>
      </c>
      <c r="I296" s="77" t="s">
        <v>106</v>
      </c>
      <c r="J296" s="2">
        <v>42793</v>
      </c>
      <c r="K296" s="2">
        <v>45287</v>
      </c>
      <c r="L296" s="17">
        <f t="shared" si="169"/>
        <v>83.983862948301422</v>
      </c>
      <c r="M296" s="5" t="s">
        <v>136</v>
      </c>
      <c r="N296" s="5" t="s">
        <v>262</v>
      </c>
      <c r="O296" s="5" t="s">
        <v>137</v>
      </c>
      <c r="P296" s="3" t="s">
        <v>138</v>
      </c>
      <c r="Q296" s="5" t="s">
        <v>34</v>
      </c>
      <c r="R296" s="9">
        <f t="shared" si="170"/>
        <v>37233996.5</v>
      </c>
      <c r="S296" s="9">
        <v>30025974.129999999</v>
      </c>
      <c r="T296" s="9">
        <v>7208022.3700000001</v>
      </c>
      <c r="U296" s="9">
        <f t="shared" si="171"/>
        <v>0</v>
      </c>
      <c r="V296" s="54">
        <v>0</v>
      </c>
      <c r="W296" s="54">
        <v>0</v>
      </c>
      <c r="X296" s="9">
        <f t="shared" si="172"/>
        <v>7100706.8499999996</v>
      </c>
      <c r="Y296" s="9">
        <v>5298701.3</v>
      </c>
      <c r="Z296" s="9">
        <v>1802005.55</v>
      </c>
      <c r="AA296" s="9">
        <f t="shared" si="173"/>
        <v>0</v>
      </c>
      <c r="AB296" s="9">
        <v>0</v>
      </c>
      <c r="AC296" s="9">
        <v>0</v>
      </c>
      <c r="AD296" s="45">
        <f t="shared" si="150"/>
        <v>44334703.350000001</v>
      </c>
      <c r="AE296" s="9">
        <v>427346.26</v>
      </c>
      <c r="AF296" s="9">
        <f t="shared" si="174"/>
        <v>44762049.609999999</v>
      </c>
      <c r="AG296" s="60" t="s">
        <v>515</v>
      </c>
      <c r="AH296" s="159" t="s">
        <v>2223</v>
      </c>
      <c r="AI296" s="163">
        <f>21632358.61+914374.27</f>
        <v>22546732.879999999</v>
      </c>
      <c r="AJ296" s="1">
        <v>0</v>
      </c>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row>
    <row r="297" spans="1:109" s="75" customFormat="1" ht="173.25" x14ac:dyDescent="0.25">
      <c r="A297" s="5">
        <f t="shared" si="151"/>
        <v>294</v>
      </c>
      <c r="B297" s="16">
        <v>126388</v>
      </c>
      <c r="C297" s="5">
        <v>494</v>
      </c>
      <c r="D297" s="138" t="s">
        <v>1984</v>
      </c>
      <c r="E297" s="8" t="s">
        <v>1130</v>
      </c>
      <c r="F297" s="8" t="s">
        <v>1157</v>
      </c>
      <c r="G297" s="5" t="s">
        <v>1158</v>
      </c>
      <c r="H297" s="5" t="s">
        <v>151</v>
      </c>
      <c r="I297" s="77" t="s">
        <v>1159</v>
      </c>
      <c r="J297" s="2">
        <v>43531</v>
      </c>
      <c r="K297" s="2">
        <v>44354</v>
      </c>
      <c r="L297" s="17">
        <f t="shared" si="169"/>
        <v>83.300001414159638</v>
      </c>
      <c r="M297" s="5">
        <v>3</v>
      </c>
      <c r="N297" s="5" t="s">
        <v>1160</v>
      </c>
      <c r="O297" s="5" t="s">
        <v>1160</v>
      </c>
      <c r="P297" s="5" t="s">
        <v>275</v>
      </c>
      <c r="Q297" s="5" t="s">
        <v>34</v>
      </c>
      <c r="R297" s="1">
        <f t="shared" si="170"/>
        <v>2043977.2</v>
      </c>
      <c r="S297" s="9">
        <v>2043977.2</v>
      </c>
      <c r="T297" s="9">
        <v>0</v>
      </c>
      <c r="U297" s="1">
        <f t="shared" si="171"/>
        <v>360701.81</v>
      </c>
      <c r="V297" s="54">
        <v>360701.81</v>
      </c>
      <c r="W297" s="54">
        <v>0</v>
      </c>
      <c r="X297" s="1">
        <f t="shared" si="172"/>
        <v>0</v>
      </c>
      <c r="Y297" s="9">
        <v>0</v>
      </c>
      <c r="Z297" s="9">
        <v>0</v>
      </c>
      <c r="AA297" s="9">
        <f t="shared" si="173"/>
        <v>49075.09</v>
      </c>
      <c r="AB297" s="9">
        <v>49075.09</v>
      </c>
      <c r="AC297" s="9">
        <v>0</v>
      </c>
      <c r="AD297" s="45">
        <f t="shared" si="150"/>
        <v>2453754.0999999996</v>
      </c>
      <c r="AE297" s="9">
        <v>0</v>
      </c>
      <c r="AF297" s="9">
        <f t="shared" si="174"/>
        <v>2453754.0999999996</v>
      </c>
      <c r="AG297" s="60" t="s">
        <v>966</v>
      </c>
      <c r="AH297" s="14" t="s">
        <v>2104</v>
      </c>
      <c r="AI297" s="163">
        <f>977058.3-20264.24+135094.98+54047.52-25686.26+171241.85+74985.72+121676.73-18717.97+270523.91-58965.53</f>
        <v>1680995.01</v>
      </c>
      <c r="AJ297" s="1">
        <f>20492.1+14114.96+30257.86+15716.19+49417.45+20264.24+9537.82+25686.26+13232.76+21472.38+18717.97+25718.38</f>
        <v>264628.37</v>
      </c>
    </row>
    <row r="298" spans="1:109" s="75" customFormat="1" ht="204.75" x14ac:dyDescent="0.25">
      <c r="A298" s="5">
        <f t="shared" si="151"/>
        <v>295</v>
      </c>
      <c r="B298" s="16">
        <v>121858</v>
      </c>
      <c r="C298" s="6">
        <v>50</v>
      </c>
      <c r="D298" s="5" t="s">
        <v>143</v>
      </c>
      <c r="E298" s="18" t="s">
        <v>110</v>
      </c>
      <c r="F298" s="8" t="s">
        <v>388</v>
      </c>
      <c r="G298" s="3" t="s">
        <v>2091</v>
      </c>
      <c r="H298" s="5" t="s">
        <v>296</v>
      </c>
      <c r="I298" s="42" t="s">
        <v>389</v>
      </c>
      <c r="J298" s="2">
        <v>43229</v>
      </c>
      <c r="K298" s="2">
        <v>44874</v>
      </c>
      <c r="L298" s="17">
        <f t="shared" si="169"/>
        <v>83.983863012341516</v>
      </c>
      <c r="M298" s="5" t="s">
        <v>273</v>
      </c>
      <c r="N298" s="5" t="s">
        <v>307</v>
      </c>
      <c r="O298" s="5" t="s">
        <v>307</v>
      </c>
      <c r="P298" s="3" t="s">
        <v>138</v>
      </c>
      <c r="Q298" s="5" t="s">
        <v>34</v>
      </c>
      <c r="R298" s="9">
        <f t="shared" si="170"/>
        <v>9622258.7983895056</v>
      </c>
      <c r="S298" s="9">
        <v>7759513.3626215449</v>
      </c>
      <c r="T298" s="9">
        <v>1862745.4357679603</v>
      </c>
      <c r="U298" s="9">
        <f t="shared" si="171"/>
        <v>0</v>
      </c>
      <c r="V298" s="54">
        <v>0</v>
      </c>
      <c r="W298" s="54">
        <v>0</v>
      </c>
      <c r="X298" s="9">
        <f t="shared" si="172"/>
        <v>1835012.2216104972</v>
      </c>
      <c r="Y298" s="4">
        <v>1369325.8891101095</v>
      </c>
      <c r="Z298" s="9">
        <v>465686.33250038774</v>
      </c>
      <c r="AA298" s="9">
        <f t="shared" si="173"/>
        <v>0</v>
      </c>
      <c r="AB298" s="9">
        <v>0</v>
      </c>
      <c r="AC298" s="9">
        <v>0</v>
      </c>
      <c r="AD298" s="45">
        <f t="shared" si="150"/>
        <v>11457271.020000003</v>
      </c>
      <c r="AE298" s="9">
        <v>0</v>
      </c>
      <c r="AF298" s="9">
        <f t="shared" si="174"/>
        <v>11457271.020000003</v>
      </c>
      <c r="AG298" s="60" t="s">
        <v>515</v>
      </c>
      <c r="AH298" s="14" t="s">
        <v>2175</v>
      </c>
      <c r="AI298" s="163">
        <f>758641.61+55509.97+186093.97+162888.38+33585.15+36431.36+580054.7</f>
        <v>1813205.14</v>
      </c>
      <c r="AJ298" s="1">
        <v>0</v>
      </c>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row>
    <row r="299" spans="1:109" ht="173.25" x14ac:dyDescent="0.25">
      <c r="A299" s="5">
        <f t="shared" si="151"/>
        <v>296</v>
      </c>
      <c r="B299" s="16">
        <v>120194</v>
      </c>
      <c r="C299" s="6">
        <v>52</v>
      </c>
      <c r="D299" s="5" t="s">
        <v>143</v>
      </c>
      <c r="E299" s="25" t="s">
        <v>110</v>
      </c>
      <c r="F299" s="8" t="s">
        <v>118</v>
      </c>
      <c r="G299" s="5" t="s">
        <v>117</v>
      </c>
      <c r="H299" s="5" t="s">
        <v>151</v>
      </c>
      <c r="I299" s="77" t="s">
        <v>119</v>
      </c>
      <c r="J299" s="2">
        <v>42963</v>
      </c>
      <c r="K299" s="2">
        <v>44212</v>
      </c>
      <c r="L299" s="17">
        <f t="shared" si="169"/>
        <v>83.983862831024851</v>
      </c>
      <c r="M299" s="5" t="s">
        <v>136</v>
      </c>
      <c r="N299" s="5" t="s">
        <v>262</v>
      </c>
      <c r="O299" s="5" t="s">
        <v>262</v>
      </c>
      <c r="P299" s="3" t="s">
        <v>138</v>
      </c>
      <c r="Q299" s="5" t="s">
        <v>34</v>
      </c>
      <c r="R299" s="9">
        <f t="shared" si="170"/>
        <v>12243037.969999999</v>
      </c>
      <c r="S299" s="9">
        <v>9872943.4499999993</v>
      </c>
      <c r="T299" s="9">
        <v>2370094.52</v>
      </c>
      <c r="U299" s="9">
        <f t="shared" si="171"/>
        <v>0</v>
      </c>
      <c r="V299" s="54">
        <v>0</v>
      </c>
      <c r="W299" s="54">
        <v>0</v>
      </c>
      <c r="X299" s="9">
        <f t="shared" si="172"/>
        <v>2334807.77</v>
      </c>
      <c r="Y299" s="9">
        <v>1742284.14</v>
      </c>
      <c r="Z299" s="9">
        <v>592523.63</v>
      </c>
      <c r="AA299" s="9">
        <f t="shared" si="173"/>
        <v>0</v>
      </c>
      <c r="AB299" s="9">
        <v>0</v>
      </c>
      <c r="AC299" s="9">
        <v>0</v>
      </c>
      <c r="AD299" s="45">
        <f t="shared" si="150"/>
        <v>14577845.739999998</v>
      </c>
      <c r="AE299" s="9">
        <v>0</v>
      </c>
      <c r="AF299" s="9">
        <f t="shared" si="174"/>
        <v>14577845.739999998</v>
      </c>
      <c r="AG299" s="60" t="s">
        <v>966</v>
      </c>
      <c r="AH299" s="51" t="s">
        <v>1414</v>
      </c>
      <c r="AI299" s="163">
        <f>2619250.29+2687296.53+82985.27+2490702.85+40178.04</f>
        <v>7920412.9799999995</v>
      </c>
      <c r="AJ299" s="163">
        <v>0</v>
      </c>
      <c r="AK299" s="176"/>
      <c r="AL299" s="176"/>
      <c r="AM299" s="176"/>
      <c r="AN299" s="176"/>
      <c r="AO299" s="176"/>
      <c r="AP299" s="176"/>
      <c r="AQ299" s="176"/>
      <c r="AR299" s="176"/>
      <c r="AS299" s="176"/>
      <c r="AT299" s="176"/>
      <c r="AU299" s="176"/>
      <c r="AV299" s="176"/>
      <c r="AW299" s="176"/>
      <c r="AX299" s="176"/>
      <c r="AY299" s="176"/>
      <c r="AZ299" s="176"/>
      <c r="BA299" s="176"/>
      <c r="BB299" s="176"/>
      <c r="BC299" s="176"/>
      <c r="BD299" s="176"/>
      <c r="BE299" s="176"/>
      <c r="BF299" s="176"/>
      <c r="BG299" s="176"/>
      <c r="BH299" s="176"/>
      <c r="BI299" s="176"/>
      <c r="BJ299" s="176"/>
      <c r="BK299" s="176"/>
      <c r="BL299" s="176"/>
      <c r="BM299" s="176"/>
      <c r="BN299" s="176"/>
      <c r="BO299" s="176"/>
      <c r="BP299" s="176"/>
      <c r="BQ299" s="176"/>
      <c r="BR299" s="176"/>
      <c r="BS299" s="176"/>
      <c r="BT299" s="176"/>
      <c r="BU299" s="176"/>
      <c r="BV299" s="176"/>
      <c r="BW299" s="176"/>
      <c r="BX299" s="176"/>
      <c r="BY299" s="176"/>
      <c r="BZ299" s="176"/>
      <c r="CA299" s="176"/>
      <c r="CB299" s="176"/>
      <c r="CC299" s="176"/>
      <c r="CD299" s="176"/>
      <c r="CE299" s="176"/>
      <c r="CF299" s="176"/>
      <c r="CG299" s="176"/>
      <c r="CH299" s="176"/>
      <c r="CI299" s="176"/>
      <c r="CJ299" s="176"/>
      <c r="CK299" s="176"/>
      <c r="CL299" s="176"/>
      <c r="CM299" s="176"/>
      <c r="CN299" s="176"/>
      <c r="CO299" s="176"/>
      <c r="CP299" s="176"/>
      <c r="CQ299" s="176"/>
      <c r="CR299" s="176"/>
      <c r="CS299" s="176"/>
      <c r="CT299" s="176"/>
      <c r="CU299" s="176"/>
      <c r="CV299" s="176"/>
      <c r="CW299" s="176"/>
      <c r="CX299" s="176"/>
      <c r="CY299" s="176"/>
      <c r="CZ299" s="176"/>
      <c r="DA299" s="176"/>
      <c r="DB299" s="176"/>
      <c r="DC299" s="176"/>
      <c r="DD299" s="176"/>
      <c r="DE299" s="176"/>
    </row>
    <row r="300" spans="1:109" ht="141.75" x14ac:dyDescent="0.25">
      <c r="A300" s="5">
        <f t="shared" si="151"/>
        <v>297</v>
      </c>
      <c r="B300" s="16">
        <v>119689</v>
      </c>
      <c r="C300" s="5">
        <v>53</v>
      </c>
      <c r="D300" s="5" t="s">
        <v>145</v>
      </c>
      <c r="E300" s="25" t="s">
        <v>123</v>
      </c>
      <c r="F300" s="8" t="s">
        <v>95</v>
      </c>
      <c r="G300" s="5" t="s">
        <v>94</v>
      </c>
      <c r="H300" s="5" t="s">
        <v>151</v>
      </c>
      <c r="I300" s="77" t="s">
        <v>96</v>
      </c>
      <c r="J300" s="2">
        <v>42943</v>
      </c>
      <c r="K300" s="2">
        <v>44557</v>
      </c>
      <c r="L300" s="17">
        <f t="shared" si="169"/>
        <v>83.983862837568367</v>
      </c>
      <c r="M300" s="5" t="s">
        <v>136</v>
      </c>
      <c r="N300" s="5" t="s">
        <v>262</v>
      </c>
      <c r="O300" s="5" t="s">
        <v>262</v>
      </c>
      <c r="P300" s="3" t="s">
        <v>138</v>
      </c>
      <c r="Q300" s="5" t="s">
        <v>34</v>
      </c>
      <c r="R300" s="9">
        <f t="shared" si="170"/>
        <v>39276554.340000004</v>
      </c>
      <c r="S300" s="9">
        <v>31673119.100000001</v>
      </c>
      <c r="T300" s="9">
        <v>7603435.2400000002</v>
      </c>
      <c r="U300" s="9">
        <f t="shared" si="171"/>
        <v>0</v>
      </c>
      <c r="V300" s="54">
        <v>0</v>
      </c>
      <c r="W300" s="54">
        <v>0</v>
      </c>
      <c r="X300" s="9">
        <f t="shared" si="172"/>
        <v>7490232.7699999996</v>
      </c>
      <c r="Y300" s="9">
        <v>5589373.96</v>
      </c>
      <c r="Z300" s="9">
        <v>1900858.81</v>
      </c>
      <c r="AA300" s="9">
        <f t="shared" si="173"/>
        <v>0</v>
      </c>
      <c r="AB300" s="9">
        <v>0</v>
      </c>
      <c r="AC300" s="9">
        <v>0</v>
      </c>
      <c r="AD300" s="45">
        <f t="shared" si="150"/>
        <v>46766787.109999999</v>
      </c>
      <c r="AE300" s="9">
        <v>8017329.8399999999</v>
      </c>
      <c r="AF300" s="9">
        <f t="shared" si="174"/>
        <v>54784116.950000003</v>
      </c>
      <c r="AG300" s="60" t="s">
        <v>515</v>
      </c>
      <c r="AH300" s="14" t="s">
        <v>2149</v>
      </c>
      <c r="AI300" s="163">
        <f>893011.08+57943.42+89664.62+27536822.34+524337.27+55114.41+71307.34</f>
        <v>29228200.48</v>
      </c>
      <c r="AJ300" s="1">
        <v>0</v>
      </c>
    </row>
    <row r="301" spans="1:109" ht="409.5" x14ac:dyDescent="0.25">
      <c r="A301" s="5">
        <f t="shared" si="151"/>
        <v>298</v>
      </c>
      <c r="B301" s="70">
        <v>125819</v>
      </c>
      <c r="C301" s="6">
        <v>497</v>
      </c>
      <c r="D301" s="138" t="s">
        <v>1984</v>
      </c>
      <c r="E301" s="8" t="s">
        <v>1130</v>
      </c>
      <c r="F301" s="56" t="s">
        <v>1240</v>
      </c>
      <c r="G301" s="5" t="s">
        <v>1238</v>
      </c>
      <c r="H301" s="5" t="s">
        <v>151</v>
      </c>
      <c r="I301" s="177" t="s">
        <v>1242</v>
      </c>
      <c r="J301" s="2">
        <v>43608</v>
      </c>
      <c r="K301" s="2">
        <v>44553</v>
      </c>
      <c r="L301" s="17">
        <f t="shared" si="169"/>
        <v>83.30000063911281</v>
      </c>
      <c r="M301" s="6" t="s">
        <v>1244</v>
      </c>
      <c r="N301" s="5" t="s">
        <v>1243</v>
      </c>
      <c r="O301" s="5" t="s">
        <v>1243</v>
      </c>
      <c r="P301" s="5" t="s">
        <v>275</v>
      </c>
      <c r="Q301" s="5" t="s">
        <v>34</v>
      </c>
      <c r="R301" s="1">
        <f t="shared" si="170"/>
        <v>1444133.16</v>
      </c>
      <c r="S301" s="135">
        <v>1444133.16</v>
      </c>
      <c r="T301" s="55">
        <v>0</v>
      </c>
      <c r="U301" s="1">
        <f t="shared" si="171"/>
        <v>254847.02</v>
      </c>
      <c r="V301" s="74">
        <v>254847.02</v>
      </c>
      <c r="W301" s="74">
        <v>0</v>
      </c>
      <c r="X301" s="1">
        <f t="shared" si="172"/>
        <v>0</v>
      </c>
      <c r="Y301" s="55">
        <v>0</v>
      </c>
      <c r="Z301" s="55">
        <v>0</v>
      </c>
      <c r="AA301" s="9">
        <f t="shared" si="173"/>
        <v>34673.06</v>
      </c>
      <c r="AB301" s="135">
        <v>34673.06</v>
      </c>
      <c r="AC301" s="55">
        <v>0</v>
      </c>
      <c r="AD301" s="45">
        <f t="shared" si="150"/>
        <v>1733653.24</v>
      </c>
      <c r="AE301" s="12">
        <v>0</v>
      </c>
      <c r="AF301" s="9">
        <f t="shared" si="174"/>
        <v>1733653.24</v>
      </c>
      <c r="AG301" s="60" t="s">
        <v>515</v>
      </c>
      <c r="AH301" s="60" t="s">
        <v>2169</v>
      </c>
      <c r="AI301" s="163">
        <v>876419.52999999991</v>
      </c>
      <c r="AJ301" s="1">
        <v>124068.47000000002</v>
      </c>
    </row>
    <row r="302" spans="1:109" ht="409.5" x14ac:dyDescent="0.25">
      <c r="A302" s="5">
        <f t="shared" si="151"/>
        <v>299</v>
      </c>
      <c r="B302" s="70">
        <v>126526</v>
      </c>
      <c r="C302" s="6">
        <v>498</v>
      </c>
      <c r="D302" s="138" t="s">
        <v>1984</v>
      </c>
      <c r="E302" s="8" t="s">
        <v>1130</v>
      </c>
      <c r="F302" s="56" t="s">
        <v>1241</v>
      </c>
      <c r="G302" s="5" t="s">
        <v>1239</v>
      </c>
      <c r="H302" s="5" t="s">
        <v>151</v>
      </c>
      <c r="I302" s="177" t="s">
        <v>1245</v>
      </c>
      <c r="J302" s="2">
        <v>43608</v>
      </c>
      <c r="K302" s="2">
        <v>44704</v>
      </c>
      <c r="L302" s="17">
        <f t="shared" si="169"/>
        <v>83.30000063911281</v>
      </c>
      <c r="M302" s="6" t="s">
        <v>1244</v>
      </c>
      <c r="N302" s="5" t="s">
        <v>1243</v>
      </c>
      <c r="O302" s="5" t="s">
        <v>1243</v>
      </c>
      <c r="P302" s="5" t="s">
        <v>275</v>
      </c>
      <c r="Q302" s="5" t="s">
        <v>34</v>
      </c>
      <c r="R302" s="1">
        <f t="shared" si="170"/>
        <v>1444133.16</v>
      </c>
      <c r="S302" s="135">
        <v>1444133.16</v>
      </c>
      <c r="T302" s="55">
        <v>0</v>
      </c>
      <c r="U302" s="1">
        <f t="shared" si="171"/>
        <v>254847.02</v>
      </c>
      <c r="V302" s="74">
        <v>254847.02</v>
      </c>
      <c r="W302" s="74">
        <v>0</v>
      </c>
      <c r="X302" s="1">
        <f t="shared" si="172"/>
        <v>0</v>
      </c>
      <c r="Y302" s="55">
        <v>0</v>
      </c>
      <c r="Z302" s="55">
        <v>0</v>
      </c>
      <c r="AA302" s="9">
        <f t="shared" si="173"/>
        <v>34673.06</v>
      </c>
      <c r="AB302" s="135">
        <v>34673.06</v>
      </c>
      <c r="AC302" s="55">
        <v>0</v>
      </c>
      <c r="AD302" s="45">
        <f t="shared" si="150"/>
        <v>1733653.24</v>
      </c>
      <c r="AE302" s="12">
        <v>0</v>
      </c>
      <c r="AF302" s="9">
        <f t="shared" si="174"/>
        <v>1733653.24</v>
      </c>
      <c r="AG302" s="60" t="s">
        <v>515</v>
      </c>
      <c r="AH302" s="60" t="s">
        <v>2169</v>
      </c>
      <c r="AI302" s="163">
        <v>790001.63</v>
      </c>
      <c r="AJ302" s="1">
        <f>21800.36+70103.02+16914.85</f>
        <v>108818.23000000001</v>
      </c>
    </row>
    <row r="303" spans="1:109" ht="173.25" x14ac:dyDescent="0.25">
      <c r="A303" s="5">
        <f t="shared" si="151"/>
        <v>300</v>
      </c>
      <c r="B303" s="70">
        <v>126480</v>
      </c>
      <c r="C303" s="70">
        <v>495</v>
      </c>
      <c r="D303" s="138" t="s">
        <v>1984</v>
      </c>
      <c r="E303" s="8" t="s">
        <v>1130</v>
      </c>
      <c r="F303" s="8" t="s">
        <v>1189</v>
      </c>
      <c r="G303" s="5" t="s">
        <v>1190</v>
      </c>
      <c r="H303" s="5" t="s">
        <v>151</v>
      </c>
      <c r="I303" s="177" t="s">
        <v>1191</v>
      </c>
      <c r="J303" s="2">
        <v>43553</v>
      </c>
      <c r="K303" s="2">
        <v>43980</v>
      </c>
      <c r="L303" s="17">
        <f>R303/AD303*100</f>
        <v>83.300002424250337</v>
      </c>
      <c r="M303" s="6">
        <v>6</v>
      </c>
      <c r="N303" s="130" t="s">
        <v>182</v>
      </c>
      <c r="O303" s="130" t="s">
        <v>182</v>
      </c>
      <c r="P303" s="5" t="s">
        <v>275</v>
      </c>
      <c r="Q303" s="5" t="s">
        <v>34</v>
      </c>
      <c r="R303" s="1">
        <f>S303+T303</f>
        <v>876896.26</v>
      </c>
      <c r="S303" s="135">
        <v>876896.26</v>
      </c>
      <c r="T303" s="55">
        <v>0</v>
      </c>
      <c r="U303" s="1">
        <f>V303+W303</f>
        <v>154746.38</v>
      </c>
      <c r="V303" s="74">
        <v>154746.38</v>
      </c>
      <c r="W303" s="74">
        <v>0</v>
      </c>
      <c r="X303" s="1">
        <f>Y303+Z303</f>
        <v>0</v>
      </c>
      <c r="Y303" s="55">
        <v>0</v>
      </c>
      <c r="Z303" s="55">
        <v>0</v>
      </c>
      <c r="AA303" s="9">
        <f>AB303+AC303</f>
        <v>21053.919999999998</v>
      </c>
      <c r="AB303" s="135">
        <v>21053.919999999998</v>
      </c>
      <c r="AC303" s="55">
        <v>0</v>
      </c>
      <c r="AD303" s="45">
        <f t="shared" si="150"/>
        <v>1052696.56</v>
      </c>
      <c r="AE303" s="11">
        <v>10640</v>
      </c>
      <c r="AF303" s="9">
        <f>AD303+AE303</f>
        <v>1063336.56</v>
      </c>
      <c r="AG303" s="60" t="s">
        <v>966</v>
      </c>
      <c r="AH303" s="60" t="s">
        <v>1698</v>
      </c>
      <c r="AI303" s="1">
        <f>758406.35-27875.87</f>
        <v>730530.48</v>
      </c>
      <c r="AJ303" s="1">
        <f>115306.95+13610.14</f>
        <v>128917.09</v>
      </c>
    </row>
    <row r="304" spans="1:109" s="75" customFormat="1" ht="283.5" x14ac:dyDescent="0.25">
      <c r="A304" s="5">
        <f t="shared" si="151"/>
        <v>301</v>
      </c>
      <c r="B304" s="16">
        <v>119193</v>
      </c>
      <c r="C304" s="6">
        <v>2</v>
      </c>
      <c r="D304" s="5" t="s">
        <v>143</v>
      </c>
      <c r="E304" s="18" t="s">
        <v>107</v>
      </c>
      <c r="F304" s="8" t="s">
        <v>35</v>
      </c>
      <c r="G304" s="3" t="s">
        <v>1590</v>
      </c>
      <c r="H304" s="6" t="s">
        <v>151</v>
      </c>
      <c r="I304" s="77" t="s">
        <v>36</v>
      </c>
      <c r="J304" s="2">
        <v>42459</v>
      </c>
      <c r="K304" s="2">
        <v>43373</v>
      </c>
      <c r="L304" s="17">
        <f t="shared" ref="L304:L368" si="175">R304/AD304*100</f>
        <v>83.983862816086358</v>
      </c>
      <c r="M304" s="5" t="s">
        <v>136</v>
      </c>
      <c r="N304" s="5" t="s">
        <v>262</v>
      </c>
      <c r="O304" s="5" t="s">
        <v>262</v>
      </c>
      <c r="P304" s="3" t="s">
        <v>138</v>
      </c>
      <c r="Q304" s="5" t="s">
        <v>34</v>
      </c>
      <c r="R304" s="9">
        <f t="shared" ref="R304:R336" si="176">S304+T304</f>
        <v>11141147.18</v>
      </c>
      <c r="S304" s="9">
        <v>8984364.5299999993</v>
      </c>
      <c r="T304" s="9">
        <v>2156782.65</v>
      </c>
      <c r="U304" s="9">
        <f t="shared" ref="U304:U311" si="177">V304+W304</f>
        <v>0</v>
      </c>
      <c r="V304" s="54">
        <v>0</v>
      </c>
      <c r="W304" s="54">
        <v>0</v>
      </c>
      <c r="X304" s="9">
        <f t="shared" ref="X304:X336" si="178">Y304+Z304</f>
        <v>2124671.7600000002</v>
      </c>
      <c r="Y304" s="9">
        <v>1585476.09</v>
      </c>
      <c r="Z304" s="9">
        <v>539195.67000000004</v>
      </c>
      <c r="AA304" s="9">
        <f t="shared" ref="AA304:AA336" si="179">AB304+AC304</f>
        <v>0</v>
      </c>
      <c r="AB304" s="9">
        <v>0</v>
      </c>
      <c r="AC304" s="9">
        <v>0</v>
      </c>
      <c r="AD304" s="45">
        <f t="shared" si="150"/>
        <v>13265818.939999999</v>
      </c>
      <c r="AE304" s="9">
        <v>0</v>
      </c>
      <c r="AF304" s="9">
        <f t="shared" ref="AF304:AF336" si="180">AD304+AE304</f>
        <v>13265818.939999999</v>
      </c>
      <c r="AG304" s="50" t="s">
        <v>966</v>
      </c>
      <c r="AH304" s="14" t="s">
        <v>276</v>
      </c>
      <c r="AI304" s="163">
        <v>11115534.15</v>
      </c>
      <c r="AJ304" s="1">
        <v>0</v>
      </c>
      <c r="AK304" s="13"/>
    </row>
    <row r="305" spans="1:37" ht="141.75" x14ac:dyDescent="0.25">
      <c r="A305" s="5">
        <f t="shared" si="151"/>
        <v>302</v>
      </c>
      <c r="B305" s="16">
        <v>118575</v>
      </c>
      <c r="C305" s="5">
        <v>7</v>
      </c>
      <c r="D305" s="5" t="s">
        <v>143</v>
      </c>
      <c r="E305" s="25" t="s">
        <v>107</v>
      </c>
      <c r="F305" s="8" t="s">
        <v>45</v>
      </c>
      <c r="G305" s="63" t="s">
        <v>2088</v>
      </c>
      <c r="H305" s="5" t="s">
        <v>151</v>
      </c>
      <c r="I305" s="77" t="s">
        <v>46</v>
      </c>
      <c r="J305" s="2">
        <v>42592</v>
      </c>
      <c r="K305" s="2">
        <v>44783</v>
      </c>
      <c r="L305" s="17">
        <f>R305/AD305*100</f>
        <v>83.983862823517285</v>
      </c>
      <c r="M305" s="5" t="s">
        <v>136</v>
      </c>
      <c r="N305" s="5" t="s">
        <v>262</v>
      </c>
      <c r="O305" s="5" t="s">
        <v>262</v>
      </c>
      <c r="P305" s="3" t="s">
        <v>138</v>
      </c>
      <c r="Q305" s="5" t="s">
        <v>34</v>
      </c>
      <c r="R305" s="9">
        <f>S305+T305</f>
        <v>8244072.25</v>
      </c>
      <c r="S305" s="9">
        <v>6648125.9800000004</v>
      </c>
      <c r="T305" s="9">
        <v>1595946.27</v>
      </c>
      <c r="U305" s="9">
        <f>V305+W305</f>
        <v>0</v>
      </c>
      <c r="V305" s="54">
        <v>0</v>
      </c>
      <c r="W305" s="54">
        <v>0</v>
      </c>
      <c r="X305" s="9">
        <f>Y305+Z305</f>
        <v>1572185.27</v>
      </c>
      <c r="Y305" s="9">
        <v>1173198.73</v>
      </c>
      <c r="Z305" s="9">
        <v>398986.54</v>
      </c>
      <c r="AA305" s="9">
        <f>AB305+AC305</f>
        <v>0</v>
      </c>
      <c r="AB305" s="9">
        <v>0</v>
      </c>
      <c r="AC305" s="9">
        <v>0</v>
      </c>
      <c r="AD305" s="45">
        <f t="shared" si="150"/>
        <v>9816257.5199999996</v>
      </c>
      <c r="AE305" s="9">
        <v>0</v>
      </c>
      <c r="AF305" s="9">
        <f>AD305+AE305</f>
        <v>9816257.5199999996</v>
      </c>
      <c r="AG305" s="60" t="s">
        <v>515</v>
      </c>
      <c r="AH305" s="14" t="s">
        <v>2191</v>
      </c>
      <c r="AI305" s="1">
        <f>2526006.82+91434.08+29139.88</f>
        <v>2646580.7799999998</v>
      </c>
      <c r="AJ305" s="1">
        <v>0</v>
      </c>
    </row>
    <row r="306" spans="1:37" ht="204.75" x14ac:dyDescent="0.25">
      <c r="A306" s="5">
        <f t="shared" si="151"/>
        <v>303</v>
      </c>
      <c r="B306" s="16">
        <v>117842</v>
      </c>
      <c r="C306" s="6">
        <v>3</v>
      </c>
      <c r="D306" s="5" t="s">
        <v>143</v>
      </c>
      <c r="E306" s="25" t="s">
        <v>107</v>
      </c>
      <c r="F306" s="8" t="s">
        <v>37</v>
      </c>
      <c r="G306" s="5" t="s">
        <v>1591</v>
      </c>
      <c r="H306" s="5" t="s">
        <v>162</v>
      </c>
      <c r="I306" s="77" t="s">
        <v>38</v>
      </c>
      <c r="J306" s="2">
        <v>42534</v>
      </c>
      <c r="K306" s="2">
        <v>43585</v>
      </c>
      <c r="L306" s="17">
        <f t="shared" si="175"/>
        <v>83.983864495221582</v>
      </c>
      <c r="M306" s="5" t="s">
        <v>136</v>
      </c>
      <c r="N306" s="5" t="s">
        <v>262</v>
      </c>
      <c r="O306" s="5" t="s">
        <v>262</v>
      </c>
      <c r="P306" s="3" t="s">
        <v>138</v>
      </c>
      <c r="Q306" s="5" t="s">
        <v>34</v>
      </c>
      <c r="R306" s="9">
        <f t="shared" si="176"/>
        <v>15396417.879999999</v>
      </c>
      <c r="S306" s="9">
        <v>12415869.539999999</v>
      </c>
      <c r="T306" s="9">
        <v>2980548.34</v>
      </c>
      <c r="U306" s="9">
        <f t="shared" si="177"/>
        <v>0</v>
      </c>
      <c r="V306" s="54">
        <v>0</v>
      </c>
      <c r="W306" s="54">
        <v>0</v>
      </c>
      <c r="X306" s="9">
        <f t="shared" si="178"/>
        <v>2936172.52</v>
      </c>
      <c r="Y306" s="9">
        <v>2191035.59</v>
      </c>
      <c r="Z306" s="9">
        <v>745136.93</v>
      </c>
      <c r="AA306" s="9">
        <f t="shared" si="179"/>
        <v>0</v>
      </c>
      <c r="AB306" s="9">
        <v>0</v>
      </c>
      <c r="AC306" s="9">
        <v>0</v>
      </c>
      <c r="AD306" s="45">
        <f t="shared" si="150"/>
        <v>18332590.399999999</v>
      </c>
      <c r="AE306" s="9">
        <v>0</v>
      </c>
      <c r="AF306" s="9">
        <f t="shared" si="180"/>
        <v>18332590.399999999</v>
      </c>
      <c r="AG306" s="50" t="s">
        <v>966</v>
      </c>
      <c r="AH306" s="14" t="s">
        <v>1083</v>
      </c>
      <c r="AI306" s="1">
        <v>12217325.540000001</v>
      </c>
      <c r="AJ306" s="172">
        <v>0</v>
      </c>
    </row>
    <row r="307" spans="1:37" ht="204.75" x14ac:dyDescent="0.25">
      <c r="A307" s="5">
        <f t="shared" si="151"/>
        <v>304</v>
      </c>
      <c r="B307" s="16">
        <v>118291</v>
      </c>
      <c r="C307" s="6">
        <v>4</v>
      </c>
      <c r="D307" s="5" t="s">
        <v>143</v>
      </c>
      <c r="E307" s="25" t="s">
        <v>107</v>
      </c>
      <c r="F307" s="8" t="s">
        <v>39</v>
      </c>
      <c r="G307" s="5" t="s">
        <v>1592</v>
      </c>
      <c r="H307" s="5" t="s">
        <v>161</v>
      </c>
      <c r="I307" s="77" t="s">
        <v>40</v>
      </c>
      <c r="J307" s="2">
        <v>42459</v>
      </c>
      <c r="K307" s="2">
        <v>43220</v>
      </c>
      <c r="L307" s="17">
        <f t="shared" si="175"/>
        <v>83.983862772799696</v>
      </c>
      <c r="M307" s="5" t="s">
        <v>136</v>
      </c>
      <c r="N307" s="5" t="s">
        <v>262</v>
      </c>
      <c r="O307" s="5" t="s">
        <v>262</v>
      </c>
      <c r="P307" s="3" t="s">
        <v>138</v>
      </c>
      <c r="Q307" s="5" t="s">
        <v>34</v>
      </c>
      <c r="R307" s="9">
        <f t="shared" si="176"/>
        <v>9512414.3200000003</v>
      </c>
      <c r="S307" s="9">
        <v>7670933.3799999999</v>
      </c>
      <c r="T307" s="9">
        <v>1841480.94</v>
      </c>
      <c r="U307" s="9">
        <f t="shared" si="177"/>
        <v>0</v>
      </c>
      <c r="V307" s="54">
        <v>0</v>
      </c>
      <c r="W307" s="54">
        <v>0</v>
      </c>
      <c r="X307" s="9">
        <f t="shared" si="178"/>
        <v>1814064.3699999999</v>
      </c>
      <c r="Y307" s="9">
        <v>1353694.13</v>
      </c>
      <c r="Z307" s="9">
        <v>460370.24</v>
      </c>
      <c r="AA307" s="9">
        <f t="shared" si="179"/>
        <v>0</v>
      </c>
      <c r="AB307" s="9">
        <v>0</v>
      </c>
      <c r="AC307" s="9">
        <v>0</v>
      </c>
      <c r="AD307" s="45">
        <f t="shared" si="150"/>
        <v>11326478.689999999</v>
      </c>
      <c r="AE307" s="9">
        <v>0</v>
      </c>
      <c r="AF307" s="9">
        <f t="shared" si="180"/>
        <v>11326478.689999999</v>
      </c>
      <c r="AG307" s="50" t="s">
        <v>966</v>
      </c>
      <c r="AH307" s="14" t="s">
        <v>173</v>
      </c>
      <c r="AI307" s="1">
        <v>8671071.8500000015</v>
      </c>
      <c r="AJ307" s="172">
        <v>0</v>
      </c>
    </row>
    <row r="308" spans="1:37" ht="141.75" x14ac:dyDescent="0.25">
      <c r="A308" s="5">
        <f t="shared" si="151"/>
        <v>305</v>
      </c>
      <c r="B308" s="16">
        <v>118957</v>
      </c>
      <c r="C308" s="6">
        <v>5</v>
      </c>
      <c r="D308" s="5" t="s">
        <v>143</v>
      </c>
      <c r="E308" s="25" t="s">
        <v>107</v>
      </c>
      <c r="F308" s="8" t="s">
        <v>41</v>
      </c>
      <c r="G308" s="3" t="s">
        <v>1593</v>
      </c>
      <c r="H308" s="5" t="s">
        <v>162</v>
      </c>
      <c r="I308" s="77" t="s">
        <v>42</v>
      </c>
      <c r="J308" s="2">
        <v>42900</v>
      </c>
      <c r="K308" s="2">
        <v>43904</v>
      </c>
      <c r="L308" s="17">
        <f t="shared" si="175"/>
        <v>83.983863090563631</v>
      </c>
      <c r="M308" s="5" t="s">
        <v>136</v>
      </c>
      <c r="N308" s="5" t="s">
        <v>262</v>
      </c>
      <c r="O308" s="5" t="s">
        <v>262</v>
      </c>
      <c r="P308" s="3" t="s">
        <v>138</v>
      </c>
      <c r="Q308" s="5" t="s">
        <v>34</v>
      </c>
      <c r="R308" s="9">
        <f t="shared" si="176"/>
        <v>4555318.21</v>
      </c>
      <c r="S308" s="9">
        <v>3673467.24</v>
      </c>
      <c r="T308" s="9">
        <v>881850.97</v>
      </c>
      <c r="U308" s="9">
        <f t="shared" si="177"/>
        <v>0</v>
      </c>
      <c r="V308" s="54">
        <v>0</v>
      </c>
      <c r="W308" s="54">
        <v>0</v>
      </c>
      <c r="X308" s="9">
        <f t="shared" si="178"/>
        <v>868721.65</v>
      </c>
      <c r="Y308" s="9">
        <v>648258.93000000005</v>
      </c>
      <c r="Z308" s="9">
        <v>220462.72</v>
      </c>
      <c r="AA308" s="9">
        <f t="shared" si="179"/>
        <v>0</v>
      </c>
      <c r="AB308" s="9">
        <v>0</v>
      </c>
      <c r="AC308" s="9">
        <v>0</v>
      </c>
      <c r="AD308" s="45">
        <f t="shared" si="150"/>
        <v>5424039.8600000003</v>
      </c>
      <c r="AE308" s="9">
        <v>0</v>
      </c>
      <c r="AF308" s="9">
        <f t="shared" si="180"/>
        <v>5424039.8600000003</v>
      </c>
      <c r="AG308" s="60" t="s">
        <v>966</v>
      </c>
      <c r="AH308" s="14" t="s">
        <v>1658</v>
      </c>
      <c r="AI308" s="1">
        <f>3853955.63+273692.26</f>
        <v>4127647.8899999997</v>
      </c>
      <c r="AJ308" s="172">
        <v>0</v>
      </c>
    </row>
    <row r="309" spans="1:37" ht="141.75" x14ac:dyDescent="0.25">
      <c r="A309" s="5">
        <f t="shared" si="151"/>
        <v>306</v>
      </c>
      <c r="B309" s="16">
        <v>118448</v>
      </c>
      <c r="C309" s="6">
        <v>6</v>
      </c>
      <c r="D309" s="5" t="s">
        <v>143</v>
      </c>
      <c r="E309" s="25" t="s">
        <v>107</v>
      </c>
      <c r="F309" s="8" t="s">
        <v>43</v>
      </c>
      <c r="G309" s="5" t="s">
        <v>1591</v>
      </c>
      <c r="H309" s="5" t="s">
        <v>151</v>
      </c>
      <c r="I309" s="77" t="s">
        <v>44</v>
      </c>
      <c r="J309" s="2">
        <v>42458</v>
      </c>
      <c r="K309" s="2">
        <v>43706</v>
      </c>
      <c r="L309" s="17">
        <f t="shared" si="175"/>
        <v>83.983862365752103</v>
      </c>
      <c r="M309" s="5" t="s">
        <v>136</v>
      </c>
      <c r="N309" s="5" t="s">
        <v>262</v>
      </c>
      <c r="O309" s="5" t="s">
        <v>262</v>
      </c>
      <c r="P309" s="3" t="s">
        <v>138</v>
      </c>
      <c r="Q309" s="5" t="s">
        <v>34</v>
      </c>
      <c r="R309" s="9">
        <f t="shared" si="176"/>
        <v>15459786.27</v>
      </c>
      <c r="S309" s="9">
        <v>12466970.77</v>
      </c>
      <c r="T309" s="9">
        <v>2992815.5</v>
      </c>
      <c r="U309" s="9">
        <f t="shared" si="177"/>
        <v>0</v>
      </c>
      <c r="V309" s="54">
        <v>0</v>
      </c>
      <c r="W309" s="54">
        <v>0</v>
      </c>
      <c r="X309" s="9">
        <f t="shared" si="178"/>
        <v>2948257.6500000004</v>
      </c>
      <c r="Y309" s="9">
        <v>2200053.66</v>
      </c>
      <c r="Z309" s="9">
        <v>748203.99</v>
      </c>
      <c r="AA309" s="9">
        <f t="shared" si="179"/>
        <v>0</v>
      </c>
      <c r="AB309" s="9">
        <v>0</v>
      </c>
      <c r="AC309" s="9">
        <v>0</v>
      </c>
      <c r="AD309" s="45">
        <f t="shared" si="150"/>
        <v>18408043.920000002</v>
      </c>
      <c r="AE309" s="9">
        <v>0</v>
      </c>
      <c r="AF309" s="9">
        <f t="shared" si="180"/>
        <v>18408043.920000002</v>
      </c>
      <c r="AG309" s="50" t="s">
        <v>966</v>
      </c>
      <c r="AH309" s="14" t="s">
        <v>1237</v>
      </c>
      <c r="AI309" s="1">
        <v>12495255.649999997</v>
      </c>
      <c r="AJ309" s="172">
        <v>0</v>
      </c>
      <c r="AK309" s="75"/>
    </row>
    <row r="310" spans="1:37" ht="141.75" x14ac:dyDescent="0.25">
      <c r="A310" s="5">
        <f t="shared" si="151"/>
        <v>307</v>
      </c>
      <c r="B310" s="16">
        <v>119240</v>
      </c>
      <c r="C310" s="5">
        <v>54</v>
      </c>
      <c r="D310" s="5" t="s">
        <v>145</v>
      </c>
      <c r="E310" s="25" t="s">
        <v>123</v>
      </c>
      <c r="F310" s="8" t="s">
        <v>97</v>
      </c>
      <c r="G310" s="5" t="s">
        <v>94</v>
      </c>
      <c r="H310" s="5" t="s">
        <v>151</v>
      </c>
      <c r="I310" s="77" t="s">
        <v>98</v>
      </c>
      <c r="J310" s="2">
        <v>42943</v>
      </c>
      <c r="K310" s="2">
        <v>44254</v>
      </c>
      <c r="L310" s="17">
        <f t="shared" si="175"/>
        <v>83.983862702386219</v>
      </c>
      <c r="M310" s="5" t="s">
        <v>136</v>
      </c>
      <c r="N310" s="5" t="s">
        <v>262</v>
      </c>
      <c r="O310" s="5" t="s">
        <v>262</v>
      </c>
      <c r="P310" s="3" t="s">
        <v>138</v>
      </c>
      <c r="Q310" s="5" t="s">
        <v>34</v>
      </c>
      <c r="R310" s="9">
        <f t="shared" si="176"/>
        <v>11805482.9</v>
      </c>
      <c r="S310" s="9">
        <v>9520093.4299999997</v>
      </c>
      <c r="T310" s="9">
        <v>2285389.4700000002</v>
      </c>
      <c r="U310" s="9">
        <f t="shared" si="177"/>
        <v>0</v>
      </c>
      <c r="V310" s="54">
        <v>0</v>
      </c>
      <c r="W310" s="54">
        <v>0</v>
      </c>
      <c r="X310" s="9">
        <f t="shared" si="178"/>
        <v>2251363.88</v>
      </c>
      <c r="Y310" s="9">
        <v>1680016.48</v>
      </c>
      <c r="Z310" s="9">
        <v>571347.4</v>
      </c>
      <c r="AA310" s="9">
        <f t="shared" si="179"/>
        <v>0</v>
      </c>
      <c r="AB310" s="9">
        <v>0</v>
      </c>
      <c r="AC310" s="9">
        <v>0</v>
      </c>
      <c r="AD310" s="45">
        <f t="shared" si="150"/>
        <v>14056846.780000001</v>
      </c>
      <c r="AE310" s="9">
        <v>216877.5</v>
      </c>
      <c r="AF310" s="9">
        <f t="shared" si="180"/>
        <v>14273724.280000001</v>
      </c>
      <c r="AG310" s="60" t="s">
        <v>966</v>
      </c>
      <c r="AH310" s="14" t="s">
        <v>1901</v>
      </c>
      <c r="AI310" s="1">
        <f>10551997.58+45332.4+60208.97+567096.84+164236.95</f>
        <v>11388872.74</v>
      </c>
      <c r="AJ310" s="172">
        <v>0</v>
      </c>
    </row>
    <row r="311" spans="1:37" ht="236.25" x14ac:dyDescent="0.25">
      <c r="A311" s="5">
        <f t="shared" si="151"/>
        <v>308</v>
      </c>
      <c r="B311" s="16">
        <v>122100</v>
      </c>
      <c r="C311" s="6">
        <v>8</v>
      </c>
      <c r="D311" s="5" t="s">
        <v>143</v>
      </c>
      <c r="E311" s="25" t="s">
        <v>107</v>
      </c>
      <c r="F311" s="8" t="s">
        <v>47</v>
      </c>
      <c r="G311" s="5" t="s">
        <v>2090</v>
      </c>
      <c r="H311" s="5" t="s">
        <v>151</v>
      </c>
      <c r="I311" s="77" t="s">
        <v>48</v>
      </c>
      <c r="J311" s="2">
        <v>42661</v>
      </c>
      <c r="K311" s="2">
        <v>43756</v>
      </c>
      <c r="L311" s="17">
        <f t="shared" si="175"/>
        <v>83.983862943976007</v>
      </c>
      <c r="M311" s="5" t="s">
        <v>136</v>
      </c>
      <c r="N311" s="5" t="s">
        <v>262</v>
      </c>
      <c r="O311" s="5" t="s">
        <v>262</v>
      </c>
      <c r="P311" s="3" t="s">
        <v>138</v>
      </c>
      <c r="Q311" s="5" t="s">
        <v>34</v>
      </c>
      <c r="R311" s="9">
        <f t="shared" si="176"/>
        <v>1681184.87</v>
      </c>
      <c r="S311" s="9">
        <v>1355729.12</v>
      </c>
      <c r="T311" s="9">
        <v>325455.75</v>
      </c>
      <c r="U311" s="9">
        <f t="shared" si="177"/>
        <v>0</v>
      </c>
      <c r="V311" s="54">
        <v>0</v>
      </c>
      <c r="W311" s="54">
        <v>0</v>
      </c>
      <c r="X311" s="9">
        <f t="shared" si="178"/>
        <v>320610.25</v>
      </c>
      <c r="Y311" s="9">
        <v>239246.31</v>
      </c>
      <c r="Z311" s="9">
        <v>81363.94</v>
      </c>
      <c r="AA311" s="9">
        <f t="shared" si="179"/>
        <v>0</v>
      </c>
      <c r="AB311" s="9">
        <v>0</v>
      </c>
      <c r="AC311" s="9">
        <v>0</v>
      </c>
      <c r="AD311" s="45">
        <f t="shared" si="150"/>
        <v>2001795.12</v>
      </c>
      <c r="AE311" s="9">
        <v>0</v>
      </c>
      <c r="AF311" s="9">
        <f t="shared" si="180"/>
        <v>2001795.12</v>
      </c>
      <c r="AG311" s="50" t="s">
        <v>966</v>
      </c>
      <c r="AH311" s="14" t="s">
        <v>1222</v>
      </c>
      <c r="AI311" s="1">
        <v>1110336.8299999998</v>
      </c>
      <c r="AJ311" s="172">
        <v>0</v>
      </c>
    </row>
    <row r="312" spans="1:37" ht="173.25" x14ac:dyDescent="0.25">
      <c r="A312" s="5">
        <f t="shared" si="151"/>
        <v>309</v>
      </c>
      <c r="B312" s="16">
        <v>120313</v>
      </c>
      <c r="C312" s="6">
        <v>9</v>
      </c>
      <c r="D312" s="5" t="s">
        <v>143</v>
      </c>
      <c r="E312" s="25" t="s">
        <v>107</v>
      </c>
      <c r="F312" s="8" t="s">
        <v>49</v>
      </c>
      <c r="G312" s="3" t="s">
        <v>2091</v>
      </c>
      <c r="H312" s="5" t="s">
        <v>164</v>
      </c>
      <c r="I312" s="77" t="s">
        <v>50</v>
      </c>
      <c r="J312" s="2">
        <v>42538</v>
      </c>
      <c r="K312" s="2">
        <v>43633</v>
      </c>
      <c r="L312" s="17">
        <f t="shared" si="175"/>
        <v>83.983862848864632</v>
      </c>
      <c r="M312" s="5" t="s">
        <v>136</v>
      </c>
      <c r="N312" s="5" t="s">
        <v>262</v>
      </c>
      <c r="O312" s="5" t="s">
        <v>262</v>
      </c>
      <c r="P312" s="3" t="s">
        <v>138</v>
      </c>
      <c r="Q312" s="5" t="s">
        <v>34</v>
      </c>
      <c r="R312" s="9">
        <f t="shared" si="176"/>
        <v>30189820.119999997</v>
      </c>
      <c r="S312" s="9">
        <v>24345459.629999999</v>
      </c>
      <c r="T312" s="9">
        <v>5844360.4900000002</v>
      </c>
      <c r="U312" s="9">
        <v>1966327.81</v>
      </c>
      <c r="V312" s="54">
        <v>1453132.81</v>
      </c>
      <c r="W312" s="54">
        <v>513195</v>
      </c>
      <c r="X312" s="9">
        <f t="shared" si="178"/>
        <v>3791019.8899999997</v>
      </c>
      <c r="Y312" s="9">
        <v>2843124.76</v>
      </c>
      <c r="Z312" s="9">
        <v>947895.13</v>
      </c>
      <c r="AA312" s="9">
        <f t="shared" si="179"/>
        <v>0</v>
      </c>
      <c r="AB312" s="9">
        <v>0</v>
      </c>
      <c r="AC312" s="9">
        <v>0</v>
      </c>
      <c r="AD312" s="45">
        <f t="shared" si="150"/>
        <v>35947167.819999993</v>
      </c>
      <c r="AE312" s="9">
        <v>0</v>
      </c>
      <c r="AF312" s="9">
        <f t="shared" si="180"/>
        <v>35947167.819999993</v>
      </c>
      <c r="AG312" s="50" t="s">
        <v>966</v>
      </c>
      <c r="AH312" s="14" t="s">
        <v>1132</v>
      </c>
      <c r="AI312" s="1">
        <v>26274093.779999994</v>
      </c>
      <c r="AJ312" s="172">
        <v>1669405.63</v>
      </c>
    </row>
    <row r="313" spans="1:37" ht="330.75" x14ac:dyDescent="0.25">
      <c r="A313" s="5">
        <f t="shared" si="151"/>
        <v>310</v>
      </c>
      <c r="B313" s="16">
        <v>121644</v>
      </c>
      <c r="C313" s="6">
        <v>10</v>
      </c>
      <c r="D313" s="5" t="s">
        <v>143</v>
      </c>
      <c r="E313" s="25" t="s">
        <v>107</v>
      </c>
      <c r="F313" s="8" t="s">
        <v>482</v>
      </c>
      <c r="G313" s="5" t="s">
        <v>2090</v>
      </c>
      <c r="H313" s="5" t="s">
        <v>151</v>
      </c>
      <c r="I313" s="77" t="s">
        <v>51</v>
      </c>
      <c r="J313" s="2">
        <v>42538</v>
      </c>
      <c r="K313" s="2">
        <v>43298</v>
      </c>
      <c r="L313" s="17">
        <f t="shared" si="175"/>
        <v>83.983862739322618</v>
      </c>
      <c r="M313" s="5" t="s">
        <v>136</v>
      </c>
      <c r="N313" s="5" t="s">
        <v>262</v>
      </c>
      <c r="O313" s="5" t="s">
        <v>262</v>
      </c>
      <c r="P313" s="3" t="s">
        <v>138</v>
      </c>
      <c r="Q313" s="5" t="s">
        <v>34</v>
      </c>
      <c r="R313" s="9">
        <f t="shared" si="176"/>
        <v>2777962.48</v>
      </c>
      <c r="S313" s="9">
        <v>2240184.71</v>
      </c>
      <c r="T313" s="9">
        <v>537777.77</v>
      </c>
      <c r="U313" s="9">
        <f t="shared" ref="U313:U344" si="181">V313+W313</f>
        <v>0</v>
      </c>
      <c r="V313" s="54">
        <v>0</v>
      </c>
      <c r="W313" s="54">
        <v>0</v>
      </c>
      <c r="X313" s="9">
        <f t="shared" si="178"/>
        <v>529771.16</v>
      </c>
      <c r="Y313" s="9">
        <v>395326.72000000003</v>
      </c>
      <c r="Z313" s="9">
        <v>134444.44</v>
      </c>
      <c r="AA313" s="9">
        <f t="shared" si="179"/>
        <v>0</v>
      </c>
      <c r="AB313" s="9">
        <v>0</v>
      </c>
      <c r="AC313" s="9">
        <v>0</v>
      </c>
      <c r="AD313" s="45">
        <f t="shared" si="150"/>
        <v>3307733.64</v>
      </c>
      <c r="AE313" s="9">
        <v>192499.20000000001</v>
      </c>
      <c r="AF313" s="9">
        <f t="shared" si="180"/>
        <v>3500232.8400000003</v>
      </c>
      <c r="AG313" s="50" t="s">
        <v>966</v>
      </c>
      <c r="AH313" s="14" t="s">
        <v>195</v>
      </c>
      <c r="AI313" s="1">
        <v>2635526.38</v>
      </c>
      <c r="AJ313" s="172">
        <v>0</v>
      </c>
    </row>
    <row r="314" spans="1:37" ht="252" x14ac:dyDescent="0.25">
      <c r="A314" s="5">
        <f t="shared" si="151"/>
        <v>311</v>
      </c>
      <c r="B314" s="16">
        <v>118305</v>
      </c>
      <c r="C314" s="6">
        <v>11</v>
      </c>
      <c r="D314" s="5" t="s">
        <v>143</v>
      </c>
      <c r="E314" s="25" t="s">
        <v>107</v>
      </c>
      <c r="F314" s="8" t="s">
        <v>53</v>
      </c>
      <c r="G314" s="5" t="s">
        <v>52</v>
      </c>
      <c r="H314" s="5" t="s">
        <v>164</v>
      </c>
      <c r="I314" s="77" t="s">
        <v>54</v>
      </c>
      <c r="J314" s="2">
        <v>42467</v>
      </c>
      <c r="K314" s="2">
        <v>43562</v>
      </c>
      <c r="L314" s="17">
        <f t="shared" si="175"/>
        <v>83.98386392846011</v>
      </c>
      <c r="M314" s="5" t="s">
        <v>136</v>
      </c>
      <c r="N314" s="5" t="s">
        <v>262</v>
      </c>
      <c r="O314" s="5" t="s">
        <v>262</v>
      </c>
      <c r="P314" s="3" t="s">
        <v>138</v>
      </c>
      <c r="Q314" s="5" t="s">
        <v>34</v>
      </c>
      <c r="R314" s="9">
        <f t="shared" si="176"/>
        <v>13566063.25</v>
      </c>
      <c r="S314" s="9">
        <v>10939848.08</v>
      </c>
      <c r="T314" s="9">
        <v>2626215.17</v>
      </c>
      <c r="U314" s="9">
        <f t="shared" si="181"/>
        <v>0</v>
      </c>
      <c r="V314" s="54">
        <v>0</v>
      </c>
      <c r="W314" s="54">
        <v>0</v>
      </c>
      <c r="X314" s="9">
        <f t="shared" si="178"/>
        <v>2587115.0099999998</v>
      </c>
      <c r="Y314" s="9">
        <v>1930561.24</v>
      </c>
      <c r="Z314" s="9">
        <v>656553.77</v>
      </c>
      <c r="AA314" s="9">
        <f t="shared" si="179"/>
        <v>0</v>
      </c>
      <c r="AB314" s="9">
        <v>0</v>
      </c>
      <c r="AC314" s="9">
        <v>0</v>
      </c>
      <c r="AD314" s="45">
        <f t="shared" si="150"/>
        <v>16153178.26</v>
      </c>
      <c r="AE314" s="9">
        <v>0</v>
      </c>
      <c r="AF314" s="9">
        <f t="shared" si="180"/>
        <v>16153178.26</v>
      </c>
      <c r="AG314" s="50" t="s">
        <v>966</v>
      </c>
      <c r="AH314" s="14" t="s">
        <v>992</v>
      </c>
      <c r="AI314" s="1">
        <v>12427497.709999997</v>
      </c>
      <c r="AJ314" s="172">
        <v>0</v>
      </c>
    </row>
    <row r="315" spans="1:37" ht="157.5" x14ac:dyDescent="0.25">
      <c r="A315" s="5">
        <f t="shared" si="151"/>
        <v>312</v>
      </c>
      <c r="B315" s="16">
        <v>118349</v>
      </c>
      <c r="C315" s="6">
        <v>13</v>
      </c>
      <c r="D315" s="5" t="s">
        <v>143</v>
      </c>
      <c r="E315" s="25" t="s">
        <v>107</v>
      </c>
      <c r="F315" s="8" t="s">
        <v>56</v>
      </c>
      <c r="G315" s="5" t="s">
        <v>55</v>
      </c>
      <c r="H315" s="5" t="s">
        <v>162</v>
      </c>
      <c r="I315" s="77" t="s">
        <v>57</v>
      </c>
      <c r="J315" s="2">
        <v>42663</v>
      </c>
      <c r="K315" s="2">
        <v>44915</v>
      </c>
      <c r="L315" s="17">
        <f t="shared" si="175"/>
        <v>83.983862819250106</v>
      </c>
      <c r="M315" s="5" t="s">
        <v>136</v>
      </c>
      <c r="N315" s="5" t="s">
        <v>262</v>
      </c>
      <c r="O315" s="5" t="s">
        <v>262</v>
      </c>
      <c r="P315" s="3" t="s">
        <v>138</v>
      </c>
      <c r="Q315" s="5" t="s">
        <v>34</v>
      </c>
      <c r="R315" s="9">
        <f t="shared" si="176"/>
        <v>8904385.9900000002</v>
      </c>
      <c r="S315" s="9">
        <v>7180611.5199999996</v>
      </c>
      <c r="T315" s="9">
        <v>1723774.47</v>
      </c>
      <c r="U315" s="9">
        <f t="shared" si="181"/>
        <v>0</v>
      </c>
      <c r="V315" s="54">
        <v>0</v>
      </c>
      <c r="W315" s="54">
        <v>0</v>
      </c>
      <c r="X315" s="9">
        <f t="shared" si="178"/>
        <v>1698110.3599999999</v>
      </c>
      <c r="Y315" s="9">
        <v>1267166.72</v>
      </c>
      <c r="Z315" s="9">
        <v>430943.64</v>
      </c>
      <c r="AA315" s="9">
        <f t="shared" si="179"/>
        <v>0</v>
      </c>
      <c r="AB315" s="9">
        <v>0</v>
      </c>
      <c r="AC315" s="9">
        <v>0</v>
      </c>
      <c r="AD315" s="45">
        <f t="shared" si="150"/>
        <v>10602496.35</v>
      </c>
      <c r="AE315" s="9">
        <v>0</v>
      </c>
      <c r="AF315" s="9">
        <f t="shared" si="180"/>
        <v>10602496.35</v>
      </c>
      <c r="AG315" s="60" t="s">
        <v>515</v>
      </c>
      <c r="AH315" s="14" t="s">
        <v>2182</v>
      </c>
      <c r="AI315" s="1">
        <f>3218564.52+133092.52+172302.6</f>
        <v>3523959.64</v>
      </c>
      <c r="AJ315" s="172">
        <v>0</v>
      </c>
    </row>
    <row r="316" spans="1:37" ht="362.25" x14ac:dyDescent="0.25">
      <c r="A316" s="5">
        <f t="shared" si="151"/>
        <v>313</v>
      </c>
      <c r="B316" s="16">
        <v>120068</v>
      </c>
      <c r="C316" s="6">
        <v>55</v>
      </c>
      <c r="D316" s="5" t="s">
        <v>145</v>
      </c>
      <c r="E316" s="25" t="s">
        <v>123</v>
      </c>
      <c r="F316" s="8" t="s">
        <v>100</v>
      </c>
      <c r="G316" s="5" t="s">
        <v>99</v>
      </c>
      <c r="H316" s="5" t="s">
        <v>157</v>
      </c>
      <c r="I316" s="77" t="s">
        <v>101</v>
      </c>
      <c r="J316" s="2">
        <v>43060</v>
      </c>
      <c r="K316" s="2">
        <v>44186</v>
      </c>
      <c r="L316" s="17">
        <f t="shared" si="175"/>
        <v>83.983862867470734</v>
      </c>
      <c r="M316" s="5" t="s">
        <v>136</v>
      </c>
      <c r="N316" s="5" t="s">
        <v>262</v>
      </c>
      <c r="O316" s="5" t="s">
        <v>262</v>
      </c>
      <c r="P316" s="5" t="s">
        <v>138</v>
      </c>
      <c r="Q316" s="5" t="s">
        <v>34</v>
      </c>
      <c r="R316" s="9">
        <f t="shared" si="176"/>
        <v>8678209.1799999997</v>
      </c>
      <c r="S316" s="9">
        <v>6998219.6100000003</v>
      </c>
      <c r="T316" s="9">
        <v>1679989.57</v>
      </c>
      <c r="U316" s="9">
        <f t="shared" si="181"/>
        <v>0</v>
      </c>
      <c r="V316" s="54">
        <v>0</v>
      </c>
      <c r="W316" s="54">
        <v>0</v>
      </c>
      <c r="X316" s="9">
        <f t="shared" si="178"/>
        <v>1654977.3199999998</v>
      </c>
      <c r="Y316" s="9">
        <v>1234979.93</v>
      </c>
      <c r="Z316" s="9">
        <v>419997.39</v>
      </c>
      <c r="AA316" s="9">
        <f t="shared" si="179"/>
        <v>0</v>
      </c>
      <c r="AB316" s="9">
        <v>0</v>
      </c>
      <c r="AC316" s="9">
        <v>0</v>
      </c>
      <c r="AD316" s="45">
        <f t="shared" si="150"/>
        <v>10333186.5</v>
      </c>
      <c r="AE316" s="9">
        <v>0</v>
      </c>
      <c r="AF316" s="9">
        <f t="shared" si="180"/>
        <v>10333186.5</v>
      </c>
      <c r="AG316" s="60" t="s">
        <v>966</v>
      </c>
      <c r="AH316" s="14" t="s">
        <v>1646</v>
      </c>
      <c r="AI316" s="1">
        <f>1310147.31+3031843.03+2328598.7+128384.45</f>
        <v>6798973.4900000002</v>
      </c>
      <c r="AJ316" s="172">
        <v>0</v>
      </c>
    </row>
    <row r="317" spans="1:37" ht="220.5" x14ac:dyDescent="0.25">
      <c r="A317" s="5">
        <f t="shared" si="151"/>
        <v>314</v>
      </c>
      <c r="B317" s="16">
        <v>117846</v>
      </c>
      <c r="C317" s="5">
        <v>16</v>
      </c>
      <c r="D317" s="5" t="s">
        <v>143</v>
      </c>
      <c r="E317" s="25" t="s">
        <v>107</v>
      </c>
      <c r="F317" s="8" t="s">
        <v>108</v>
      </c>
      <c r="G317" s="5" t="s">
        <v>2193</v>
      </c>
      <c r="H317" s="5" t="s">
        <v>166</v>
      </c>
      <c r="I317" s="77" t="s">
        <v>109</v>
      </c>
      <c r="J317" s="2">
        <v>42884</v>
      </c>
      <c r="K317" s="2">
        <v>44498</v>
      </c>
      <c r="L317" s="17">
        <f t="shared" si="175"/>
        <v>83.983862369886609</v>
      </c>
      <c r="M317" s="5" t="s">
        <v>136</v>
      </c>
      <c r="N317" s="5" t="s">
        <v>262</v>
      </c>
      <c r="O317" s="5" t="s">
        <v>262</v>
      </c>
      <c r="P317" s="3" t="s">
        <v>138</v>
      </c>
      <c r="Q317" s="5" t="s">
        <v>34</v>
      </c>
      <c r="R317" s="9">
        <f t="shared" si="176"/>
        <v>12294746.960000001</v>
      </c>
      <c r="S317" s="9">
        <v>9914642.3000000007</v>
      </c>
      <c r="T317" s="9">
        <v>2380104.66</v>
      </c>
      <c r="U317" s="9">
        <f t="shared" si="181"/>
        <v>0</v>
      </c>
      <c r="V317" s="54">
        <v>0</v>
      </c>
      <c r="W317" s="54">
        <v>0</v>
      </c>
      <c r="X317" s="9">
        <f t="shared" si="178"/>
        <v>2344669.0099999998</v>
      </c>
      <c r="Y317" s="9">
        <v>1749642.76</v>
      </c>
      <c r="Z317" s="9">
        <v>595026.25</v>
      </c>
      <c r="AA317" s="9">
        <f t="shared" si="179"/>
        <v>0</v>
      </c>
      <c r="AB317" s="9">
        <v>0</v>
      </c>
      <c r="AC317" s="9">
        <v>0</v>
      </c>
      <c r="AD317" s="45">
        <f t="shared" si="150"/>
        <v>14639415.970000001</v>
      </c>
      <c r="AE317" s="9">
        <v>0</v>
      </c>
      <c r="AF317" s="9">
        <f t="shared" si="180"/>
        <v>14639415.970000001</v>
      </c>
      <c r="AG317" s="60" t="s">
        <v>1689</v>
      </c>
      <c r="AH317" s="14" t="s">
        <v>2216</v>
      </c>
      <c r="AI317" s="1">
        <f>7066989.6+1435399.58+120715.89+409904.19+253858.38</f>
        <v>9286867.6400000006</v>
      </c>
      <c r="AJ317" s="172">
        <v>0</v>
      </c>
    </row>
    <row r="318" spans="1:37" ht="157.5" x14ac:dyDescent="0.25">
      <c r="A318" s="5">
        <f t="shared" si="151"/>
        <v>315</v>
      </c>
      <c r="B318" s="16">
        <v>117841</v>
      </c>
      <c r="C318" s="5">
        <v>17</v>
      </c>
      <c r="D318" s="5" t="s">
        <v>143</v>
      </c>
      <c r="E318" s="25" t="s">
        <v>107</v>
      </c>
      <c r="F318" s="8" t="s">
        <v>60</v>
      </c>
      <c r="G318" s="5" t="s">
        <v>1591</v>
      </c>
      <c r="H318" s="5" t="s">
        <v>151</v>
      </c>
      <c r="I318" s="77" t="s">
        <v>599</v>
      </c>
      <c r="J318" s="2">
        <v>42482</v>
      </c>
      <c r="K318" s="2">
        <v>43760</v>
      </c>
      <c r="L318" s="17">
        <f t="shared" si="175"/>
        <v>83.983862907570995</v>
      </c>
      <c r="M318" s="5" t="s">
        <v>136</v>
      </c>
      <c r="N318" s="5" t="s">
        <v>262</v>
      </c>
      <c r="O318" s="5" t="s">
        <v>262</v>
      </c>
      <c r="P318" s="3" t="s">
        <v>138</v>
      </c>
      <c r="Q318" s="5" t="s">
        <v>34</v>
      </c>
      <c r="R318" s="9">
        <f t="shared" si="176"/>
        <v>9778588.4399999995</v>
      </c>
      <c r="S318" s="9">
        <v>7885579.6299999999</v>
      </c>
      <c r="T318" s="9">
        <v>1893008.81</v>
      </c>
      <c r="U318" s="9">
        <f t="shared" si="181"/>
        <v>0</v>
      </c>
      <c r="V318" s="54">
        <v>0</v>
      </c>
      <c r="W318" s="54">
        <v>0</v>
      </c>
      <c r="X318" s="9">
        <f t="shared" si="178"/>
        <v>1864825.07</v>
      </c>
      <c r="Y318" s="9">
        <v>1391572.85</v>
      </c>
      <c r="Z318" s="9">
        <v>473252.22</v>
      </c>
      <c r="AA318" s="9">
        <f t="shared" si="179"/>
        <v>0</v>
      </c>
      <c r="AB318" s="9">
        <v>0</v>
      </c>
      <c r="AC318" s="9">
        <v>0</v>
      </c>
      <c r="AD318" s="45">
        <f t="shared" si="150"/>
        <v>11643413.51</v>
      </c>
      <c r="AE318" s="9">
        <v>0</v>
      </c>
      <c r="AF318" s="9">
        <f t="shared" si="180"/>
        <v>11643413.51</v>
      </c>
      <c r="AG318" s="50" t="s">
        <v>966</v>
      </c>
      <c r="AH318" s="14" t="s">
        <v>598</v>
      </c>
      <c r="AI318" s="1">
        <v>7520803.0899999999</v>
      </c>
      <c r="AJ318" s="172">
        <v>0</v>
      </c>
    </row>
    <row r="319" spans="1:37" ht="157.5" x14ac:dyDescent="0.25">
      <c r="A319" s="5">
        <f t="shared" si="151"/>
        <v>316</v>
      </c>
      <c r="B319" s="16">
        <v>119195</v>
      </c>
      <c r="C319" s="6">
        <v>18</v>
      </c>
      <c r="D319" s="5" t="s">
        <v>143</v>
      </c>
      <c r="E319" s="25" t="s">
        <v>107</v>
      </c>
      <c r="F319" s="8" t="s">
        <v>61</v>
      </c>
      <c r="G319" s="3" t="s">
        <v>2123</v>
      </c>
      <c r="H319" s="5" t="s">
        <v>151</v>
      </c>
      <c r="I319" s="77" t="s">
        <v>62</v>
      </c>
      <c r="J319" s="2">
        <v>42464</v>
      </c>
      <c r="K319" s="2">
        <v>43528</v>
      </c>
      <c r="L319" s="17">
        <f t="shared" si="175"/>
        <v>83.983863126060598</v>
      </c>
      <c r="M319" s="5" t="s">
        <v>136</v>
      </c>
      <c r="N319" s="5" t="s">
        <v>262</v>
      </c>
      <c r="O319" s="5" t="s">
        <v>262</v>
      </c>
      <c r="P319" s="3" t="s">
        <v>138</v>
      </c>
      <c r="Q319" s="5" t="s">
        <v>34</v>
      </c>
      <c r="R319" s="9">
        <f t="shared" si="176"/>
        <v>3168878.46</v>
      </c>
      <c r="S319" s="9">
        <v>2555424.39</v>
      </c>
      <c r="T319" s="9">
        <v>613454.06999999995</v>
      </c>
      <c r="U319" s="9">
        <f t="shared" si="181"/>
        <v>0</v>
      </c>
      <c r="V319" s="54">
        <v>0</v>
      </c>
      <c r="W319" s="54">
        <v>0</v>
      </c>
      <c r="X319" s="9">
        <f t="shared" si="178"/>
        <v>604320.75</v>
      </c>
      <c r="Y319" s="9">
        <v>450957.23</v>
      </c>
      <c r="Z319" s="9">
        <v>153363.51999999999</v>
      </c>
      <c r="AA319" s="9">
        <f t="shared" si="179"/>
        <v>0</v>
      </c>
      <c r="AB319" s="9">
        <v>0</v>
      </c>
      <c r="AC319" s="9">
        <v>0</v>
      </c>
      <c r="AD319" s="45">
        <f t="shared" si="150"/>
        <v>3773199.21</v>
      </c>
      <c r="AE319" s="9">
        <v>0</v>
      </c>
      <c r="AF319" s="9">
        <f t="shared" si="180"/>
        <v>3773199.21</v>
      </c>
      <c r="AG319" s="50" t="s">
        <v>966</v>
      </c>
      <c r="AH319" s="14" t="s">
        <v>1417</v>
      </c>
      <c r="AI319" s="1">
        <v>2945136.28</v>
      </c>
      <c r="AJ319" s="172">
        <v>0</v>
      </c>
    </row>
    <row r="320" spans="1:37" ht="189" x14ac:dyDescent="0.25">
      <c r="A320" s="5">
        <f t="shared" si="151"/>
        <v>317</v>
      </c>
      <c r="B320" s="16">
        <v>118157</v>
      </c>
      <c r="C320" s="6">
        <v>19</v>
      </c>
      <c r="D320" s="5" t="s">
        <v>143</v>
      </c>
      <c r="E320" s="25" t="s">
        <v>107</v>
      </c>
      <c r="F320" s="8" t="s">
        <v>63</v>
      </c>
      <c r="G320" s="5" t="s">
        <v>1648</v>
      </c>
      <c r="H320" s="5" t="s">
        <v>151</v>
      </c>
      <c r="I320" s="77" t="s">
        <v>64</v>
      </c>
      <c r="J320" s="2">
        <v>42446</v>
      </c>
      <c r="K320" s="2">
        <v>43541</v>
      </c>
      <c r="L320" s="17">
        <f t="shared" si="175"/>
        <v>83.983862865891041</v>
      </c>
      <c r="M320" s="5" t="s">
        <v>136</v>
      </c>
      <c r="N320" s="5" t="s">
        <v>262</v>
      </c>
      <c r="O320" s="5" t="s">
        <v>262</v>
      </c>
      <c r="P320" s="3" t="s">
        <v>138</v>
      </c>
      <c r="Q320" s="5" t="s">
        <v>34</v>
      </c>
      <c r="R320" s="9">
        <f t="shared" si="176"/>
        <v>3627735.48</v>
      </c>
      <c r="S320" s="9">
        <v>2925452.6</v>
      </c>
      <c r="T320" s="9">
        <v>702282.88</v>
      </c>
      <c r="U320" s="9">
        <f t="shared" si="181"/>
        <v>0</v>
      </c>
      <c r="V320" s="54">
        <v>0</v>
      </c>
      <c r="W320" s="54">
        <v>0</v>
      </c>
      <c r="X320" s="9">
        <f t="shared" si="178"/>
        <v>691827.06</v>
      </c>
      <c r="Y320" s="9">
        <v>516256.34</v>
      </c>
      <c r="Z320" s="9">
        <v>175570.72</v>
      </c>
      <c r="AA320" s="9">
        <f t="shared" si="179"/>
        <v>0</v>
      </c>
      <c r="AB320" s="9">
        <v>0</v>
      </c>
      <c r="AC320" s="9">
        <v>0</v>
      </c>
      <c r="AD320" s="45">
        <f t="shared" si="150"/>
        <v>4319562.54</v>
      </c>
      <c r="AE320" s="9">
        <v>0</v>
      </c>
      <c r="AF320" s="9">
        <f t="shared" si="180"/>
        <v>4319562.54</v>
      </c>
      <c r="AG320" s="50" t="s">
        <v>966</v>
      </c>
      <c r="AH320" s="14" t="s">
        <v>633</v>
      </c>
      <c r="AI320" s="1">
        <v>2216294.58</v>
      </c>
      <c r="AJ320" s="172">
        <v>0</v>
      </c>
    </row>
    <row r="321" spans="1:109" ht="141.75" x14ac:dyDescent="0.25">
      <c r="A321" s="5">
        <f t="shared" si="151"/>
        <v>318</v>
      </c>
      <c r="B321" s="16">
        <v>119988</v>
      </c>
      <c r="C321" s="6">
        <v>62</v>
      </c>
      <c r="D321" s="8" t="s">
        <v>1982</v>
      </c>
      <c r="E321" s="25" t="s">
        <v>129</v>
      </c>
      <c r="F321" s="8" t="s">
        <v>131</v>
      </c>
      <c r="G321" s="5" t="s">
        <v>99</v>
      </c>
      <c r="H321" s="3" t="s">
        <v>171</v>
      </c>
      <c r="I321" s="77" t="s">
        <v>132</v>
      </c>
      <c r="J321" s="2">
        <v>43060</v>
      </c>
      <c r="K321" s="2">
        <v>44276</v>
      </c>
      <c r="L321" s="17">
        <f t="shared" si="175"/>
        <v>83.983862758059558</v>
      </c>
      <c r="M321" s="5" t="s">
        <v>136</v>
      </c>
      <c r="N321" s="5" t="s">
        <v>262</v>
      </c>
      <c r="O321" s="5" t="s">
        <v>262</v>
      </c>
      <c r="P321" s="3" t="s">
        <v>138</v>
      </c>
      <c r="Q321" s="5" t="s">
        <v>34</v>
      </c>
      <c r="R321" s="9">
        <f t="shared" si="176"/>
        <v>2116755.06</v>
      </c>
      <c r="S321" s="9">
        <v>1706978.54</v>
      </c>
      <c r="T321" s="9">
        <v>409776.52</v>
      </c>
      <c r="U321" s="9">
        <f t="shared" si="181"/>
        <v>0</v>
      </c>
      <c r="V321" s="54">
        <v>0</v>
      </c>
      <c r="W321" s="54">
        <v>0</v>
      </c>
      <c r="X321" s="9">
        <f t="shared" si="178"/>
        <v>403675.64</v>
      </c>
      <c r="Y321" s="9">
        <v>301231.5</v>
      </c>
      <c r="Z321" s="9">
        <v>102444.14</v>
      </c>
      <c r="AA321" s="9">
        <f t="shared" si="179"/>
        <v>0</v>
      </c>
      <c r="AB321" s="9">
        <v>0</v>
      </c>
      <c r="AC321" s="9">
        <v>0</v>
      </c>
      <c r="AD321" s="45">
        <f t="shared" si="150"/>
        <v>2520430.7000000002</v>
      </c>
      <c r="AE321" s="9"/>
      <c r="AF321" s="9">
        <f t="shared" si="180"/>
        <v>2520430.7000000002</v>
      </c>
      <c r="AG321" s="60" t="s">
        <v>966</v>
      </c>
      <c r="AH321" s="14" t="s">
        <v>2097</v>
      </c>
      <c r="AI321" s="1">
        <f>438530.17+107239.86+867004.39+29421.22+76833.49+304177.28</f>
        <v>1823206.41</v>
      </c>
      <c r="AJ321" s="172">
        <v>0</v>
      </c>
    </row>
    <row r="322" spans="1:109" ht="409.5" x14ac:dyDescent="0.25">
      <c r="A322" s="5">
        <f t="shared" si="151"/>
        <v>319</v>
      </c>
      <c r="B322" s="16">
        <v>118158</v>
      </c>
      <c r="C322" s="6">
        <v>21</v>
      </c>
      <c r="D322" s="5" t="s">
        <v>143</v>
      </c>
      <c r="E322" s="25" t="s">
        <v>107</v>
      </c>
      <c r="F322" s="8" t="s">
        <v>67</v>
      </c>
      <c r="G322" s="5" t="s">
        <v>1648</v>
      </c>
      <c r="H322" s="5" t="s">
        <v>376</v>
      </c>
      <c r="I322" s="77" t="s">
        <v>68</v>
      </c>
      <c r="J322" s="2">
        <v>42516</v>
      </c>
      <c r="K322" s="2">
        <v>43703</v>
      </c>
      <c r="L322" s="17">
        <f t="shared" si="175"/>
        <v>83.983862895923082</v>
      </c>
      <c r="M322" s="5" t="s">
        <v>136</v>
      </c>
      <c r="N322" s="5" t="s">
        <v>262</v>
      </c>
      <c r="O322" s="5" t="s">
        <v>262</v>
      </c>
      <c r="P322" s="3" t="s">
        <v>138</v>
      </c>
      <c r="Q322" s="5" t="s">
        <v>34</v>
      </c>
      <c r="R322" s="9">
        <f t="shared" si="176"/>
        <v>11413787.699999999</v>
      </c>
      <c r="S322" s="9">
        <v>9204225.3699999992</v>
      </c>
      <c r="T322" s="9">
        <v>2209562.33</v>
      </c>
      <c r="U322" s="9">
        <f t="shared" si="181"/>
        <v>0</v>
      </c>
      <c r="V322" s="54">
        <v>0</v>
      </c>
      <c r="W322" s="54">
        <v>0</v>
      </c>
      <c r="X322" s="9">
        <f t="shared" si="178"/>
        <v>2176665.64</v>
      </c>
      <c r="Y322" s="9">
        <v>1624275.04</v>
      </c>
      <c r="Z322" s="9">
        <v>552390.6</v>
      </c>
      <c r="AA322" s="9">
        <f t="shared" si="179"/>
        <v>0</v>
      </c>
      <c r="AB322" s="9">
        <v>0</v>
      </c>
      <c r="AC322" s="9">
        <v>0</v>
      </c>
      <c r="AD322" s="45">
        <f t="shared" si="150"/>
        <v>13590453.34</v>
      </c>
      <c r="AE322" s="9">
        <v>16355.96</v>
      </c>
      <c r="AF322" s="9">
        <f t="shared" si="180"/>
        <v>13606809.300000001</v>
      </c>
      <c r="AG322" s="50" t="s">
        <v>966</v>
      </c>
      <c r="AH322" s="14" t="s">
        <v>1223</v>
      </c>
      <c r="AI322" s="1">
        <v>9335165.3400000017</v>
      </c>
      <c r="AJ322" s="172">
        <v>0</v>
      </c>
      <c r="AK322" s="75"/>
    </row>
    <row r="323" spans="1:109" ht="204.75" x14ac:dyDescent="0.25">
      <c r="A323" s="5">
        <f t="shared" si="151"/>
        <v>320</v>
      </c>
      <c r="B323" s="16">
        <v>118159</v>
      </c>
      <c r="C323" s="6">
        <v>22</v>
      </c>
      <c r="D323" s="5" t="s">
        <v>143</v>
      </c>
      <c r="E323" s="25" t="s">
        <v>107</v>
      </c>
      <c r="F323" s="8" t="s">
        <v>69</v>
      </c>
      <c r="G323" s="5" t="s">
        <v>1648</v>
      </c>
      <c r="H323" s="5" t="s">
        <v>158</v>
      </c>
      <c r="I323" s="77" t="s">
        <v>70</v>
      </c>
      <c r="J323" s="2">
        <v>42446</v>
      </c>
      <c r="K323" s="2">
        <v>43176</v>
      </c>
      <c r="L323" s="17">
        <f t="shared" si="175"/>
        <v>83.983862881462997</v>
      </c>
      <c r="M323" s="5" t="s">
        <v>136</v>
      </c>
      <c r="N323" s="5" t="s">
        <v>262</v>
      </c>
      <c r="O323" s="5" t="s">
        <v>262</v>
      </c>
      <c r="P323" s="3" t="s">
        <v>138</v>
      </c>
      <c r="Q323" s="5" t="s">
        <v>34</v>
      </c>
      <c r="R323" s="9">
        <f t="shared" si="176"/>
        <v>13490539.449999999</v>
      </c>
      <c r="S323" s="9">
        <v>10878944.699999999</v>
      </c>
      <c r="T323" s="9">
        <v>2611594.75</v>
      </c>
      <c r="U323" s="9">
        <f t="shared" si="181"/>
        <v>0</v>
      </c>
      <c r="V323" s="54">
        <v>0</v>
      </c>
      <c r="W323" s="54">
        <v>0</v>
      </c>
      <c r="X323" s="9">
        <f t="shared" si="178"/>
        <v>2572712.4500000002</v>
      </c>
      <c r="Y323" s="9">
        <v>1919813.76</v>
      </c>
      <c r="Z323" s="9">
        <v>652898.68999999994</v>
      </c>
      <c r="AA323" s="9">
        <f t="shared" si="179"/>
        <v>0</v>
      </c>
      <c r="AB323" s="9">
        <v>0</v>
      </c>
      <c r="AC323" s="9">
        <v>0</v>
      </c>
      <c r="AD323" s="45">
        <f t="shared" si="150"/>
        <v>16063251.899999999</v>
      </c>
      <c r="AE323" s="9">
        <v>0</v>
      </c>
      <c r="AF323" s="9">
        <f t="shared" si="180"/>
        <v>16063251.899999999</v>
      </c>
      <c r="AG323" s="50" t="s">
        <v>966</v>
      </c>
      <c r="AH323" s="14" t="s">
        <v>172</v>
      </c>
      <c r="AI323" s="1">
        <v>12372517.5</v>
      </c>
      <c r="AJ323" s="172">
        <v>0</v>
      </c>
    </row>
    <row r="324" spans="1:109" ht="283.5" x14ac:dyDescent="0.25">
      <c r="A324" s="5">
        <f t="shared" si="151"/>
        <v>321</v>
      </c>
      <c r="B324" s="16">
        <v>118427</v>
      </c>
      <c r="C324" s="6">
        <v>23</v>
      </c>
      <c r="D324" s="5" t="s">
        <v>143</v>
      </c>
      <c r="E324" s="25" t="s">
        <v>107</v>
      </c>
      <c r="F324" s="8" t="s">
        <v>72</v>
      </c>
      <c r="G324" s="5" t="s">
        <v>71</v>
      </c>
      <c r="H324" s="5" t="s">
        <v>151</v>
      </c>
      <c r="I324" s="77" t="s">
        <v>73</v>
      </c>
      <c r="J324" s="2">
        <v>42459</v>
      </c>
      <c r="K324" s="2">
        <v>43524</v>
      </c>
      <c r="L324" s="17">
        <f t="shared" si="175"/>
        <v>83.983862468884851</v>
      </c>
      <c r="M324" s="5" t="s">
        <v>136</v>
      </c>
      <c r="N324" s="5" t="s">
        <v>262</v>
      </c>
      <c r="O324" s="5" t="s">
        <v>262</v>
      </c>
      <c r="P324" s="3" t="s">
        <v>138</v>
      </c>
      <c r="Q324" s="5" t="s">
        <v>34</v>
      </c>
      <c r="R324" s="9">
        <f t="shared" si="176"/>
        <v>6252507.0099999998</v>
      </c>
      <c r="S324" s="9">
        <v>5042102.18</v>
      </c>
      <c r="T324" s="9">
        <v>1210404.83</v>
      </c>
      <c r="U324" s="9">
        <f t="shared" si="181"/>
        <v>0</v>
      </c>
      <c r="V324" s="54">
        <v>0</v>
      </c>
      <c r="W324" s="54">
        <v>0</v>
      </c>
      <c r="X324" s="9">
        <f t="shared" si="178"/>
        <v>1192383.98</v>
      </c>
      <c r="Y324" s="9">
        <v>889782.73</v>
      </c>
      <c r="Z324" s="9">
        <v>302601.25</v>
      </c>
      <c r="AA324" s="9">
        <f t="shared" si="179"/>
        <v>0</v>
      </c>
      <c r="AB324" s="9">
        <v>0</v>
      </c>
      <c r="AC324" s="9">
        <v>0</v>
      </c>
      <c r="AD324" s="45">
        <f t="shared" si="150"/>
        <v>7444890.9900000002</v>
      </c>
      <c r="AE324" s="9">
        <v>0</v>
      </c>
      <c r="AF324" s="9">
        <f t="shared" si="180"/>
        <v>7444890.9900000002</v>
      </c>
      <c r="AG324" s="50" t="s">
        <v>966</v>
      </c>
      <c r="AH324" s="178" t="s">
        <v>1113</v>
      </c>
      <c r="AI324" s="1">
        <v>6243692.5199999996</v>
      </c>
      <c r="AJ324" s="172">
        <v>0</v>
      </c>
    </row>
    <row r="325" spans="1:109" ht="141.75" x14ac:dyDescent="0.25">
      <c r="A325" s="5">
        <f t="shared" si="151"/>
        <v>322</v>
      </c>
      <c r="B325" s="16">
        <v>118584</v>
      </c>
      <c r="C325" s="6">
        <v>24</v>
      </c>
      <c r="D325" s="5" t="s">
        <v>143</v>
      </c>
      <c r="E325" s="25" t="s">
        <v>107</v>
      </c>
      <c r="F325" s="8" t="s">
        <v>75</v>
      </c>
      <c r="G325" s="5" t="s">
        <v>74</v>
      </c>
      <c r="H325" s="5" t="s">
        <v>151</v>
      </c>
      <c r="I325" s="77" t="s">
        <v>76</v>
      </c>
      <c r="J325" s="2">
        <v>42454</v>
      </c>
      <c r="K325" s="2">
        <v>43610</v>
      </c>
      <c r="L325" s="17">
        <f t="shared" si="175"/>
        <v>83.983862869823341</v>
      </c>
      <c r="M325" s="5" t="s">
        <v>136</v>
      </c>
      <c r="N325" s="5" t="s">
        <v>262</v>
      </c>
      <c r="O325" s="5" t="s">
        <v>262</v>
      </c>
      <c r="P325" s="3" t="s">
        <v>138</v>
      </c>
      <c r="Q325" s="5" t="s">
        <v>34</v>
      </c>
      <c r="R325" s="9">
        <f t="shared" si="176"/>
        <v>2984368.02</v>
      </c>
      <c r="S325" s="9">
        <v>2406632.79</v>
      </c>
      <c r="T325" s="9">
        <v>577735.23</v>
      </c>
      <c r="U325" s="9">
        <f t="shared" si="181"/>
        <v>0</v>
      </c>
      <c r="V325" s="54">
        <v>0</v>
      </c>
      <c r="W325" s="54">
        <v>0</v>
      </c>
      <c r="X325" s="9">
        <f t="shared" si="178"/>
        <v>569133.71</v>
      </c>
      <c r="Y325" s="9">
        <v>424699.9</v>
      </c>
      <c r="Z325" s="9">
        <v>144433.81</v>
      </c>
      <c r="AA325" s="9">
        <f t="shared" si="179"/>
        <v>0</v>
      </c>
      <c r="AB325" s="9">
        <v>0</v>
      </c>
      <c r="AC325" s="9">
        <v>0</v>
      </c>
      <c r="AD325" s="45">
        <f t="shared" ref="AD325:AD388" si="182">R325+U325+X325+AA325</f>
        <v>3553501.73</v>
      </c>
      <c r="AE325" s="9"/>
      <c r="AF325" s="9">
        <f t="shared" si="180"/>
        <v>3553501.73</v>
      </c>
      <c r="AG325" s="50" t="s">
        <v>966</v>
      </c>
      <c r="AH325" s="14" t="s">
        <v>1114</v>
      </c>
      <c r="AI325" s="1">
        <v>2743197.24</v>
      </c>
      <c r="AJ325" s="172">
        <v>0</v>
      </c>
    </row>
    <row r="326" spans="1:109" ht="141.75" x14ac:dyDescent="0.25">
      <c r="A326" s="5">
        <f t="shared" ref="A326:A389" si="183">A325+1</f>
        <v>323</v>
      </c>
      <c r="B326" s="16">
        <v>117835</v>
      </c>
      <c r="C326" s="6">
        <v>25</v>
      </c>
      <c r="D326" s="5" t="s">
        <v>143</v>
      </c>
      <c r="E326" s="25" t="s">
        <v>107</v>
      </c>
      <c r="F326" s="8" t="s">
        <v>77</v>
      </c>
      <c r="G326" s="5" t="s">
        <v>71</v>
      </c>
      <c r="H326" s="5" t="s">
        <v>169</v>
      </c>
      <c r="I326" s="77" t="s">
        <v>78</v>
      </c>
      <c r="J326" s="2">
        <v>42459</v>
      </c>
      <c r="K326" s="2">
        <v>43464</v>
      </c>
      <c r="L326" s="17">
        <f t="shared" si="175"/>
        <v>83.983862877433253</v>
      </c>
      <c r="M326" s="5" t="s">
        <v>136</v>
      </c>
      <c r="N326" s="5" t="s">
        <v>262</v>
      </c>
      <c r="O326" s="5" t="s">
        <v>262</v>
      </c>
      <c r="P326" s="3" t="s">
        <v>138</v>
      </c>
      <c r="Q326" s="5" t="s">
        <v>34</v>
      </c>
      <c r="R326" s="9">
        <f t="shared" si="176"/>
        <v>11174376.890000001</v>
      </c>
      <c r="S326" s="9">
        <v>9011161.3900000006</v>
      </c>
      <c r="T326" s="9">
        <v>2163215.5</v>
      </c>
      <c r="U326" s="9">
        <f t="shared" si="181"/>
        <v>0</v>
      </c>
      <c r="V326" s="54">
        <v>0</v>
      </c>
      <c r="W326" s="54">
        <v>0</v>
      </c>
      <c r="X326" s="9">
        <f t="shared" si="178"/>
        <v>2131008.8199999998</v>
      </c>
      <c r="Y326" s="9">
        <v>1590204.95</v>
      </c>
      <c r="Z326" s="9">
        <v>540803.87</v>
      </c>
      <c r="AA326" s="9">
        <f t="shared" si="179"/>
        <v>0</v>
      </c>
      <c r="AB326" s="9">
        <v>0</v>
      </c>
      <c r="AC326" s="9">
        <v>0</v>
      </c>
      <c r="AD326" s="45">
        <f t="shared" si="182"/>
        <v>13305385.710000001</v>
      </c>
      <c r="AE326" s="9">
        <v>0</v>
      </c>
      <c r="AF326" s="9">
        <f t="shared" si="180"/>
        <v>13305385.710000001</v>
      </c>
      <c r="AG326" s="50" t="s">
        <v>966</v>
      </c>
      <c r="AH326" s="178" t="s">
        <v>959</v>
      </c>
      <c r="AI326" s="1">
        <v>11126144.500000002</v>
      </c>
      <c r="AJ326" s="172">
        <v>0</v>
      </c>
    </row>
    <row r="327" spans="1:109" ht="189" x14ac:dyDescent="0.25">
      <c r="A327" s="5">
        <f t="shared" si="183"/>
        <v>324</v>
      </c>
      <c r="B327" s="16">
        <v>118419</v>
      </c>
      <c r="C327" s="6">
        <v>26</v>
      </c>
      <c r="D327" s="5" t="s">
        <v>143</v>
      </c>
      <c r="E327" s="25" t="s">
        <v>107</v>
      </c>
      <c r="F327" s="8" t="s">
        <v>79</v>
      </c>
      <c r="G327" s="5" t="s">
        <v>71</v>
      </c>
      <c r="H327" s="5" t="s">
        <v>151</v>
      </c>
      <c r="I327" s="77" t="s">
        <v>80</v>
      </c>
      <c r="J327" s="2">
        <v>42458</v>
      </c>
      <c r="K327" s="2">
        <v>43553</v>
      </c>
      <c r="L327" s="17">
        <f t="shared" si="175"/>
        <v>83.983862783018438</v>
      </c>
      <c r="M327" s="5" t="s">
        <v>136</v>
      </c>
      <c r="N327" s="5" t="s">
        <v>262</v>
      </c>
      <c r="O327" s="5" t="s">
        <v>262</v>
      </c>
      <c r="P327" s="3" t="s">
        <v>138</v>
      </c>
      <c r="Q327" s="5" t="s">
        <v>34</v>
      </c>
      <c r="R327" s="9">
        <f t="shared" si="176"/>
        <v>3637178.37</v>
      </c>
      <c r="S327" s="9">
        <v>2933067.47</v>
      </c>
      <c r="T327" s="9">
        <v>704110.9</v>
      </c>
      <c r="U327" s="9">
        <f t="shared" si="181"/>
        <v>0</v>
      </c>
      <c r="V327" s="54">
        <v>0</v>
      </c>
      <c r="W327" s="54">
        <v>0</v>
      </c>
      <c r="X327" s="9">
        <f t="shared" si="178"/>
        <v>693627.87</v>
      </c>
      <c r="Y327" s="9">
        <v>517600.14</v>
      </c>
      <c r="Z327" s="9">
        <v>176027.73</v>
      </c>
      <c r="AA327" s="9">
        <f t="shared" si="179"/>
        <v>0</v>
      </c>
      <c r="AB327" s="9">
        <v>0</v>
      </c>
      <c r="AC327" s="9">
        <v>0</v>
      </c>
      <c r="AD327" s="45">
        <f t="shared" si="182"/>
        <v>4330806.24</v>
      </c>
      <c r="AE327" s="9">
        <v>0</v>
      </c>
      <c r="AF327" s="9">
        <f t="shared" si="180"/>
        <v>4330806.24</v>
      </c>
      <c r="AG327" s="50" t="s">
        <v>966</v>
      </c>
      <c r="AH327" s="14" t="s">
        <v>152</v>
      </c>
      <c r="AI327" s="1">
        <v>3290066.13</v>
      </c>
      <c r="AJ327" s="172">
        <v>0</v>
      </c>
    </row>
    <row r="328" spans="1:109" ht="220.5" x14ac:dyDescent="0.25">
      <c r="A328" s="5">
        <f t="shared" si="183"/>
        <v>325</v>
      </c>
      <c r="B328" s="16">
        <v>118319</v>
      </c>
      <c r="C328" s="6">
        <v>27</v>
      </c>
      <c r="D328" s="5" t="s">
        <v>143</v>
      </c>
      <c r="E328" s="25" t="s">
        <v>107</v>
      </c>
      <c r="F328" s="8" t="s">
        <v>1409</v>
      </c>
      <c r="G328" s="5" t="s">
        <v>1591</v>
      </c>
      <c r="H328" s="5" t="s">
        <v>163</v>
      </c>
      <c r="I328" s="77" t="s">
        <v>1410</v>
      </c>
      <c r="J328" s="2">
        <v>42585</v>
      </c>
      <c r="K328" s="2">
        <v>43680</v>
      </c>
      <c r="L328" s="17">
        <f t="shared" si="175"/>
        <v>83.983862824473448</v>
      </c>
      <c r="M328" s="5" t="s">
        <v>136</v>
      </c>
      <c r="N328" s="5" t="s">
        <v>262</v>
      </c>
      <c r="O328" s="5" t="s">
        <v>262</v>
      </c>
      <c r="P328" s="3" t="s">
        <v>138</v>
      </c>
      <c r="Q328" s="5" t="s">
        <v>34</v>
      </c>
      <c r="R328" s="9">
        <f t="shared" si="176"/>
        <v>17052953.060000002</v>
      </c>
      <c r="S328" s="9">
        <v>13751720.9</v>
      </c>
      <c r="T328" s="9">
        <v>3301232.16</v>
      </c>
      <c r="U328" s="9">
        <f t="shared" si="181"/>
        <v>0</v>
      </c>
      <c r="V328" s="54">
        <v>0</v>
      </c>
      <c r="W328" s="54">
        <v>0</v>
      </c>
      <c r="X328" s="9">
        <f t="shared" si="178"/>
        <v>3252082.32</v>
      </c>
      <c r="Y328" s="9">
        <v>2426774.2799999998</v>
      </c>
      <c r="Z328" s="9">
        <v>825308.04</v>
      </c>
      <c r="AA328" s="9">
        <f t="shared" si="179"/>
        <v>0</v>
      </c>
      <c r="AB328" s="9">
        <v>0</v>
      </c>
      <c r="AC328" s="9">
        <v>0</v>
      </c>
      <c r="AD328" s="45">
        <f t="shared" si="182"/>
        <v>20305035.380000003</v>
      </c>
      <c r="AE328" s="9">
        <v>0</v>
      </c>
      <c r="AF328" s="9">
        <f t="shared" si="180"/>
        <v>20305035.380000003</v>
      </c>
      <c r="AG328" s="50" t="s">
        <v>966</v>
      </c>
      <c r="AH328" s="14" t="s">
        <v>395</v>
      </c>
      <c r="AI328" s="1">
        <v>15213087.200000001</v>
      </c>
      <c r="AJ328" s="172">
        <v>0</v>
      </c>
    </row>
    <row r="329" spans="1:109" ht="220.5" x14ac:dyDescent="0.25">
      <c r="A329" s="5">
        <f t="shared" si="183"/>
        <v>326</v>
      </c>
      <c r="B329" s="16">
        <v>117834</v>
      </c>
      <c r="C329" s="6">
        <v>28</v>
      </c>
      <c r="D329" s="5" t="s">
        <v>143</v>
      </c>
      <c r="E329" s="25" t="s">
        <v>107</v>
      </c>
      <c r="F329" s="8" t="s">
        <v>81</v>
      </c>
      <c r="G329" s="5" t="s">
        <v>71</v>
      </c>
      <c r="H329" s="5" t="s">
        <v>165</v>
      </c>
      <c r="I329" s="77" t="s">
        <v>82</v>
      </c>
      <c r="J329" s="2">
        <v>42515</v>
      </c>
      <c r="K329" s="2">
        <v>44129</v>
      </c>
      <c r="L329" s="17">
        <f t="shared" si="175"/>
        <v>83.983862816553938</v>
      </c>
      <c r="M329" s="5" t="s">
        <v>136</v>
      </c>
      <c r="N329" s="5" t="s">
        <v>262</v>
      </c>
      <c r="O329" s="5" t="s">
        <v>262</v>
      </c>
      <c r="P329" s="3" t="s">
        <v>138</v>
      </c>
      <c r="Q329" s="5" t="s">
        <v>34</v>
      </c>
      <c r="R329" s="9">
        <f t="shared" si="176"/>
        <v>36908560.93</v>
      </c>
      <c r="S329" s="9">
        <v>29763538.75</v>
      </c>
      <c r="T329" s="9">
        <v>7145022.1799999997</v>
      </c>
      <c r="U329" s="9">
        <f t="shared" si="181"/>
        <v>0</v>
      </c>
      <c r="V329" s="54">
        <v>0</v>
      </c>
      <c r="W329" s="54">
        <v>0</v>
      </c>
      <c r="X329" s="9">
        <f t="shared" si="178"/>
        <v>7038644.75</v>
      </c>
      <c r="Y329" s="9">
        <v>5252389.17</v>
      </c>
      <c r="Z329" s="9">
        <v>1786255.58</v>
      </c>
      <c r="AA329" s="9">
        <f t="shared" si="179"/>
        <v>0</v>
      </c>
      <c r="AB329" s="9">
        <v>0</v>
      </c>
      <c r="AC329" s="9">
        <v>0</v>
      </c>
      <c r="AD329" s="45">
        <f t="shared" si="182"/>
        <v>43947205.68</v>
      </c>
      <c r="AE329" s="9">
        <v>0</v>
      </c>
      <c r="AF329" s="9">
        <f t="shared" si="180"/>
        <v>43947205.68</v>
      </c>
      <c r="AG329" s="60" t="s">
        <v>966</v>
      </c>
      <c r="AH329" s="14" t="s">
        <v>1953</v>
      </c>
      <c r="AI329" s="1">
        <f>23206973.77+90624.06+102769.12+61292.35+13166305.98</f>
        <v>36627965.280000001</v>
      </c>
      <c r="AJ329" s="172">
        <v>0</v>
      </c>
    </row>
    <row r="330" spans="1:109" ht="236.25" x14ac:dyDescent="0.25">
      <c r="A330" s="5">
        <f t="shared" si="183"/>
        <v>327</v>
      </c>
      <c r="B330" s="16">
        <v>119993</v>
      </c>
      <c r="C330" s="6">
        <v>29</v>
      </c>
      <c r="D330" s="5" t="s">
        <v>143</v>
      </c>
      <c r="E330" s="25" t="s">
        <v>107</v>
      </c>
      <c r="F330" s="8" t="s">
        <v>84</v>
      </c>
      <c r="G330" s="5" t="s">
        <v>83</v>
      </c>
      <c r="H330" s="5" t="s">
        <v>170</v>
      </c>
      <c r="I330" s="77" t="s">
        <v>85</v>
      </c>
      <c r="J330" s="2">
        <v>42569</v>
      </c>
      <c r="K330" s="2">
        <v>44030</v>
      </c>
      <c r="L330" s="17">
        <f t="shared" si="175"/>
        <v>83.98386282616714</v>
      </c>
      <c r="M330" s="5" t="s">
        <v>136</v>
      </c>
      <c r="N330" s="5" t="s">
        <v>262</v>
      </c>
      <c r="O330" s="5" t="s">
        <v>262</v>
      </c>
      <c r="P330" s="3" t="s">
        <v>138</v>
      </c>
      <c r="Q330" s="5" t="s">
        <v>34</v>
      </c>
      <c r="R330" s="9">
        <f t="shared" si="176"/>
        <v>35912411.909999996</v>
      </c>
      <c r="S330" s="9">
        <v>28960231.329999998</v>
      </c>
      <c r="T330" s="9">
        <v>6952180.5800000001</v>
      </c>
      <c r="U330" s="9">
        <f t="shared" si="181"/>
        <v>0</v>
      </c>
      <c r="V330" s="54">
        <v>0</v>
      </c>
      <c r="W330" s="54">
        <v>0</v>
      </c>
      <c r="X330" s="9">
        <f t="shared" si="178"/>
        <v>6848674.209999999</v>
      </c>
      <c r="Y330" s="9">
        <v>5110629.0599999996</v>
      </c>
      <c r="Z330" s="9">
        <v>1738045.15</v>
      </c>
      <c r="AA330" s="9">
        <f t="shared" si="179"/>
        <v>0</v>
      </c>
      <c r="AB330" s="9">
        <v>0</v>
      </c>
      <c r="AC330" s="9">
        <v>0</v>
      </c>
      <c r="AD330" s="45">
        <f t="shared" si="182"/>
        <v>42761086.119999997</v>
      </c>
      <c r="AE330" s="9">
        <v>0</v>
      </c>
      <c r="AF330" s="9">
        <f t="shared" si="180"/>
        <v>42761086.119999997</v>
      </c>
      <c r="AG330" s="60" t="s">
        <v>966</v>
      </c>
      <c r="AH330" s="178" t="s">
        <v>155</v>
      </c>
      <c r="AI330" s="1">
        <v>28176.63</v>
      </c>
      <c r="AJ330" s="172">
        <v>0</v>
      </c>
    </row>
    <row r="331" spans="1:109" ht="409.5" x14ac:dyDescent="0.25">
      <c r="A331" s="5">
        <f t="shared" si="183"/>
        <v>328</v>
      </c>
      <c r="B331" s="16">
        <v>118292</v>
      </c>
      <c r="C331" s="6">
        <v>30</v>
      </c>
      <c r="D331" s="5" t="s">
        <v>143</v>
      </c>
      <c r="E331" s="25" t="s">
        <v>107</v>
      </c>
      <c r="F331" s="8" t="s">
        <v>86</v>
      </c>
      <c r="G331" s="5" t="s">
        <v>1959</v>
      </c>
      <c r="H331" s="5" t="s">
        <v>160</v>
      </c>
      <c r="I331" s="77" t="s">
        <v>87</v>
      </c>
      <c r="J331" s="2">
        <v>42446</v>
      </c>
      <c r="K331" s="2">
        <v>43237</v>
      </c>
      <c r="L331" s="17">
        <f t="shared" si="175"/>
        <v>83.983862811384185</v>
      </c>
      <c r="M331" s="5" t="s">
        <v>136</v>
      </c>
      <c r="N331" s="5" t="s">
        <v>262</v>
      </c>
      <c r="O331" s="5" t="s">
        <v>262</v>
      </c>
      <c r="P331" s="3" t="s">
        <v>138</v>
      </c>
      <c r="Q331" s="5" t="s">
        <v>34</v>
      </c>
      <c r="R331" s="9">
        <f t="shared" si="176"/>
        <v>23983572.759999998</v>
      </c>
      <c r="S331" s="9">
        <v>19340661.859999999</v>
      </c>
      <c r="T331" s="9">
        <v>4642910.9000000004</v>
      </c>
      <c r="U331" s="9">
        <f t="shared" si="181"/>
        <v>0</v>
      </c>
      <c r="V331" s="54">
        <v>0</v>
      </c>
      <c r="W331" s="54">
        <v>0</v>
      </c>
      <c r="X331" s="9">
        <f t="shared" si="178"/>
        <v>4573785.71</v>
      </c>
      <c r="Y331" s="9">
        <v>3413057.98</v>
      </c>
      <c r="Z331" s="9">
        <v>1160727.73</v>
      </c>
      <c r="AA331" s="9">
        <f t="shared" si="179"/>
        <v>0</v>
      </c>
      <c r="AB331" s="9">
        <v>0</v>
      </c>
      <c r="AC331" s="9">
        <v>0</v>
      </c>
      <c r="AD331" s="45">
        <f t="shared" si="182"/>
        <v>28557358.469999999</v>
      </c>
      <c r="AE331" s="9">
        <v>54654.13</v>
      </c>
      <c r="AF331" s="9">
        <f t="shared" si="180"/>
        <v>28612012.599999998</v>
      </c>
      <c r="AG331" s="50" t="s">
        <v>966</v>
      </c>
      <c r="AH331" s="14" t="s">
        <v>401</v>
      </c>
      <c r="AI331" s="1">
        <v>20408812.109999996</v>
      </c>
      <c r="AJ331" s="172">
        <v>0</v>
      </c>
    </row>
    <row r="332" spans="1:109" ht="141.75" x14ac:dyDescent="0.25">
      <c r="A332" s="5">
        <f t="shared" si="183"/>
        <v>329</v>
      </c>
      <c r="B332" s="16">
        <v>120208</v>
      </c>
      <c r="C332" s="5">
        <v>47</v>
      </c>
      <c r="D332" s="5" t="s">
        <v>143</v>
      </c>
      <c r="E332" s="25" t="s">
        <v>110</v>
      </c>
      <c r="F332" s="8" t="s">
        <v>600</v>
      </c>
      <c r="G332" s="3" t="s">
        <v>2091</v>
      </c>
      <c r="H332" s="5" t="s">
        <v>151</v>
      </c>
      <c r="I332" s="77" t="s">
        <v>602</v>
      </c>
      <c r="J332" s="2">
        <v>42914</v>
      </c>
      <c r="K332" s="2">
        <v>44528</v>
      </c>
      <c r="L332" s="17">
        <f t="shared" si="175"/>
        <v>83.983862845530723</v>
      </c>
      <c r="M332" s="5" t="s">
        <v>136</v>
      </c>
      <c r="N332" s="5" t="s">
        <v>262</v>
      </c>
      <c r="O332" s="5" t="s">
        <v>262</v>
      </c>
      <c r="P332" s="3" t="s">
        <v>138</v>
      </c>
      <c r="Q332" s="5" t="s">
        <v>34</v>
      </c>
      <c r="R332" s="9">
        <f t="shared" si="176"/>
        <v>6033904.6100000003</v>
      </c>
      <c r="S332" s="9">
        <v>4865818.3600000003</v>
      </c>
      <c r="T332" s="9">
        <v>1168086.25</v>
      </c>
      <c r="U332" s="9">
        <f t="shared" si="181"/>
        <v>0</v>
      </c>
      <c r="V332" s="54">
        <v>0</v>
      </c>
      <c r="W332" s="54">
        <v>0</v>
      </c>
      <c r="X332" s="9">
        <f t="shared" si="178"/>
        <v>1150695.3899999999</v>
      </c>
      <c r="Y332" s="9">
        <v>858673.83</v>
      </c>
      <c r="Z332" s="9">
        <v>292021.56</v>
      </c>
      <c r="AA332" s="9">
        <f t="shared" si="179"/>
        <v>0</v>
      </c>
      <c r="AB332" s="9">
        <v>0</v>
      </c>
      <c r="AC332" s="9">
        <v>0</v>
      </c>
      <c r="AD332" s="45">
        <f t="shared" si="182"/>
        <v>7184600</v>
      </c>
      <c r="AE332" s="9">
        <v>0</v>
      </c>
      <c r="AF332" s="9">
        <f t="shared" si="180"/>
        <v>7184600</v>
      </c>
      <c r="AG332" s="60" t="s">
        <v>515</v>
      </c>
      <c r="AH332" s="14" t="s">
        <v>2176</v>
      </c>
      <c r="AI332" s="1">
        <f>1069040.51+48010.21+146560.3+232128.61+452279.37+109842.49+80964.25+98209.55+206280.33</f>
        <v>2443315.62</v>
      </c>
      <c r="AJ332" s="172">
        <v>0</v>
      </c>
    </row>
    <row r="333" spans="1:109" ht="189" x14ac:dyDescent="0.25">
      <c r="A333" s="5">
        <f t="shared" si="183"/>
        <v>330</v>
      </c>
      <c r="B333" s="16">
        <v>119991</v>
      </c>
      <c r="C333" s="5">
        <v>48</v>
      </c>
      <c r="D333" s="5" t="s">
        <v>143</v>
      </c>
      <c r="E333" s="25" t="s">
        <v>110</v>
      </c>
      <c r="F333" s="8" t="s">
        <v>111</v>
      </c>
      <c r="G333" s="5" t="s">
        <v>83</v>
      </c>
      <c r="H333" s="5" t="s">
        <v>151</v>
      </c>
      <c r="I333" s="77" t="s">
        <v>112</v>
      </c>
      <c r="J333" s="2">
        <v>43004</v>
      </c>
      <c r="K333" s="2">
        <v>43916</v>
      </c>
      <c r="L333" s="17">
        <f t="shared" si="175"/>
        <v>83.9838628091575</v>
      </c>
      <c r="M333" s="5" t="s">
        <v>136</v>
      </c>
      <c r="N333" s="5" t="s">
        <v>262</v>
      </c>
      <c r="O333" s="5" t="s">
        <v>262</v>
      </c>
      <c r="P333" s="3" t="s">
        <v>138</v>
      </c>
      <c r="Q333" s="5" t="s">
        <v>34</v>
      </c>
      <c r="R333" s="9">
        <f t="shared" si="176"/>
        <v>12597407.540000001</v>
      </c>
      <c r="S333" s="9">
        <v>10158711.630000001</v>
      </c>
      <c r="T333" s="9">
        <v>2438695.91</v>
      </c>
      <c r="U333" s="9">
        <f t="shared" si="181"/>
        <v>0</v>
      </c>
      <c r="V333" s="54">
        <v>0</v>
      </c>
      <c r="W333" s="54">
        <v>0</v>
      </c>
      <c r="X333" s="9">
        <f t="shared" si="178"/>
        <v>2402387.7999999998</v>
      </c>
      <c r="Y333" s="9">
        <v>1792713.82</v>
      </c>
      <c r="Z333" s="9">
        <v>609673.98</v>
      </c>
      <c r="AA333" s="9">
        <f t="shared" si="179"/>
        <v>0</v>
      </c>
      <c r="AB333" s="9">
        <v>0</v>
      </c>
      <c r="AC333" s="9">
        <v>0</v>
      </c>
      <c r="AD333" s="45">
        <f t="shared" si="182"/>
        <v>14999795.34</v>
      </c>
      <c r="AE333" s="9">
        <v>2999990</v>
      </c>
      <c r="AF333" s="9">
        <f t="shared" si="180"/>
        <v>17999785.34</v>
      </c>
      <c r="AG333" s="60" t="s">
        <v>966</v>
      </c>
      <c r="AH333" s="51" t="s">
        <v>151</v>
      </c>
      <c r="AI333" s="1">
        <v>0</v>
      </c>
      <c r="AJ333" s="179">
        <v>0</v>
      </c>
    </row>
    <row r="334" spans="1:109" s="176" customFormat="1" ht="252" x14ac:dyDescent="0.25">
      <c r="A334" s="5">
        <f t="shared" si="183"/>
        <v>331</v>
      </c>
      <c r="B334" s="16">
        <v>119992</v>
      </c>
      <c r="C334" s="5">
        <v>49</v>
      </c>
      <c r="D334" s="5" t="s">
        <v>143</v>
      </c>
      <c r="E334" s="25" t="s">
        <v>110</v>
      </c>
      <c r="F334" s="8" t="s">
        <v>113</v>
      </c>
      <c r="G334" s="5" t="s">
        <v>83</v>
      </c>
      <c r="H334" s="5" t="s">
        <v>151</v>
      </c>
      <c r="I334" s="77" t="s">
        <v>114</v>
      </c>
      <c r="J334" s="2">
        <v>43004</v>
      </c>
      <c r="K334" s="2">
        <v>43916</v>
      </c>
      <c r="L334" s="17">
        <f t="shared" si="175"/>
        <v>83.98386278575461</v>
      </c>
      <c r="M334" s="5" t="s">
        <v>136</v>
      </c>
      <c r="N334" s="5" t="s">
        <v>262</v>
      </c>
      <c r="O334" s="5" t="s">
        <v>262</v>
      </c>
      <c r="P334" s="3" t="s">
        <v>138</v>
      </c>
      <c r="Q334" s="5" t="s">
        <v>34</v>
      </c>
      <c r="R334" s="9">
        <f t="shared" si="176"/>
        <v>11755282.280000001</v>
      </c>
      <c r="S334" s="9">
        <v>9479610.9800000004</v>
      </c>
      <c r="T334" s="9">
        <v>2275671.2999999998</v>
      </c>
      <c r="U334" s="9">
        <f t="shared" si="181"/>
        <v>0</v>
      </c>
      <c r="V334" s="54">
        <v>0</v>
      </c>
      <c r="W334" s="54">
        <v>0</v>
      </c>
      <c r="X334" s="9">
        <f t="shared" si="178"/>
        <v>2241790.36</v>
      </c>
      <c r="Y334" s="9">
        <v>1672872.53</v>
      </c>
      <c r="Z334" s="9">
        <v>568917.82999999996</v>
      </c>
      <c r="AA334" s="9">
        <f t="shared" si="179"/>
        <v>0</v>
      </c>
      <c r="AB334" s="9">
        <v>0</v>
      </c>
      <c r="AC334" s="9">
        <v>0</v>
      </c>
      <c r="AD334" s="45">
        <f t="shared" si="182"/>
        <v>13997072.640000001</v>
      </c>
      <c r="AE334" s="9">
        <v>0</v>
      </c>
      <c r="AF334" s="9">
        <f t="shared" si="180"/>
        <v>13997072.640000001</v>
      </c>
      <c r="AG334" s="60" t="s">
        <v>966</v>
      </c>
      <c r="AH334" s="51" t="s">
        <v>151</v>
      </c>
      <c r="AI334" s="1">
        <v>0</v>
      </c>
      <c r="AJ334" s="179">
        <v>0</v>
      </c>
    </row>
    <row r="335" spans="1:109" s="176" customFormat="1" ht="173.25" x14ac:dyDescent="0.25">
      <c r="A335" s="5">
        <f t="shared" si="183"/>
        <v>332</v>
      </c>
      <c r="B335" s="16">
        <v>119731</v>
      </c>
      <c r="C335" s="5">
        <v>51</v>
      </c>
      <c r="D335" s="5" t="s">
        <v>143</v>
      </c>
      <c r="E335" s="25" t="s">
        <v>110</v>
      </c>
      <c r="F335" s="8" t="s">
        <v>115</v>
      </c>
      <c r="G335" s="5" t="s">
        <v>55</v>
      </c>
      <c r="H335" s="5" t="s">
        <v>151</v>
      </c>
      <c r="I335" s="77" t="s">
        <v>116</v>
      </c>
      <c r="J335" s="2">
        <v>42956</v>
      </c>
      <c r="K335" s="2">
        <v>44782</v>
      </c>
      <c r="L335" s="17">
        <f t="shared" si="175"/>
        <v>83.983862780427785</v>
      </c>
      <c r="M335" s="5" t="s">
        <v>136</v>
      </c>
      <c r="N335" s="5" t="s">
        <v>262</v>
      </c>
      <c r="O335" s="5" t="s">
        <v>262</v>
      </c>
      <c r="P335" s="3" t="s">
        <v>138</v>
      </c>
      <c r="Q335" s="5" t="s">
        <v>34</v>
      </c>
      <c r="R335" s="9">
        <f t="shared" si="176"/>
        <v>10449475.91</v>
      </c>
      <c r="S335" s="9">
        <v>8426591.9100000001</v>
      </c>
      <c r="T335" s="9">
        <v>2022884</v>
      </c>
      <c r="U335" s="9">
        <f t="shared" si="181"/>
        <v>0</v>
      </c>
      <c r="V335" s="54">
        <v>0</v>
      </c>
      <c r="W335" s="54">
        <v>0</v>
      </c>
      <c r="X335" s="9">
        <f t="shared" si="178"/>
        <v>1992766.64</v>
      </c>
      <c r="Y335" s="9">
        <v>1487045.64</v>
      </c>
      <c r="Z335" s="9">
        <v>505721</v>
      </c>
      <c r="AA335" s="9">
        <f t="shared" si="179"/>
        <v>0</v>
      </c>
      <c r="AB335" s="9">
        <v>0</v>
      </c>
      <c r="AC335" s="9">
        <v>0</v>
      </c>
      <c r="AD335" s="45">
        <f t="shared" si="182"/>
        <v>12442242.550000001</v>
      </c>
      <c r="AE335" s="9">
        <v>0</v>
      </c>
      <c r="AF335" s="9">
        <f t="shared" si="180"/>
        <v>12442242.550000001</v>
      </c>
      <c r="AG335" s="60" t="s">
        <v>515</v>
      </c>
      <c r="AH335" s="14" t="s">
        <v>2102</v>
      </c>
      <c r="AI335" s="1">
        <f>751571.65+520506.47+372497.42+168509.52+160669.36+74116.93</f>
        <v>2047871.3499999999</v>
      </c>
      <c r="AJ335" s="179">
        <v>0</v>
      </c>
    </row>
    <row r="336" spans="1:109" s="176" customFormat="1" ht="220.5" x14ac:dyDescent="0.25">
      <c r="A336" s="5">
        <f t="shared" si="183"/>
        <v>333</v>
      </c>
      <c r="B336" s="16">
        <v>119741</v>
      </c>
      <c r="C336" s="6">
        <v>63</v>
      </c>
      <c r="D336" s="8" t="s">
        <v>1982</v>
      </c>
      <c r="E336" s="25" t="s">
        <v>129</v>
      </c>
      <c r="F336" s="8" t="s">
        <v>134</v>
      </c>
      <c r="G336" s="5" t="s">
        <v>133</v>
      </c>
      <c r="H336" s="5" t="s">
        <v>151</v>
      </c>
      <c r="I336" s="77" t="s">
        <v>135</v>
      </c>
      <c r="J336" s="2">
        <v>43063</v>
      </c>
      <c r="K336" s="2">
        <v>44189</v>
      </c>
      <c r="L336" s="17">
        <f t="shared" si="175"/>
        <v>83.983863432139401</v>
      </c>
      <c r="M336" s="5" t="s">
        <v>136</v>
      </c>
      <c r="N336" s="5" t="s">
        <v>262</v>
      </c>
      <c r="O336" s="5" t="s">
        <v>262</v>
      </c>
      <c r="P336" s="3" t="s">
        <v>138</v>
      </c>
      <c r="Q336" s="5" t="s">
        <v>34</v>
      </c>
      <c r="R336" s="9">
        <f t="shared" si="176"/>
        <v>2142489.5299999998</v>
      </c>
      <c r="S336" s="9">
        <v>1727731.1199999994</v>
      </c>
      <c r="T336" s="9">
        <v>414758.41000000021</v>
      </c>
      <c r="U336" s="9">
        <f t="shared" si="181"/>
        <v>0</v>
      </c>
      <c r="V336" s="54">
        <v>0</v>
      </c>
      <c r="W336" s="54">
        <v>0</v>
      </c>
      <c r="X336" s="9">
        <f t="shared" si="178"/>
        <v>408583.31</v>
      </c>
      <c r="Y336" s="9">
        <v>304893.74</v>
      </c>
      <c r="Z336" s="9">
        <v>103689.57</v>
      </c>
      <c r="AA336" s="9">
        <f t="shared" si="179"/>
        <v>0</v>
      </c>
      <c r="AB336" s="9">
        <v>0</v>
      </c>
      <c r="AC336" s="9">
        <v>0</v>
      </c>
      <c r="AD336" s="45">
        <f t="shared" si="182"/>
        <v>2551072.84</v>
      </c>
      <c r="AE336" s="9">
        <v>0</v>
      </c>
      <c r="AF336" s="9">
        <f t="shared" si="180"/>
        <v>2551072.84</v>
      </c>
      <c r="AG336" s="60" t="s">
        <v>966</v>
      </c>
      <c r="AH336" s="14" t="s">
        <v>2028</v>
      </c>
      <c r="AI336" s="1">
        <f>1030343.44+458119.11+71702.9</f>
        <v>1560165.4499999997</v>
      </c>
      <c r="AJ336" s="179">
        <v>0</v>
      </c>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row>
    <row r="337" spans="1:36" s="176" customFormat="1" ht="267.75" x14ac:dyDescent="0.25">
      <c r="A337" s="5">
        <f t="shared" si="183"/>
        <v>334</v>
      </c>
      <c r="B337" s="16">
        <v>119983</v>
      </c>
      <c r="C337" s="6">
        <v>58</v>
      </c>
      <c r="D337" s="5" t="s">
        <v>143</v>
      </c>
      <c r="E337" s="25" t="s">
        <v>110</v>
      </c>
      <c r="F337" s="8" t="s">
        <v>120</v>
      </c>
      <c r="G337" s="5" t="s">
        <v>1648</v>
      </c>
      <c r="H337" s="5" t="s">
        <v>159</v>
      </c>
      <c r="I337" s="77" t="s">
        <v>121</v>
      </c>
      <c r="J337" s="2">
        <v>42963</v>
      </c>
      <c r="K337" s="2">
        <v>44789</v>
      </c>
      <c r="L337" s="17">
        <f t="shared" si="175"/>
        <v>83.983863145848687</v>
      </c>
      <c r="M337" s="5" t="s">
        <v>136</v>
      </c>
      <c r="N337" s="5" t="s">
        <v>262</v>
      </c>
      <c r="O337" s="5" t="s">
        <v>262</v>
      </c>
      <c r="P337" s="3" t="s">
        <v>138</v>
      </c>
      <c r="Q337" s="5" t="s">
        <v>34</v>
      </c>
      <c r="R337" s="9">
        <f t="shared" ref="R337:R368" si="184">S337+T337</f>
        <v>7929466.1100000003</v>
      </c>
      <c r="S337" s="9">
        <v>6394423.5700000003</v>
      </c>
      <c r="T337" s="9">
        <v>1535042.54</v>
      </c>
      <c r="U337" s="9">
        <f t="shared" si="181"/>
        <v>0</v>
      </c>
      <c r="V337" s="54">
        <v>0</v>
      </c>
      <c r="W337" s="54">
        <v>0</v>
      </c>
      <c r="X337" s="9">
        <f t="shared" ref="X337:X368" si="185">Y337+Z337</f>
        <v>1512188.29</v>
      </c>
      <c r="Y337" s="9">
        <v>1128427.6499999999</v>
      </c>
      <c r="Z337" s="9">
        <v>383760.64000000001</v>
      </c>
      <c r="AA337" s="9">
        <f t="shared" ref="AA337:AA368" si="186">AB337+AC337</f>
        <v>0</v>
      </c>
      <c r="AB337" s="9">
        <v>0</v>
      </c>
      <c r="AC337" s="9">
        <v>0</v>
      </c>
      <c r="AD337" s="45">
        <f t="shared" si="182"/>
        <v>9441654.4000000004</v>
      </c>
      <c r="AE337" s="9">
        <v>655333</v>
      </c>
      <c r="AF337" s="9">
        <f t="shared" ref="AF337:AF368" si="187">AD337+AE337</f>
        <v>10096987.4</v>
      </c>
      <c r="AG337" s="60" t="s">
        <v>515</v>
      </c>
      <c r="AH337" s="14" t="s">
        <v>2222</v>
      </c>
      <c r="AI337" s="1">
        <f>27068+159937+61959.1+719797.57+221414.47+187753.57+107980.58+122867.55</f>
        <v>1608777.84</v>
      </c>
      <c r="AJ337" s="179">
        <v>0</v>
      </c>
    </row>
    <row r="338" spans="1:36" ht="267.75" x14ac:dyDescent="0.25">
      <c r="A338" s="5">
        <f t="shared" si="183"/>
        <v>335</v>
      </c>
      <c r="B338" s="16">
        <v>119957</v>
      </c>
      <c r="C338" s="6">
        <v>136</v>
      </c>
      <c r="D338" s="5" t="s">
        <v>146</v>
      </c>
      <c r="E338" s="25" t="s">
        <v>126</v>
      </c>
      <c r="F338" s="8" t="s">
        <v>127</v>
      </c>
      <c r="G338" s="5" t="s">
        <v>74</v>
      </c>
      <c r="H338" s="5" t="s">
        <v>1608</v>
      </c>
      <c r="I338" s="77" t="s">
        <v>128</v>
      </c>
      <c r="J338" s="2">
        <v>43047</v>
      </c>
      <c r="K338" s="2">
        <v>44689</v>
      </c>
      <c r="L338" s="17">
        <f t="shared" si="175"/>
        <v>83.983862817182768</v>
      </c>
      <c r="M338" s="5" t="s">
        <v>136</v>
      </c>
      <c r="N338" s="5" t="s">
        <v>262</v>
      </c>
      <c r="O338" s="5" t="s">
        <v>262</v>
      </c>
      <c r="P338" s="3" t="s">
        <v>138</v>
      </c>
      <c r="Q338" s="5" t="s">
        <v>34</v>
      </c>
      <c r="R338" s="9">
        <f t="shared" si="184"/>
        <v>30125053.869999997</v>
      </c>
      <c r="S338" s="9">
        <v>24293231.27</v>
      </c>
      <c r="T338" s="9">
        <v>5831822.5999999996</v>
      </c>
      <c r="U338" s="9">
        <f t="shared" si="181"/>
        <v>0</v>
      </c>
      <c r="V338" s="54">
        <v>0</v>
      </c>
      <c r="W338" s="54">
        <v>0</v>
      </c>
      <c r="X338" s="9">
        <f t="shared" si="185"/>
        <v>5744996.4699999997</v>
      </c>
      <c r="Y338" s="9">
        <v>4287040.8499999996</v>
      </c>
      <c r="Z338" s="9">
        <v>1457955.62</v>
      </c>
      <c r="AA338" s="9">
        <f t="shared" si="186"/>
        <v>0</v>
      </c>
      <c r="AB338" s="9">
        <v>0</v>
      </c>
      <c r="AC338" s="9">
        <v>0</v>
      </c>
      <c r="AD338" s="45">
        <f t="shared" si="182"/>
        <v>35870050.339999996</v>
      </c>
      <c r="AE338" s="9">
        <v>0</v>
      </c>
      <c r="AF338" s="9">
        <f t="shared" si="187"/>
        <v>35870050.339999996</v>
      </c>
      <c r="AG338" s="60" t="s">
        <v>515</v>
      </c>
      <c r="AH338" s="14" t="s">
        <v>2183</v>
      </c>
      <c r="AI338" s="1">
        <f>2761684.65+10585240.81+72837.53+264408.01+275499.82+1926939.26+6815712.67+179426.49+175361.67</f>
        <v>23057110.91</v>
      </c>
      <c r="AJ338" s="179">
        <v>0</v>
      </c>
    </row>
    <row r="339" spans="1:36" ht="141.75" x14ac:dyDescent="0.25">
      <c r="A339" s="5">
        <f t="shared" si="183"/>
        <v>336</v>
      </c>
      <c r="B339" s="16">
        <v>110215</v>
      </c>
      <c r="C339" s="6">
        <v>139</v>
      </c>
      <c r="D339" s="5" t="s">
        <v>143</v>
      </c>
      <c r="E339" s="18" t="s">
        <v>271</v>
      </c>
      <c r="F339" s="3" t="s">
        <v>941</v>
      </c>
      <c r="G339" s="3" t="s">
        <v>942</v>
      </c>
      <c r="H339" s="5" t="s">
        <v>296</v>
      </c>
      <c r="I339" s="15" t="s">
        <v>943</v>
      </c>
      <c r="J339" s="2">
        <v>43357</v>
      </c>
      <c r="K339" s="2">
        <v>43844</v>
      </c>
      <c r="L339" s="17">
        <f t="shared" si="175"/>
        <v>82.304183894733001</v>
      </c>
      <c r="M339" s="5" t="s">
        <v>273</v>
      </c>
      <c r="N339" s="5" t="s">
        <v>944</v>
      </c>
      <c r="O339" s="5" t="s">
        <v>944</v>
      </c>
      <c r="P339" s="3" t="s">
        <v>275</v>
      </c>
      <c r="Q339" s="19" t="s">
        <v>34</v>
      </c>
      <c r="R339" s="9">
        <f t="shared" si="184"/>
        <v>799287.37</v>
      </c>
      <c r="S339" s="9">
        <v>644555.61</v>
      </c>
      <c r="T339" s="9">
        <v>154731.76</v>
      </c>
      <c r="U339" s="9">
        <f t="shared" si="181"/>
        <v>152428.06</v>
      </c>
      <c r="V339" s="54">
        <v>113745.12</v>
      </c>
      <c r="W339" s="54">
        <v>38682.94</v>
      </c>
      <c r="X339" s="9">
        <f t="shared" si="185"/>
        <v>0</v>
      </c>
      <c r="Y339" s="9">
        <v>0</v>
      </c>
      <c r="Z339" s="9">
        <v>0</v>
      </c>
      <c r="AA339" s="9">
        <f t="shared" si="186"/>
        <v>19422.77</v>
      </c>
      <c r="AB339" s="9">
        <v>15475.55</v>
      </c>
      <c r="AC339" s="9">
        <v>3947.22</v>
      </c>
      <c r="AD339" s="45">
        <f t="shared" si="182"/>
        <v>971138.2</v>
      </c>
      <c r="AE339" s="9">
        <v>0</v>
      </c>
      <c r="AF339" s="9">
        <f t="shared" si="187"/>
        <v>971138.2</v>
      </c>
      <c r="AG339" s="60" t="s">
        <v>966</v>
      </c>
      <c r="AH339" s="14" t="s">
        <v>1398</v>
      </c>
      <c r="AI339" s="1">
        <f>97000-12225.11+76329.94+54447.72+71579.61+92674.11+104473.49+126688.56+96579.85-13634.34-3831.78</f>
        <v>690082.05</v>
      </c>
      <c r="AJ339" s="172">
        <f>12225.11+10383.44+13650.58+17673.4+19923.6+24160.13+18418.25+13634.34+1533.19</f>
        <v>131602.04</v>
      </c>
    </row>
    <row r="340" spans="1:36" ht="141.75" x14ac:dyDescent="0.25">
      <c r="A340" s="5">
        <f t="shared" si="183"/>
        <v>337</v>
      </c>
      <c r="B340" s="16">
        <v>111983</v>
      </c>
      <c r="C340" s="6">
        <v>238</v>
      </c>
      <c r="D340" s="5" t="s">
        <v>143</v>
      </c>
      <c r="E340" s="18" t="s">
        <v>271</v>
      </c>
      <c r="F340" s="18" t="s">
        <v>546</v>
      </c>
      <c r="G340" s="5" t="s">
        <v>547</v>
      </c>
      <c r="H340" s="5" t="s">
        <v>362</v>
      </c>
      <c r="I340" s="42" t="s">
        <v>548</v>
      </c>
      <c r="J340" s="2">
        <v>43270</v>
      </c>
      <c r="K340" s="2">
        <v>43880</v>
      </c>
      <c r="L340" s="17">
        <f t="shared" si="175"/>
        <v>82.304184684756876</v>
      </c>
      <c r="M340" s="5" t="s">
        <v>273</v>
      </c>
      <c r="N340" s="5" t="s">
        <v>262</v>
      </c>
      <c r="O340" s="5" t="s">
        <v>262</v>
      </c>
      <c r="P340" s="3" t="s">
        <v>275</v>
      </c>
      <c r="Q340" s="5" t="s">
        <v>34</v>
      </c>
      <c r="R340" s="9">
        <f t="shared" si="184"/>
        <v>768299.49</v>
      </c>
      <c r="S340" s="9">
        <v>619566.6</v>
      </c>
      <c r="T340" s="9">
        <v>148732.89000000001</v>
      </c>
      <c r="U340" s="9">
        <f t="shared" si="181"/>
        <v>146518.51</v>
      </c>
      <c r="V340" s="54">
        <v>109335.29</v>
      </c>
      <c r="W340" s="54">
        <v>37183.22</v>
      </c>
      <c r="X340" s="9">
        <f t="shared" si="185"/>
        <v>0</v>
      </c>
      <c r="Y340" s="9">
        <v>0</v>
      </c>
      <c r="Z340" s="9">
        <v>0</v>
      </c>
      <c r="AA340" s="9">
        <f t="shared" si="186"/>
        <v>18669.759999999998</v>
      </c>
      <c r="AB340" s="9">
        <v>14875.55</v>
      </c>
      <c r="AC340" s="9">
        <v>3794.21</v>
      </c>
      <c r="AD340" s="45">
        <f t="shared" si="182"/>
        <v>933487.76</v>
      </c>
      <c r="AE340" s="9">
        <v>0</v>
      </c>
      <c r="AF340" s="9">
        <f t="shared" si="187"/>
        <v>933487.76</v>
      </c>
      <c r="AG340" s="60" t="s">
        <v>966</v>
      </c>
      <c r="AH340" s="14" t="s">
        <v>1642</v>
      </c>
      <c r="AI340" s="1">
        <f>412300.12+97046.16+93000+18147.29+37314.74</f>
        <v>657808.31000000006</v>
      </c>
      <c r="AJ340" s="172">
        <f>11017.56+15316.94+17051+17506.62+36242.76+21196.3+7116.12</f>
        <v>125447.3</v>
      </c>
    </row>
    <row r="341" spans="1:36" ht="204.75" x14ac:dyDescent="0.25">
      <c r="A341" s="5">
        <f t="shared" si="183"/>
        <v>338</v>
      </c>
      <c r="B341" s="16">
        <v>115784</v>
      </c>
      <c r="C341" s="5">
        <v>388</v>
      </c>
      <c r="D341" s="30" t="s">
        <v>143</v>
      </c>
      <c r="E341" s="180" t="s">
        <v>385</v>
      </c>
      <c r="F341" s="18" t="s">
        <v>701</v>
      </c>
      <c r="G341" s="63" t="s">
        <v>2088</v>
      </c>
      <c r="H341" s="5" t="s">
        <v>296</v>
      </c>
      <c r="I341" s="15" t="s">
        <v>702</v>
      </c>
      <c r="J341" s="2">
        <v>43297</v>
      </c>
      <c r="K341" s="2">
        <v>44393</v>
      </c>
      <c r="L341" s="17">
        <f t="shared" si="175"/>
        <v>83.98386387291859</v>
      </c>
      <c r="M341" s="5" t="s">
        <v>273</v>
      </c>
      <c r="N341" s="5" t="s">
        <v>262</v>
      </c>
      <c r="O341" s="5" t="s">
        <v>262</v>
      </c>
      <c r="P341" s="3" t="s">
        <v>138</v>
      </c>
      <c r="Q341" s="5" t="s">
        <v>34</v>
      </c>
      <c r="R341" s="9">
        <f t="shared" si="184"/>
        <v>2474673.11</v>
      </c>
      <c r="S341" s="9">
        <v>1995608.26</v>
      </c>
      <c r="T341" s="9">
        <v>479064.85</v>
      </c>
      <c r="U341" s="9">
        <f t="shared" si="181"/>
        <v>0</v>
      </c>
      <c r="V341" s="54">
        <v>0</v>
      </c>
      <c r="W341" s="54">
        <v>0</v>
      </c>
      <c r="X341" s="9">
        <f t="shared" si="185"/>
        <v>471932.34</v>
      </c>
      <c r="Y341" s="9">
        <v>352166.13</v>
      </c>
      <c r="Z341" s="9">
        <v>119766.21</v>
      </c>
      <c r="AA341" s="9">
        <f t="shared" si="186"/>
        <v>0</v>
      </c>
      <c r="AB341" s="9">
        <v>0</v>
      </c>
      <c r="AC341" s="9">
        <v>0</v>
      </c>
      <c r="AD341" s="45">
        <f t="shared" si="182"/>
        <v>2946605.4499999997</v>
      </c>
      <c r="AE341" s="9">
        <v>0</v>
      </c>
      <c r="AF341" s="9">
        <f t="shared" si="187"/>
        <v>2946605.4499999997</v>
      </c>
      <c r="AG341" s="60" t="s">
        <v>966</v>
      </c>
      <c r="AH341" s="14" t="s">
        <v>1965</v>
      </c>
      <c r="AI341" s="1">
        <f>547571.35+72285.77+349506.55+195854.16</f>
        <v>1165217.8299999998</v>
      </c>
      <c r="AJ341" s="172">
        <v>0</v>
      </c>
    </row>
    <row r="342" spans="1:36" ht="141.75" x14ac:dyDescent="0.25">
      <c r="A342" s="5">
        <f t="shared" si="183"/>
        <v>339</v>
      </c>
      <c r="B342" s="16">
        <v>120082</v>
      </c>
      <c r="C342" s="6">
        <v>56</v>
      </c>
      <c r="D342" s="5" t="s">
        <v>145</v>
      </c>
      <c r="E342" s="25" t="s">
        <v>123</v>
      </c>
      <c r="F342" s="8" t="s">
        <v>124</v>
      </c>
      <c r="G342" s="5" t="s">
        <v>122</v>
      </c>
      <c r="H342" s="5" t="s">
        <v>167</v>
      </c>
      <c r="I342" s="77" t="s">
        <v>125</v>
      </c>
      <c r="J342" s="2">
        <v>43006</v>
      </c>
      <c r="K342" s="2">
        <v>44770</v>
      </c>
      <c r="L342" s="17">
        <f t="shared" si="175"/>
        <v>83.98386279749451</v>
      </c>
      <c r="M342" s="5" t="s">
        <v>136</v>
      </c>
      <c r="N342" s="5" t="s">
        <v>262</v>
      </c>
      <c r="O342" s="5" t="s">
        <v>262</v>
      </c>
      <c r="P342" s="3" t="s">
        <v>138</v>
      </c>
      <c r="Q342" s="5" t="s">
        <v>34</v>
      </c>
      <c r="R342" s="9">
        <f t="shared" si="184"/>
        <v>5145385.2700000005</v>
      </c>
      <c r="S342" s="9">
        <v>4149304.93</v>
      </c>
      <c r="T342" s="9">
        <v>996080.34</v>
      </c>
      <c r="U342" s="9">
        <f t="shared" si="181"/>
        <v>0</v>
      </c>
      <c r="V342" s="54">
        <v>0</v>
      </c>
      <c r="W342" s="54">
        <v>0</v>
      </c>
      <c r="X342" s="9">
        <f t="shared" si="185"/>
        <v>981250.37</v>
      </c>
      <c r="Y342" s="9">
        <v>732230.28</v>
      </c>
      <c r="Z342" s="9">
        <v>249020.09</v>
      </c>
      <c r="AA342" s="9">
        <f t="shared" si="186"/>
        <v>0</v>
      </c>
      <c r="AB342" s="9">
        <v>0</v>
      </c>
      <c r="AC342" s="9">
        <v>0</v>
      </c>
      <c r="AD342" s="45">
        <f t="shared" si="182"/>
        <v>6126635.6400000006</v>
      </c>
      <c r="AE342" s="9">
        <v>0</v>
      </c>
      <c r="AF342" s="9">
        <f t="shared" si="187"/>
        <v>6126635.6400000006</v>
      </c>
      <c r="AG342" s="60" t="s">
        <v>515</v>
      </c>
      <c r="AH342" s="51" t="s">
        <v>2168</v>
      </c>
      <c r="AI342" s="1">
        <f>15818.36+6578.46+48495.02+338393.1+955095.55+38821.54</f>
        <v>1403202.03</v>
      </c>
      <c r="AJ342" s="172">
        <v>0</v>
      </c>
    </row>
    <row r="343" spans="1:36" ht="141.75" x14ac:dyDescent="0.25">
      <c r="A343" s="5">
        <f t="shared" si="183"/>
        <v>340</v>
      </c>
      <c r="B343" s="16">
        <v>120126</v>
      </c>
      <c r="C343" s="6">
        <v>57</v>
      </c>
      <c r="D343" s="5" t="s">
        <v>145</v>
      </c>
      <c r="E343" s="25" t="s">
        <v>123</v>
      </c>
      <c r="F343" s="8" t="s">
        <v>102</v>
      </c>
      <c r="G343" s="5" t="s">
        <v>99</v>
      </c>
      <c r="H343" s="5" t="s">
        <v>151</v>
      </c>
      <c r="I343" s="77" t="s">
        <v>103</v>
      </c>
      <c r="J343" s="2">
        <v>43060</v>
      </c>
      <c r="K343" s="2">
        <v>44398</v>
      </c>
      <c r="L343" s="17">
        <f t="shared" si="175"/>
        <v>83.983863040591004</v>
      </c>
      <c r="M343" s="5" t="s">
        <v>136</v>
      </c>
      <c r="N343" s="5" t="s">
        <v>262</v>
      </c>
      <c r="O343" s="5" t="s">
        <v>262</v>
      </c>
      <c r="P343" s="3" t="s">
        <v>138</v>
      </c>
      <c r="Q343" s="5" t="s">
        <v>34</v>
      </c>
      <c r="R343" s="9">
        <f t="shared" si="184"/>
        <v>2709276.17</v>
      </c>
      <c r="S343" s="9">
        <v>2184795.1800000002</v>
      </c>
      <c r="T343" s="9">
        <v>524480.99</v>
      </c>
      <c r="U343" s="9">
        <f t="shared" si="181"/>
        <v>0</v>
      </c>
      <c r="V343" s="54">
        <v>0</v>
      </c>
      <c r="W343" s="54">
        <v>0</v>
      </c>
      <c r="X343" s="9">
        <f t="shared" si="185"/>
        <v>516672.33</v>
      </c>
      <c r="Y343" s="9">
        <v>385552.09</v>
      </c>
      <c r="Z343" s="9">
        <v>131120.24</v>
      </c>
      <c r="AA343" s="9">
        <f t="shared" si="186"/>
        <v>0</v>
      </c>
      <c r="AB343" s="9">
        <v>0</v>
      </c>
      <c r="AC343" s="9">
        <v>0</v>
      </c>
      <c r="AD343" s="45">
        <f t="shared" si="182"/>
        <v>3225948.5</v>
      </c>
      <c r="AE343" s="9">
        <v>0</v>
      </c>
      <c r="AF343" s="9">
        <f t="shared" si="187"/>
        <v>3225948.5</v>
      </c>
      <c r="AG343" s="60" t="s">
        <v>966</v>
      </c>
      <c r="AH343" s="181" t="s">
        <v>2139</v>
      </c>
      <c r="AI343" s="1">
        <f>159377.85+1198087.28</f>
        <v>1357465.1300000001</v>
      </c>
      <c r="AJ343" s="172">
        <v>0</v>
      </c>
    </row>
    <row r="344" spans="1:36" ht="362.25" x14ac:dyDescent="0.25">
      <c r="A344" s="5">
        <f t="shared" si="183"/>
        <v>341</v>
      </c>
      <c r="B344" s="16">
        <v>116172</v>
      </c>
      <c r="C344" s="6">
        <v>391</v>
      </c>
      <c r="D344" s="5" t="s">
        <v>143</v>
      </c>
      <c r="E344" s="18" t="s">
        <v>385</v>
      </c>
      <c r="F344" s="18" t="s">
        <v>396</v>
      </c>
      <c r="G344" s="3" t="s">
        <v>2037</v>
      </c>
      <c r="H344" s="3" t="s">
        <v>397</v>
      </c>
      <c r="I344" s="42" t="s">
        <v>463</v>
      </c>
      <c r="J344" s="2">
        <v>43230</v>
      </c>
      <c r="K344" s="2">
        <v>44691</v>
      </c>
      <c r="L344" s="17">
        <f t="shared" si="175"/>
        <v>83.983863333706537</v>
      </c>
      <c r="M344" s="5" t="s">
        <v>273</v>
      </c>
      <c r="N344" s="5" t="s">
        <v>307</v>
      </c>
      <c r="O344" s="5" t="s">
        <v>307</v>
      </c>
      <c r="P344" s="3" t="s">
        <v>138</v>
      </c>
      <c r="Q344" s="5" t="s">
        <v>34</v>
      </c>
      <c r="R344" s="9">
        <f t="shared" si="184"/>
        <v>6129802.7699999996</v>
      </c>
      <c r="S344" s="9">
        <v>4943151.87</v>
      </c>
      <c r="T344" s="9">
        <v>1186650.8999999999</v>
      </c>
      <c r="U344" s="9">
        <f t="shared" si="181"/>
        <v>0</v>
      </c>
      <c r="V344" s="54">
        <v>0</v>
      </c>
      <c r="W344" s="54">
        <v>0</v>
      </c>
      <c r="X344" s="9">
        <f t="shared" si="185"/>
        <v>1168983.6000000001</v>
      </c>
      <c r="Y344" s="9">
        <v>872320.88</v>
      </c>
      <c r="Z344" s="9">
        <v>296662.71999999997</v>
      </c>
      <c r="AA344" s="9">
        <f t="shared" si="186"/>
        <v>0</v>
      </c>
      <c r="AB344" s="9">
        <v>0</v>
      </c>
      <c r="AC344" s="9">
        <v>0</v>
      </c>
      <c r="AD344" s="45">
        <f t="shared" si="182"/>
        <v>7298786.3699999992</v>
      </c>
      <c r="AE344" s="9">
        <v>416388</v>
      </c>
      <c r="AF344" s="9">
        <f t="shared" si="187"/>
        <v>7715174.3699999992</v>
      </c>
      <c r="AG344" s="60" t="s">
        <v>515</v>
      </c>
      <c r="AH344" s="14" t="s">
        <v>2157</v>
      </c>
      <c r="AI344" s="1">
        <f>306350.64+37282.12+71590.36+880535.54+1594555.41</f>
        <v>2890314.0700000003</v>
      </c>
      <c r="AJ344" s="172">
        <v>0</v>
      </c>
    </row>
    <row r="345" spans="1:36" s="176" customFormat="1" ht="204.75" x14ac:dyDescent="0.25">
      <c r="A345" s="5">
        <f t="shared" si="183"/>
        <v>342</v>
      </c>
      <c r="B345" s="16">
        <v>118963</v>
      </c>
      <c r="C345" s="6">
        <v>34</v>
      </c>
      <c r="D345" s="8" t="s">
        <v>1982</v>
      </c>
      <c r="E345" s="25" t="s">
        <v>147</v>
      </c>
      <c r="F345" s="8" t="s">
        <v>88</v>
      </c>
      <c r="G345" s="5" t="s">
        <v>74</v>
      </c>
      <c r="H345" s="5" t="s">
        <v>484</v>
      </c>
      <c r="I345" s="77" t="s">
        <v>89</v>
      </c>
      <c r="J345" s="2">
        <v>42629</v>
      </c>
      <c r="K345" s="2">
        <v>43540</v>
      </c>
      <c r="L345" s="17">
        <f t="shared" si="175"/>
        <v>83.983862803496507</v>
      </c>
      <c r="M345" s="5" t="s">
        <v>136</v>
      </c>
      <c r="N345" s="5" t="s">
        <v>262</v>
      </c>
      <c r="O345" s="5" t="s">
        <v>262</v>
      </c>
      <c r="P345" s="3" t="s">
        <v>138</v>
      </c>
      <c r="Q345" s="5" t="s">
        <v>34</v>
      </c>
      <c r="R345" s="9">
        <f t="shared" si="184"/>
        <v>4117071.25</v>
      </c>
      <c r="S345" s="9">
        <v>3320059.26</v>
      </c>
      <c r="T345" s="9">
        <v>797011.99</v>
      </c>
      <c r="U345" s="9">
        <f t="shared" ref="U345:U376" si="188">V345+W345</f>
        <v>0</v>
      </c>
      <c r="V345" s="54">
        <v>0</v>
      </c>
      <c r="W345" s="54">
        <v>0</v>
      </c>
      <c r="X345" s="9">
        <f t="shared" si="185"/>
        <v>785145.81</v>
      </c>
      <c r="Y345" s="9">
        <v>585892.81000000006</v>
      </c>
      <c r="Z345" s="9">
        <v>199253</v>
      </c>
      <c r="AA345" s="9">
        <f t="shared" si="186"/>
        <v>0</v>
      </c>
      <c r="AB345" s="9">
        <v>0</v>
      </c>
      <c r="AC345" s="9">
        <v>0</v>
      </c>
      <c r="AD345" s="45">
        <f t="shared" si="182"/>
        <v>4902217.0600000005</v>
      </c>
      <c r="AE345" s="9">
        <v>0</v>
      </c>
      <c r="AF345" s="9">
        <f t="shared" si="187"/>
        <v>4902217.0600000005</v>
      </c>
      <c r="AG345" s="50" t="s">
        <v>966</v>
      </c>
      <c r="AH345" s="14" t="s">
        <v>153</v>
      </c>
      <c r="AI345" s="1">
        <f>1460741.83+228438.52+391513.86+234930.38+421082.6+869050.66+18896.37</f>
        <v>3624654.22</v>
      </c>
      <c r="AJ345" s="172">
        <v>0</v>
      </c>
    </row>
    <row r="346" spans="1:36" s="176" customFormat="1" ht="141.75" x14ac:dyDescent="0.25">
      <c r="A346" s="5">
        <f t="shared" si="183"/>
        <v>343</v>
      </c>
      <c r="B346" s="16">
        <v>118964</v>
      </c>
      <c r="C346" s="6">
        <v>35</v>
      </c>
      <c r="D346" s="8" t="s">
        <v>1982</v>
      </c>
      <c r="E346" s="25" t="s">
        <v>147</v>
      </c>
      <c r="F346" s="8" t="s">
        <v>90</v>
      </c>
      <c r="G346" s="5" t="s">
        <v>74</v>
      </c>
      <c r="H346" s="5" t="s">
        <v>755</v>
      </c>
      <c r="I346" s="77" t="s">
        <v>91</v>
      </c>
      <c r="J346" s="2">
        <v>42670</v>
      </c>
      <c r="K346" s="2">
        <v>43796</v>
      </c>
      <c r="L346" s="17">
        <f t="shared" si="175"/>
        <v>83.983860041638508</v>
      </c>
      <c r="M346" s="5" t="s">
        <v>136</v>
      </c>
      <c r="N346" s="5" t="s">
        <v>262</v>
      </c>
      <c r="O346" s="5" t="s">
        <v>262</v>
      </c>
      <c r="P346" s="3" t="s">
        <v>138</v>
      </c>
      <c r="Q346" s="5" t="s">
        <v>34</v>
      </c>
      <c r="R346" s="9">
        <f t="shared" si="184"/>
        <v>1279634.26</v>
      </c>
      <c r="S346" s="9">
        <v>1031913.55</v>
      </c>
      <c r="T346" s="9">
        <v>247720.71</v>
      </c>
      <c r="U346" s="9">
        <f t="shared" si="188"/>
        <v>0</v>
      </c>
      <c r="V346" s="54">
        <v>0</v>
      </c>
      <c r="W346" s="54">
        <v>0</v>
      </c>
      <c r="X346" s="9">
        <f t="shared" si="185"/>
        <v>244032.62</v>
      </c>
      <c r="Y346" s="9">
        <v>182102.42</v>
      </c>
      <c r="Z346" s="9">
        <v>61930.2</v>
      </c>
      <c r="AA346" s="9">
        <f t="shared" si="186"/>
        <v>0</v>
      </c>
      <c r="AB346" s="9">
        <v>0</v>
      </c>
      <c r="AC346" s="9">
        <v>0</v>
      </c>
      <c r="AD346" s="45">
        <f t="shared" si="182"/>
        <v>1523666.88</v>
      </c>
      <c r="AE346" s="9">
        <v>0</v>
      </c>
      <c r="AF346" s="9">
        <f t="shared" si="187"/>
        <v>1523666.88</v>
      </c>
      <c r="AG346" s="50" t="s">
        <v>966</v>
      </c>
      <c r="AH346" s="14" t="s">
        <v>1415</v>
      </c>
      <c r="AI346" s="1">
        <f>122689.41+119337.51+49801.59+108022.55+173686.44+582492.4</f>
        <v>1156029.8999999999</v>
      </c>
      <c r="AJ346" s="172">
        <v>0</v>
      </c>
    </row>
    <row r="347" spans="1:36" s="176" customFormat="1" ht="141.75" x14ac:dyDescent="0.25">
      <c r="A347" s="5">
        <f t="shared" si="183"/>
        <v>344</v>
      </c>
      <c r="B347" s="16">
        <v>119981</v>
      </c>
      <c r="C347" s="6">
        <v>36</v>
      </c>
      <c r="D347" s="8" t="s">
        <v>1982</v>
      </c>
      <c r="E347" s="25" t="s">
        <v>147</v>
      </c>
      <c r="F347" s="8" t="s">
        <v>92</v>
      </c>
      <c r="G347" s="5" t="s">
        <v>71</v>
      </c>
      <c r="H347" s="5" t="s">
        <v>151</v>
      </c>
      <c r="I347" s="77" t="s">
        <v>93</v>
      </c>
      <c r="J347" s="2">
        <v>42579</v>
      </c>
      <c r="K347" s="2">
        <v>43462</v>
      </c>
      <c r="L347" s="17">
        <f t="shared" si="175"/>
        <v>83.983863111728837</v>
      </c>
      <c r="M347" s="5" t="s">
        <v>136</v>
      </c>
      <c r="N347" s="5" t="s">
        <v>262</v>
      </c>
      <c r="O347" s="5" t="s">
        <v>262</v>
      </c>
      <c r="P347" s="3" t="s">
        <v>138</v>
      </c>
      <c r="Q347" s="5" t="s">
        <v>34</v>
      </c>
      <c r="R347" s="9">
        <f t="shared" si="184"/>
        <v>1627939.8599999999</v>
      </c>
      <c r="S347" s="9">
        <v>1312791.6599999999</v>
      </c>
      <c r="T347" s="9">
        <v>315148.2</v>
      </c>
      <c r="U347" s="9">
        <f t="shared" si="188"/>
        <v>0</v>
      </c>
      <c r="V347" s="54">
        <v>0</v>
      </c>
      <c r="W347" s="54">
        <v>0</v>
      </c>
      <c r="X347" s="9">
        <f t="shared" si="185"/>
        <v>310456.15999999997</v>
      </c>
      <c r="Y347" s="9">
        <v>231669.11</v>
      </c>
      <c r="Z347" s="9">
        <v>78787.05</v>
      </c>
      <c r="AA347" s="9">
        <f t="shared" si="186"/>
        <v>0</v>
      </c>
      <c r="AB347" s="9">
        <v>0</v>
      </c>
      <c r="AC347" s="9">
        <v>0</v>
      </c>
      <c r="AD347" s="45">
        <f t="shared" si="182"/>
        <v>1938396.0199999998</v>
      </c>
      <c r="AE347" s="9">
        <v>0</v>
      </c>
      <c r="AF347" s="9">
        <f t="shared" si="187"/>
        <v>1938396.0199999998</v>
      </c>
      <c r="AG347" s="50" t="s">
        <v>966</v>
      </c>
      <c r="AH347" s="14" t="s">
        <v>154</v>
      </c>
      <c r="AI347" s="1">
        <f>559604.06+125761.16+33457.13+622518.23+7475.79+33855.21+3996.8</f>
        <v>1386668.3800000001</v>
      </c>
      <c r="AJ347" s="172">
        <v>0</v>
      </c>
    </row>
    <row r="348" spans="1:36" s="176" customFormat="1" ht="157.5" x14ac:dyDescent="0.25">
      <c r="A348" s="5">
        <f t="shared" si="183"/>
        <v>345</v>
      </c>
      <c r="B348" s="16">
        <v>120414</v>
      </c>
      <c r="C348" s="6">
        <v>61</v>
      </c>
      <c r="D348" s="8" t="s">
        <v>1982</v>
      </c>
      <c r="E348" s="25" t="s">
        <v>129</v>
      </c>
      <c r="F348" s="8" t="s">
        <v>130</v>
      </c>
      <c r="G348" s="3" t="s">
        <v>2091</v>
      </c>
      <c r="H348" s="5" t="s">
        <v>151</v>
      </c>
      <c r="I348" s="77" t="s">
        <v>601</v>
      </c>
      <c r="J348" s="2">
        <v>42893</v>
      </c>
      <c r="K348" s="2">
        <v>44172</v>
      </c>
      <c r="L348" s="17">
        <f t="shared" si="175"/>
        <v>83.983863338887815</v>
      </c>
      <c r="M348" s="5" t="s">
        <v>136</v>
      </c>
      <c r="N348" s="5" t="s">
        <v>262</v>
      </c>
      <c r="O348" s="5" t="s">
        <v>262</v>
      </c>
      <c r="P348" s="3" t="s">
        <v>138</v>
      </c>
      <c r="Q348" s="5" t="s">
        <v>34</v>
      </c>
      <c r="R348" s="9">
        <f t="shared" si="184"/>
        <v>4817465.95</v>
      </c>
      <c r="S348" s="9">
        <v>3884866.57</v>
      </c>
      <c r="T348" s="9">
        <v>932599.38</v>
      </c>
      <c r="U348" s="9">
        <f t="shared" si="188"/>
        <v>0</v>
      </c>
      <c r="V348" s="54">
        <v>0</v>
      </c>
      <c r="W348" s="54">
        <v>0</v>
      </c>
      <c r="X348" s="9">
        <f t="shared" si="185"/>
        <v>918714.5</v>
      </c>
      <c r="Y348" s="9">
        <v>685564.65</v>
      </c>
      <c r="Z348" s="9">
        <v>233149.85</v>
      </c>
      <c r="AA348" s="9">
        <f t="shared" si="186"/>
        <v>0</v>
      </c>
      <c r="AB348" s="9">
        <v>0</v>
      </c>
      <c r="AC348" s="9">
        <v>0</v>
      </c>
      <c r="AD348" s="45">
        <f t="shared" si="182"/>
        <v>5736180.4500000002</v>
      </c>
      <c r="AE348" s="9">
        <v>0</v>
      </c>
      <c r="AF348" s="9">
        <f t="shared" si="187"/>
        <v>5736180.4500000002</v>
      </c>
      <c r="AG348" s="60" t="s">
        <v>966</v>
      </c>
      <c r="AH348" s="14" t="s">
        <v>1934</v>
      </c>
      <c r="AI348" s="1">
        <f>2217957.44+326592.36+100825.99</f>
        <v>2645375.79</v>
      </c>
      <c r="AJ348" s="1">
        <v>116391.22</v>
      </c>
    </row>
    <row r="349" spans="1:36" ht="267.75" x14ac:dyDescent="0.25">
      <c r="A349" s="5">
        <f t="shared" si="183"/>
        <v>346</v>
      </c>
      <c r="B349" s="16">
        <v>116103</v>
      </c>
      <c r="C349" s="6">
        <v>393</v>
      </c>
      <c r="D349" s="5" t="s">
        <v>143</v>
      </c>
      <c r="E349" s="18" t="s">
        <v>385</v>
      </c>
      <c r="F349" s="3" t="s">
        <v>1098</v>
      </c>
      <c r="G349" s="5" t="s">
        <v>1591</v>
      </c>
      <c r="H349" s="8" t="s">
        <v>1099</v>
      </c>
      <c r="I349" s="42" t="s">
        <v>1100</v>
      </c>
      <c r="J349" s="2">
        <v>43453</v>
      </c>
      <c r="K349" s="2">
        <v>44246</v>
      </c>
      <c r="L349" s="17">
        <f t="shared" si="175"/>
        <v>83.983863795592953</v>
      </c>
      <c r="M349" s="5" t="s">
        <v>273</v>
      </c>
      <c r="N349" s="5" t="s">
        <v>262</v>
      </c>
      <c r="O349" s="5" t="s">
        <v>262</v>
      </c>
      <c r="P349" s="3" t="s">
        <v>138</v>
      </c>
      <c r="Q349" s="5" t="s">
        <v>34</v>
      </c>
      <c r="R349" s="9">
        <f t="shared" si="184"/>
        <v>6662642.3999999994</v>
      </c>
      <c r="S349" s="9">
        <v>5372840.6399999997</v>
      </c>
      <c r="T349" s="9">
        <v>1289801.76</v>
      </c>
      <c r="U349" s="9">
        <f t="shared" si="188"/>
        <v>545363.42999999993</v>
      </c>
      <c r="V349" s="54">
        <v>403028.04</v>
      </c>
      <c r="W349" s="54">
        <v>142335.39000000001</v>
      </c>
      <c r="X349" s="9">
        <f t="shared" si="185"/>
        <v>725235.27</v>
      </c>
      <c r="Y349" s="9">
        <v>545120.19999999995</v>
      </c>
      <c r="Z349" s="9">
        <v>180115.07</v>
      </c>
      <c r="AA349" s="9">
        <f t="shared" si="186"/>
        <v>0</v>
      </c>
      <c r="AB349" s="9">
        <v>0</v>
      </c>
      <c r="AC349" s="9">
        <v>0</v>
      </c>
      <c r="AD349" s="45">
        <f t="shared" si="182"/>
        <v>7933241.0999999996</v>
      </c>
      <c r="AE349" s="11">
        <v>0</v>
      </c>
      <c r="AF349" s="9">
        <f t="shared" si="187"/>
        <v>7933241.0999999996</v>
      </c>
      <c r="AG349" s="60" t="s">
        <v>966</v>
      </c>
      <c r="AH349" s="14" t="s">
        <v>2016</v>
      </c>
      <c r="AI349" s="1">
        <f>389096.78-1942.82+576398.08+532462.27+389096.78+1131389.5+389096.78+586124.42+279664.04+865075.11+534997.11</f>
        <v>5671458.0500000007</v>
      </c>
      <c r="AJ349" s="1">
        <f>30580.48+37794.48+82045.63+142291.25+54004.36+72124.7+46874.39</f>
        <v>465715.29000000004</v>
      </c>
    </row>
    <row r="350" spans="1:36" ht="220.5" x14ac:dyDescent="0.25">
      <c r="A350" s="5">
        <f t="shared" si="183"/>
        <v>347</v>
      </c>
      <c r="B350" s="16">
        <v>116097</v>
      </c>
      <c r="C350" s="6">
        <v>394</v>
      </c>
      <c r="D350" s="30" t="s">
        <v>143</v>
      </c>
      <c r="E350" s="8" t="s">
        <v>385</v>
      </c>
      <c r="F350" s="15" t="s">
        <v>1972</v>
      </c>
      <c r="G350" s="5" t="s">
        <v>1648</v>
      </c>
      <c r="H350" s="5" t="s">
        <v>437</v>
      </c>
      <c r="I350" s="15" t="s">
        <v>632</v>
      </c>
      <c r="J350" s="2">
        <v>43284</v>
      </c>
      <c r="K350" s="2">
        <v>44623</v>
      </c>
      <c r="L350" s="17">
        <f t="shared" si="175"/>
        <v>83.983862774791262</v>
      </c>
      <c r="M350" s="5" t="s">
        <v>273</v>
      </c>
      <c r="N350" s="5" t="s">
        <v>262</v>
      </c>
      <c r="O350" s="5" t="s">
        <v>262</v>
      </c>
      <c r="P350" s="3" t="s">
        <v>138</v>
      </c>
      <c r="Q350" s="5" t="s">
        <v>34</v>
      </c>
      <c r="R350" s="9">
        <f t="shared" si="184"/>
        <v>6396515.5899999999</v>
      </c>
      <c r="S350" s="9">
        <v>5158232.53</v>
      </c>
      <c r="T350" s="9">
        <v>1238283.06</v>
      </c>
      <c r="U350" s="9">
        <f t="shared" si="188"/>
        <v>472527.32999999996</v>
      </c>
      <c r="V350" s="54">
        <v>349201.67</v>
      </c>
      <c r="W350" s="54">
        <v>123325.66</v>
      </c>
      <c r="X350" s="9">
        <f t="shared" si="185"/>
        <v>747319.77</v>
      </c>
      <c r="Y350" s="9">
        <v>561074.66</v>
      </c>
      <c r="Z350" s="9">
        <v>186245.11</v>
      </c>
      <c r="AA350" s="9">
        <f t="shared" si="186"/>
        <v>0</v>
      </c>
      <c r="AB350" s="9">
        <v>0</v>
      </c>
      <c r="AC350" s="9">
        <v>0</v>
      </c>
      <c r="AD350" s="45">
        <f t="shared" si="182"/>
        <v>7616362.6899999995</v>
      </c>
      <c r="AE350" s="9">
        <v>0</v>
      </c>
      <c r="AF350" s="9">
        <f t="shared" si="187"/>
        <v>7616362.6899999995</v>
      </c>
      <c r="AG350" s="60" t="s">
        <v>515</v>
      </c>
      <c r="AH350" s="14" t="s">
        <v>1971</v>
      </c>
      <c r="AI350" s="1">
        <f>253980+93643.83+161611.12+512990.05+229365.98+135687.68+57767.45</f>
        <v>1445046.1099999999</v>
      </c>
      <c r="AJ350" s="1">
        <f>4416.62+33006.45+50458.66+7659.81+6453.45</f>
        <v>101994.99</v>
      </c>
    </row>
    <row r="351" spans="1:36" ht="126" x14ac:dyDescent="0.25">
      <c r="A351" s="5">
        <f t="shared" si="183"/>
        <v>348</v>
      </c>
      <c r="B351" s="16">
        <v>122485</v>
      </c>
      <c r="C351" s="6">
        <v>38</v>
      </c>
      <c r="D351" s="25" t="s">
        <v>141</v>
      </c>
      <c r="E351" s="25" t="s">
        <v>24</v>
      </c>
      <c r="F351" s="8" t="s">
        <v>26</v>
      </c>
      <c r="G351" s="3" t="s">
        <v>2091</v>
      </c>
      <c r="H351" s="5" t="s">
        <v>151</v>
      </c>
      <c r="I351" s="77" t="s">
        <v>27</v>
      </c>
      <c r="J351" s="2">
        <v>42488</v>
      </c>
      <c r="K351" s="2">
        <v>45288</v>
      </c>
      <c r="L351" s="17">
        <f t="shared" si="175"/>
        <v>84.695097599999997</v>
      </c>
      <c r="M351" s="5" t="s">
        <v>136</v>
      </c>
      <c r="N351" s="5" t="s">
        <v>262</v>
      </c>
      <c r="O351" s="5" t="s">
        <v>262</v>
      </c>
      <c r="P351" s="3" t="s">
        <v>138</v>
      </c>
      <c r="Q351" s="5" t="s">
        <v>25</v>
      </c>
      <c r="R351" s="9">
        <f t="shared" si="184"/>
        <v>16939019.52</v>
      </c>
      <c r="S351" s="9">
        <v>15963331.810000001</v>
      </c>
      <c r="T351" s="9">
        <v>975687.71</v>
      </c>
      <c r="U351" s="9">
        <f t="shared" si="188"/>
        <v>0</v>
      </c>
      <c r="V351" s="54">
        <v>0</v>
      </c>
      <c r="W351" s="54">
        <v>0</v>
      </c>
      <c r="X351" s="9">
        <f t="shared" si="185"/>
        <v>3060980.48</v>
      </c>
      <c r="Y351" s="9">
        <v>2817058.55</v>
      </c>
      <c r="Z351" s="9">
        <v>243921.93</v>
      </c>
      <c r="AA351" s="9">
        <f t="shared" si="186"/>
        <v>0</v>
      </c>
      <c r="AB351" s="9">
        <v>0</v>
      </c>
      <c r="AC351" s="9">
        <v>0</v>
      </c>
      <c r="AD351" s="45">
        <f t="shared" si="182"/>
        <v>20000000</v>
      </c>
      <c r="AE351" s="9">
        <v>200000</v>
      </c>
      <c r="AF351" s="9">
        <f t="shared" si="187"/>
        <v>20200000</v>
      </c>
      <c r="AG351" s="60" t="s">
        <v>515</v>
      </c>
      <c r="AH351" s="14" t="s">
        <v>960</v>
      </c>
      <c r="AI351" s="158">
        <f>367086.52+3723.41+1413.34+18873.79+125767.27+435205.03</f>
        <v>952069.3600000001</v>
      </c>
      <c r="AJ351" s="182">
        <v>0</v>
      </c>
    </row>
    <row r="352" spans="1:36" ht="78.75" x14ac:dyDescent="0.25">
      <c r="A352" s="5">
        <f t="shared" si="183"/>
        <v>349</v>
      </c>
      <c r="B352" s="16">
        <v>122484</v>
      </c>
      <c r="C352" s="6">
        <v>39</v>
      </c>
      <c r="D352" s="25" t="s">
        <v>140</v>
      </c>
      <c r="E352" s="25" t="s">
        <v>24</v>
      </c>
      <c r="F352" s="8" t="s">
        <v>29</v>
      </c>
      <c r="G352" s="3" t="s">
        <v>2091</v>
      </c>
      <c r="H352" s="5" t="s">
        <v>151</v>
      </c>
      <c r="I352" s="77" t="s">
        <v>30</v>
      </c>
      <c r="J352" s="2">
        <v>42488</v>
      </c>
      <c r="K352" s="2">
        <v>45288</v>
      </c>
      <c r="L352" s="17">
        <f t="shared" si="175"/>
        <v>84.695097596566526</v>
      </c>
      <c r="M352" s="5" t="s">
        <v>136</v>
      </c>
      <c r="N352" s="5" t="s">
        <v>262</v>
      </c>
      <c r="O352" s="5" t="s">
        <v>262</v>
      </c>
      <c r="P352" s="3" t="s">
        <v>138</v>
      </c>
      <c r="Q352" s="5" t="s">
        <v>28</v>
      </c>
      <c r="R352" s="9">
        <f t="shared" si="184"/>
        <v>59201873.219999999</v>
      </c>
      <c r="S352" s="9">
        <v>55791844.670000002</v>
      </c>
      <c r="T352" s="9">
        <v>3410028.55</v>
      </c>
      <c r="U352" s="9">
        <f t="shared" si="188"/>
        <v>0</v>
      </c>
      <c r="V352" s="54">
        <v>0</v>
      </c>
      <c r="W352" s="54">
        <v>0</v>
      </c>
      <c r="X352" s="9">
        <f t="shared" si="185"/>
        <v>10698126.780000001</v>
      </c>
      <c r="Y352" s="9">
        <v>9845619.6400000006</v>
      </c>
      <c r="Z352" s="9">
        <v>852507.14</v>
      </c>
      <c r="AA352" s="9">
        <f t="shared" si="186"/>
        <v>0</v>
      </c>
      <c r="AB352" s="9">
        <v>0</v>
      </c>
      <c r="AC352" s="9">
        <v>0</v>
      </c>
      <c r="AD352" s="45">
        <f t="shared" si="182"/>
        <v>69900000</v>
      </c>
      <c r="AE352" s="9">
        <v>600000</v>
      </c>
      <c r="AF352" s="9">
        <f t="shared" si="187"/>
        <v>70500000</v>
      </c>
      <c r="AG352" s="60" t="s">
        <v>515</v>
      </c>
      <c r="AH352" s="14" t="s">
        <v>961</v>
      </c>
      <c r="AI352" s="1">
        <f>1614958.09+116790.02+175736.29+210865.38+813289.51+430129.67+188786.97+358624.07+959420.67+326293.12+124245.52+1025867.42+58346.81</f>
        <v>6403353.5399999991</v>
      </c>
      <c r="AJ352" s="172">
        <v>0</v>
      </c>
    </row>
    <row r="353" spans="1:36" ht="63" x14ac:dyDescent="0.25">
      <c r="A353" s="5">
        <f t="shared" si="183"/>
        <v>350</v>
      </c>
      <c r="B353" s="16">
        <v>122483</v>
      </c>
      <c r="C353" s="6">
        <v>40</v>
      </c>
      <c r="D353" s="25" t="s">
        <v>140</v>
      </c>
      <c r="E353" s="25" t="s">
        <v>24</v>
      </c>
      <c r="F353" s="8" t="s">
        <v>32</v>
      </c>
      <c r="G353" s="3" t="s">
        <v>2091</v>
      </c>
      <c r="H353" s="5" t="s">
        <v>151</v>
      </c>
      <c r="I353" s="77" t="s">
        <v>33</v>
      </c>
      <c r="J353" s="2">
        <v>42488</v>
      </c>
      <c r="K353" s="2">
        <v>45288</v>
      </c>
      <c r="L353" s="17">
        <f t="shared" si="175"/>
        <v>84.695097592232997</v>
      </c>
      <c r="M353" s="5" t="s">
        <v>136</v>
      </c>
      <c r="N353" s="5" t="s">
        <v>262</v>
      </c>
      <c r="O353" s="5" t="s">
        <v>262</v>
      </c>
      <c r="P353" s="3" t="s">
        <v>138</v>
      </c>
      <c r="Q353" s="5" t="s">
        <v>31</v>
      </c>
      <c r="R353" s="9">
        <f t="shared" si="184"/>
        <v>87235950.519999996</v>
      </c>
      <c r="S353" s="9">
        <v>82211158.810000002</v>
      </c>
      <c r="T353" s="9">
        <v>5024791.71</v>
      </c>
      <c r="U353" s="9">
        <f t="shared" si="188"/>
        <v>0</v>
      </c>
      <c r="V353" s="54">
        <v>0</v>
      </c>
      <c r="W353" s="54">
        <v>0</v>
      </c>
      <c r="X353" s="9">
        <f t="shared" si="185"/>
        <v>15764049.48</v>
      </c>
      <c r="Y353" s="9">
        <v>14507851.550000001</v>
      </c>
      <c r="Z353" s="9">
        <v>1256197.93</v>
      </c>
      <c r="AA353" s="9">
        <f t="shared" si="186"/>
        <v>0</v>
      </c>
      <c r="AB353" s="9">
        <v>0</v>
      </c>
      <c r="AC353" s="9">
        <v>0</v>
      </c>
      <c r="AD353" s="45">
        <f t="shared" si="182"/>
        <v>103000000</v>
      </c>
      <c r="AE353" s="9">
        <v>1936000</v>
      </c>
      <c r="AF353" s="9">
        <f t="shared" si="187"/>
        <v>104936000</v>
      </c>
      <c r="AG353" s="60" t="s">
        <v>515</v>
      </c>
      <c r="AH353" s="14" t="s">
        <v>1682</v>
      </c>
      <c r="AI353" s="1">
        <f>46170373.64+3216133.72+3120157.23+998090.22+1977329.86+2905223.94</f>
        <v>58387308.609999992</v>
      </c>
      <c r="AJ353" s="172">
        <v>0</v>
      </c>
    </row>
    <row r="354" spans="1:36" ht="409.5" x14ac:dyDescent="0.25">
      <c r="A354" s="5">
        <f t="shared" si="183"/>
        <v>351</v>
      </c>
      <c r="B354" s="16">
        <v>109937</v>
      </c>
      <c r="C354" s="6">
        <v>162</v>
      </c>
      <c r="D354" s="5" t="s">
        <v>143</v>
      </c>
      <c r="E354" s="18" t="s">
        <v>271</v>
      </c>
      <c r="F354" s="8" t="s">
        <v>453</v>
      </c>
      <c r="G354" s="5" t="s">
        <v>272</v>
      </c>
      <c r="H354" s="5" t="s">
        <v>151</v>
      </c>
      <c r="I354" s="88" t="s">
        <v>454</v>
      </c>
      <c r="J354" s="2">
        <v>43173</v>
      </c>
      <c r="K354" s="2">
        <v>43660</v>
      </c>
      <c r="L354" s="17">
        <f t="shared" si="175"/>
        <v>82.304184778160604</v>
      </c>
      <c r="M354" s="5" t="s">
        <v>273</v>
      </c>
      <c r="N354" s="5" t="s">
        <v>262</v>
      </c>
      <c r="O354" s="5" t="s">
        <v>274</v>
      </c>
      <c r="P354" s="3" t="s">
        <v>275</v>
      </c>
      <c r="Q354" s="5" t="s">
        <v>34</v>
      </c>
      <c r="R354" s="9">
        <f t="shared" si="184"/>
        <v>762655.8600000001</v>
      </c>
      <c r="S354" s="9">
        <v>147617.44</v>
      </c>
      <c r="T354" s="9">
        <v>615038.42000000004</v>
      </c>
      <c r="U354" s="9">
        <f t="shared" si="188"/>
        <v>145442.25</v>
      </c>
      <c r="V354" s="54">
        <v>36906.06</v>
      </c>
      <c r="W354" s="54">
        <v>108536.19</v>
      </c>
      <c r="X354" s="9">
        <f t="shared" si="185"/>
        <v>0</v>
      </c>
      <c r="Y354" s="9">
        <v>0</v>
      </c>
      <c r="Z354" s="9">
        <v>0</v>
      </c>
      <c r="AA354" s="9">
        <f t="shared" si="186"/>
        <v>18532.61</v>
      </c>
      <c r="AB354" s="9">
        <v>3765.78</v>
      </c>
      <c r="AC354" s="9">
        <v>14766.83</v>
      </c>
      <c r="AD354" s="45">
        <f t="shared" si="182"/>
        <v>926630.72000000009</v>
      </c>
      <c r="AE354" s="9">
        <v>0</v>
      </c>
      <c r="AF354" s="9">
        <f t="shared" si="187"/>
        <v>926630.72000000009</v>
      </c>
      <c r="AG354" s="50" t="s">
        <v>966</v>
      </c>
      <c r="AH354" s="14"/>
      <c r="AI354" s="1">
        <f>340951.1+52774.1+61862.22+16616.16+1069.94+8813.14+48351.34+107449.24-8088.73+50503.68+13263.31-13913.75</f>
        <v>679651.75</v>
      </c>
      <c r="AJ354" s="1">
        <f>47349.74+21861.72+3168.79+9424.88+1680.7+20491.06+8088.73+2529.39+15017.84</f>
        <v>129612.84999999998</v>
      </c>
    </row>
    <row r="355" spans="1:36" ht="189" x14ac:dyDescent="0.25">
      <c r="A355" s="5">
        <f t="shared" si="183"/>
        <v>352</v>
      </c>
      <c r="B355" s="16">
        <v>112093</v>
      </c>
      <c r="C355" s="6">
        <v>344</v>
      </c>
      <c r="D355" s="5" t="s">
        <v>143</v>
      </c>
      <c r="E355" s="18" t="s">
        <v>271</v>
      </c>
      <c r="F355" s="8" t="s">
        <v>306</v>
      </c>
      <c r="G355" s="5" t="s">
        <v>1607</v>
      </c>
      <c r="H355" s="5" t="s">
        <v>296</v>
      </c>
      <c r="I355" s="42" t="s">
        <v>455</v>
      </c>
      <c r="J355" s="2">
        <v>43188</v>
      </c>
      <c r="K355" s="2">
        <v>43553</v>
      </c>
      <c r="L355" s="17">
        <f t="shared" si="175"/>
        <v>82.304184346141142</v>
      </c>
      <c r="M355" s="5" t="s">
        <v>273</v>
      </c>
      <c r="N355" s="5" t="s">
        <v>307</v>
      </c>
      <c r="O355" s="5" t="s">
        <v>307</v>
      </c>
      <c r="P355" s="3" t="s">
        <v>275</v>
      </c>
      <c r="Q355" s="5" t="s">
        <v>34</v>
      </c>
      <c r="R355" s="9">
        <f t="shared" si="184"/>
        <v>624137.28</v>
      </c>
      <c r="S355" s="9">
        <v>503312.34</v>
      </c>
      <c r="T355" s="9">
        <v>120824.94</v>
      </c>
      <c r="U355" s="9">
        <f t="shared" si="188"/>
        <v>119026.06000000001</v>
      </c>
      <c r="V355" s="54">
        <v>88819.82</v>
      </c>
      <c r="W355" s="54">
        <v>30206.240000000002</v>
      </c>
      <c r="X355" s="9">
        <f t="shared" si="185"/>
        <v>0</v>
      </c>
      <c r="Y355" s="9">
        <v>0</v>
      </c>
      <c r="Z355" s="9">
        <v>0</v>
      </c>
      <c r="AA355" s="9">
        <f t="shared" si="186"/>
        <v>15166.61</v>
      </c>
      <c r="AB355" s="9">
        <v>12084.34</v>
      </c>
      <c r="AC355" s="9">
        <v>3082.27</v>
      </c>
      <c r="AD355" s="45">
        <f t="shared" si="182"/>
        <v>758329.95000000007</v>
      </c>
      <c r="AE355" s="9">
        <v>0</v>
      </c>
      <c r="AF355" s="9">
        <f t="shared" si="187"/>
        <v>758329.95000000007</v>
      </c>
      <c r="AG355" s="50" t="s">
        <v>966</v>
      </c>
      <c r="AH355" s="14" t="s">
        <v>299</v>
      </c>
      <c r="AI355" s="1">
        <f>281863.03+67706.32-7048.99+70335.64+92451.16+65330.18-30787.09</f>
        <v>539850.25000000012</v>
      </c>
      <c r="AJ355" s="1">
        <f>53450.47+7048.99+3931.35+17630.9+12458.8+8431.63</f>
        <v>102952.14</v>
      </c>
    </row>
    <row r="356" spans="1:36" ht="252" x14ac:dyDescent="0.25">
      <c r="A356" s="5">
        <f t="shared" si="183"/>
        <v>353</v>
      </c>
      <c r="B356" s="16">
        <v>110829</v>
      </c>
      <c r="C356" s="6">
        <v>345</v>
      </c>
      <c r="D356" s="5" t="s">
        <v>143</v>
      </c>
      <c r="E356" s="18" t="s">
        <v>271</v>
      </c>
      <c r="F356" s="8" t="s">
        <v>308</v>
      </c>
      <c r="G356" s="5" t="s">
        <v>309</v>
      </c>
      <c r="H356" s="5" t="s">
        <v>151</v>
      </c>
      <c r="I356" s="42" t="s">
        <v>310</v>
      </c>
      <c r="J356" s="2">
        <v>43188</v>
      </c>
      <c r="K356" s="2">
        <v>43737</v>
      </c>
      <c r="L356" s="17">
        <f t="shared" si="175"/>
        <v>82.304186026137842</v>
      </c>
      <c r="M356" s="5" t="s">
        <v>273</v>
      </c>
      <c r="N356" s="5" t="s">
        <v>307</v>
      </c>
      <c r="O356" s="5" t="s">
        <v>307</v>
      </c>
      <c r="P356" s="3" t="s">
        <v>275</v>
      </c>
      <c r="Q356" s="5" t="s">
        <v>34</v>
      </c>
      <c r="R356" s="9">
        <f t="shared" si="184"/>
        <v>757586.23</v>
      </c>
      <c r="S356" s="9">
        <v>610927.28</v>
      </c>
      <c r="T356" s="9">
        <v>146658.95000000001</v>
      </c>
      <c r="U356" s="9">
        <f t="shared" si="188"/>
        <v>144475.43</v>
      </c>
      <c r="V356" s="54">
        <v>107810.7</v>
      </c>
      <c r="W356" s="54">
        <v>36664.730000000003</v>
      </c>
      <c r="X356" s="9">
        <f t="shared" si="185"/>
        <v>0</v>
      </c>
      <c r="Y356" s="9">
        <v>0</v>
      </c>
      <c r="Z356" s="9">
        <v>0</v>
      </c>
      <c r="AA356" s="9">
        <f t="shared" si="186"/>
        <v>18409.420000000002</v>
      </c>
      <c r="AB356" s="9">
        <v>14668.12</v>
      </c>
      <c r="AC356" s="9">
        <v>3741.3</v>
      </c>
      <c r="AD356" s="45">
        <f t="shared" si="182"/>
        <v>920471.08</v>
      </c>
      <c r="AE356" s="9">
        <v>0</v>
      </c>
      <c r="AF356" s="9">
        <f t="shared" si="187"/>
        <v>920471.08</v>
      </c>
      <c r="AG356" s="50" t="s">
        <v>966</v>
      </c>
      <c r="AH356" s="14" t="s">
        <v>299</v>
      </c>
      <c r="AI356" s="1">
        <f>89285.71-11964.69+140134-555.33+108178.82+21252.58+36085.35+107586.93+34575.24+28193.27+63018.42+70571.37</f>
        <v>686361.67</v>
      </c>
      <c r="AJ356" s="1">
        <f>11964.69+11960.22+17298.63+11541.66+4052.98+14039.69+5043.38+6593.66+21646.1+12017.89+14733.7</f>
        <v>130892.6</v>
      </c>
    </row>
    <row r="357" spans="1:36" ht="173.25" x14ac:dyDescent="0.25">
      <c r="A357" s="5">
        <f t="shared" si="183"/>
        <v>354</v>
      </c>
      <c r="B357" s="16">
        <v>111077</v>
      </c>
      <c r="C357" s="6">
        <v>352</v>
      </c>
      <c r="D357" s="5" t="s">
        <v>143</v>
      </c>
      <c r="E357" s="18" t="s">
        <v>271</v>
      </c>
      <c r="F357" s="8" t="s">
        <v>311</v>
      </c>
      <c r="G357" s="5" t="s">
        <v>312</v>
      </c>
      <c r="H357" s="5" t="s">
        <v>151</v>
      </c>
      <c r="I357" s="42" t="s">
        <v>313</v>
      </c>
      <c r="J357" s="2">
        <v>43188</v>
      </c>
      <c r="K357" s="2">
        <v>43675</v>
      </c>
      <c r="L357" s="17">
        <f t="shared" si="175"/>
        <v>82.304186243592014</v>
      </c>
      <c r="M357" s="5" t="s">
        <v>273</v>
      </c>
      <c r="N357" s="5" t="s">
        <v>307</v>
      </c>
      <c r="O357" s="5" t="s">
        <v>307</v>
      </c>
      <c r="P357" s="3" t="s">
        <v>275</v>
      </c>
      <c r="Q357" s="5" t="s">
        <v>34</v>
      </c>
      <c r="R357" s="9">
        <f t="shared" si="184"/>
        <v>704316.51</v>
      </c>
      <c r="S357" s="9">
        <v>567969.9</v>
      </c>
      <c r="T357" s="9">
        <v>136346.60999999999</v>
      </c>
      <c r="U357" s="9">
        <f t="shared" si="188"/>
        <v>134316.63</v>
      </c>
      <c r="V357" s="54">
        <v>100229.98</v>
      </c>
      <c r="W357" s="54">
        <v>34086.65</v>
      </c>
      <c r="X357" s="9">
        <f t="shared" si="185"/>
        <v>0</v>
      </c>
      <c r="Y357" s="9">
        <v>0</v>
      </c>
      <c r="Z357" s="9">
        <v>0</v>
      </c>
      <c r="AA357" s="9">
        <f t="shared" si="186"/>
        <v>17114.96</v>
      </c>
      <c r="AB357" s="9">
        <v>13636.73</v>
      </c>
      <c r="AC357" s="9">
        <v>3478.23</v>
      </c>
      <c r="AD357" s="45">
        <f t="shared" si="182"/>
        <v>855748.1</v>
      </c>
      <c r="AE357" s="9"/>
      <c r="AF357" s="9">
        <f t="shared" si="187"/>
        <v>855748.1</v>
      </c>
      <c r="AG357" s="50" t="s">
        <v>966</v>
      </c>
      <c r="AH357" s="14" t="s">
        <v>299</v>
      </c>
      <c r="AI357" s="1">
        <f>85000+43282.16-11040.21+106472.55+153782.22-13315.84+83140.14+113279.69+50909.88+28913.1</f>
        <v>640423.68999999994</v>
      </c>
      <c r="AJ357" s="1">
        <f>8254.12+14104.5+20304.84+13117.11+13315.84+21603+25918.68+5513.87</f>
        <v>122131.95999999999</v>
      </c>
    </row>
    <row r="358" spans="1:36" ht="236.25" x14ac:dyDescent="0.25">
      <c r="A358" s="5">
        <f t="shared" si="183"/>
        <v>355</v>
      </c>
      <c r="B358" s="16">
        <v>111631</v>
      </c>
      <c r="C358" s="6">
        <v>170</v>
      </c>
      <c r="D358" s="5" t="s">
        <v>143</v>
      </c>
      <c r="E358" s="18" t="s">
        <v>271</v>
      </c>
      <c r="F358" s="8" t="s">
        <v>314</v>
      </c>
      <c r="G358" s="5" t="s">
        <v>315</v>
      </c>
      <c r="H358" s="5" t="s">
        <v>316</v>
      </c>
      <c r="I358" s="42" t="s">
        <v>1413</v>
      </c>
      <c r="J358" s="2">
        <v>43189</v>
      </c>
      <c r="K358" s="2">
        <v>43676</v>
      </c>
      <c r="L358" s="17">
        <f t="shared" si="175"/>
        <v>82.304185177297953</v>
      </c>
      <c r="M358" s="5" t="s">
        <v>273</v>
      </c>
      <c r="N358" s="5" t="s">
        <v>307</v>
      </c>
      <c r="O358" s="5" t="s">
        <v>307</v>
      </c>
      <c r="P358" s="3" t="s">
        <v>275</v>
      </c>
      <c r="Q358" s="5" t="s">
        <v>34</v>
      </c>
      <c r="R358" s="9">
        <f t="shared" si="184"/>
        <v>822209.74</v>
      </c>
      <c r="S358" s="9">
        <v>663040.52</v>
      </c>
      <c r="T358" s="9">
        <v>159169.22</v>
      </c>
      <c r="U358" s="9">
        <f t="shared" si="188"/>
        <v>156799.45000000001</v>
      </c>
      <c r="V358" s="54">
        <v>117007.15</v>
      </c>
      <c r="W358" s="54">
        <v>39792.300000000003</v>
      </c>
      <c r="X358" s="9">
        <v>0</v>
      </c>
      <c r="Y358" s="9">
        <v>0</v>
      </c>
      <c r="Z358" s="9">
        <v>0</v>
      </c>
      <c r="AA358" s="9">
        <f t="shared" si="186"/>
        <v>19979.79</v>
      </c>
      <c r="AB358" s="9">
        <v>15919.35</v>
      </c>
      <c r="AC358" s="9">
        <v>4060.44</v>
      </c>
      <c r="AD358" s="45">
        <f t="shared" si="182"/>
        <v>998988.98</v>
      </c>
      <c r="AE358" s="9"/>
      <c r="AF358" s="9">
        <f t="shared" si="187"/>
        <v>998988.98</v>
      </c>
      <c r="AG358" s="50" t="s">
        <v>966</v>
      </c>
      <c r="AH358" s="14" t="s">
        <v>299</v>
      </c>
      <c r="AI358" s="1">
        <f>754429.65-15109.91</f>
        <v>739319.74</v>
      </c>
      <c r="AJ358" s="1">
        <f>3863.19+15778.83+29070.82+6799.58+5078.36+35041.94+6132.52+4911.69+2424.38+19247+12643.54</f>
        <v>140991.85</v>
      </c>
    </row>
    <row r="359" spans="1:36" ht="141.75" x14ac:dyDescent="0.25">
      <c r="A359" s="5">
        <f t="shared" si="183"/>
        <v>356</v>
      </c>
      <c r="B359" s="16">
        <v>112405</v>
      </c>
      <c r="C359" s="6">
        <v>171</v>
      </c>
      <c r="D359" s="5" t="s">
        <v>143</v>
      </c>
      <c r="E359" s="18" t="s">
        <v>271</v>
      </c>
      <c r="F359" s="8" t="s">
        <v>317</v>
      </c>
      <c r="G359" s="5" t="s">
        <v>318</v>
      </c>
      <c r="H359" s="5" t="s">
        <v>319</v>
      </c>
      <c r="I359" s="42" t="s">
        <v>1597</v>
      </c>
      <c r="J359" s="2">
        <v>43186</v>
      </c>
      <c r="K359" s="2">
        <v>43673</v>
      </c>
      <c r="L359" s="17">
        <f t="shared" si="175"/>
        <v>82.304185365731513</v>
      </c>
      <c r="M359" s="5" t="s">
        <v>273</v>
      </c>
      <c r="N359" s="5" t="s">
        <v>307</v>
      </c>
      <c r="O359" s="5" t="s">
        <v>307</v>
      </c>
      <c r="P359" s="3" t="s">
        <v>275</v>
      </c>
      <c r="Q359" s="5" t="s">
        <v>34</v>
      </c>
      <c r="R359" s="9">
        <f t="shared" si="184"/>
        <v>723131.98</v>
      </c>
      <c r="S359" s="9">
        <v>583142.93999999994</v>
      </c>
      <c r="T359" s="9">
        <v>139989.04</v>
      </c>
      <c r="U359" s="9">
        <f t="shared" si="188"/>
        <v>137904.84</v>
      </c>
      <c r="V359" s="54">
        <v>102907.58</v>
      </c>
      <c r="W359" s="54">
        <v>34997.26</v>
      </c>
      <c r="X359" s="9">
        <f t="shared" si="185"/>
        <v>0</v>
      </c>
      <c r="Y359" s="9">
        <v>0</v>
      </c>
      <c r="Z359" s="9">
        <v>0</v>
      </c>
      <c r="AA359" s="9">
        <f t="shared" si="186"/>
        <v>17572.18</v>
      </c>
      <c r="AB359" s="9">
        <v>14001.03</v>
      </c>
      <c r="AC359" s="9">
        <v>3571.15</v>
      </c>
      <c r="AD359" s="45">
        <f t="shared" si="182"/>
        <v>878609</v>
      </c>
      <c r="AE359" s="9"/>
      <c r="AF359" s="9">
        <f t="shared" si="187"/>
        <v>878609</v>
      </c>
      <c r="AG359" s="50" t="s">
        <v>966</v>
      </c>
      <c r="AH359" s="14"/>
      <c r="AI359" s="1">
        <f>208329.69+72239-12893.42+110533+33743.88+27302.86+184981.92+10195.84+16264.07</f>
        <v>650696.84</v>
      </c>
      <c r="AJ359" s="1">
        <f>36750.34+12893.42+5726.93+6435.14+21177.89+19305.83+1944.4+19857.12</f>
        <v>124091.06999999999</v>
      </c>
    </row>
    <row r="360" spans="1:36" ht="141.75" x14ac:dyDescent="0.25">
      <c r="A360" s="5">
        <f t="shared" si="183"/>
        <v>357</v>
      </c>
      <c r="B360" s="16">
        <v>109810</v>
      </c>
      <c r="C360" s="6">
        <v>257</v>
      </c>
      <c r="D360" s="5" t="s">
        <v>143</v>
      </c>
      <c r="E360" s="18" t="s">
        <v>271</v>
      </c>
      <c r="F360" s="8" t="s">
        <v>320</v>
      </c>
      <c r="G360" s="5" t="s">
        <v>321</v>
      </c>
      <c r="H360" s="5" t="s">
        <v>151</v>
      </c>
      <c r="I360" s="42" t="s">
        <v>328</v>
      </c>
      <c r="J360" s="2">
        <v>43192</v>
      </c>
      <c r="K360" s="2">
        <v>43679</v>
      </c>
      <c r="L360" s="17">
        <f t="shared" si="175"/>
        <v>82.304188283311021</v>
      </c>
      <c r="M360" s="5" t="s">
        <v>273</v>
      </c>
      <c r="N360" s="5" t="s">
        <v>307</v>
      </c>
      <c r="O360" s="5" t="s">
        <v>307</v>
      </c>
      <c r="P360" s="3" t="s">
        <v>275</v>
      </c>
      <c r="Q360" s="5" t="s">
        <v>34</v>
      </c>
      <c r="R360" s="9">
        <f t="shared" si="184"/>
        <v>821139.01</v>
      </c>
      <c r="S360" s="4">
        <v>662177.06999999995</v>
      </c>
      <c r="T360" s="4">
        <v>158961.94</v>
      </c>
      <c r="U360" s="9">
        <f t="shared" si="188"/>
        <v>156595.26</v>
      </c>
      <c r="V360" s="54">
        <v>116854.78</v>
      </c>
      <c r="W360" s="54">
        <v>39740.480000000003</v>
      </c>
      <c r="X360" s="9">
        <f t="shared" si="185"/>
        <v>0</v>
      </c>
      <c r="Y360" s="9">
        <v>0</v>
      </c>
      <c r="Z360" s="9">
        <v>0</v>
      </c>
      <c r="AA360" s="9">
        <f t="shared" si="186"/>
        <v>19953.73</v>
      </c>
      <c r="AB360" s="9">
        <v>15898.58</v>
      </c>
      <c r="AC360" s="9">
        <v>4055.15</v>
      </c>
      <c r="AD360" s="45">
        <f t="shared" si="182"/>
        <v>997688</v>
      </c>
      <c r="AE360" s="9"/>
      <c r="AF360" s="9">
        <f t="shared" si="187"/>
        <v>997688</v>
      </c>
      <c r="AG360" s="50" t="s">
        <v>966</v>
      </c>
      <c r="AH360" s="14"/>
      <c r="AI360" s="1">
        <v>768017.32</v>
      </c>
      <c r="AJ360" s="1">
        <v>146464.70000000001</v>
      </c>
    </row>
    <row r="361" spans="1:36" ht="141.75" x14ac:dyDescent="0.25">
      <c r="A361" s="5">
        <f t="shared" si="183"/>
        <v>358</v>
      </c>
      <c r="B361" s="16">
        <v>112956</v>
      </c>
      <c r="C361" s="6">
        <v>273</v>
      </c>
      <c r="D361" s="5" t="s">
        <v>143</v>
      </c>
      <c r="E361" s="18" t="s">
        <v>271</v>
      </c>
      <c r="F361" s="8" t="s">
        <v>322</v>
      </c>
      <c r="G361" s="52" t="s">
        <v>323</v>
      </c>
      <c r="H361" s="5" t="s">
        <v>324</v>
      </c>
      <c r="I361" s="42" t="s">
        <v>456</v>
      </c>
      <c r="J361" s="2">
        <v>43192</v>
      </c>
      <c r="K361" s="2">
        <v>43679</v>
      </c>
      <c r="L361" s="17">
        <f t="shared" si="175"/>
        <v>82.304175027233867</v>
      </c>
      <c r="M361" s="5" t="s">
        <v>273</v>
      </c>
      <c r="N361" s="5" t="s">
        <v>307</v>
      </c>
      <c r="O361" s="5" t="s">
        <v>307</v>
      </c>
      <c r="P361" s="3" t="s">
        <v>275</v>
      </c>
      <c r="Q361" s="5" t="s">
        <v>34</v>
      </c>
      <c r="R361" s="9">
        <f t="shared" si="184"/>
        <v>710350.38</v>
      </c>
      <c r="S361" s="9">
        <v>572835.76</v>
      </c>
      <c r="T361" s="9">
        <v>137514.62</v>
      </c>
      <c r="U361" s="9">
        <f t="shared" si="188"/>
        <v>135467.44</v>
      </c>
      <c r="V361" s="54">
        <v>101088.74</v>
      </c>
      <c r="W361" s="54">
        <v>34378.699999999997</v>
      </c>
      <c r="X361" s="9">
        <f t="shared" si="185"/>
        <v>0</v>
      </c>
      <c r="Y361" s="9">
        <v>0</v>
      </c>
      <c r="Z361" s="9">
        <v>0</v>
      </c>
      <c r="AA361" s="9">
        <f t="shared" si="186"/>
        <v>17261.579999999998</v>
      </c>
      <c r="AB361" s="9">
        <v>13753.55</v>
      </c>
      <c r="AC361" s="9">
        <v>3508.03</v>
      </c>
      <c r="AD361" s="45">
        <f t="shared" si="182"/>
        <v>863079.4</v>
      </c>
      <c r="AE361" s="9"/>
      <c r="AF361" s="9">
        <f t="shared" si="187"/>
        <v>863079.4</v>
      </c>
      <c r="AG361" s="50" t="s">
        <v>966</v>
      </c>
      <c r="AH361" s="14" t="s">
        <v>151</v>
      </c>
      <c r="AI361" s="1">
        <f>629253.72-17069.05</f>
        <v>612184.66999999993</v>
      </c>
      <c r="AJ361" s="1">
        <f>109991.49+6755.11</f>
        <v>116746.6</v>
      </c>
    </row>
    <row r="362" spans="1:36" ht="173.25" x14ac:dyDescent="0.25">
      <c r="A362" s="5">
        <f t="shared" si="183"/>
        <v>359</v>
      </c>
      <c r="B362" s="16">
        <v>112066</v>
      </c>
      <c r="C362" s="6">
        <v>262</v>
      </c>
      <c r="D362" s="5" t="s">
        <v>143</v>
      </c>
      <c r="E362" s="18" t="s">
        <v>271</v>
      </c>
      <c r="F362" s="8" t="s">
        <v>325</v>
      </c>
      <c r="G362" s="5" t="s">
        <v>326</v>
      </c>
      <c r="H362" s="5" t="s">
        <v>327</v>
      </c>
      <c r="I362" s="42" t="s">
        <v>457</v>
      </c>
      <c r="J362" s="2">
        <v>43193</v>
      </c>
      <c r="K362" s="2">
        <v>43680</v>
      </c>
      <c r="L362" s="17">
        <f t="shared" si="175"/>
        <v>82.304184459884823</v>
      </c>
      <c r="M362" s="5" t="s">
        <v>273</v>
      </c>
      <c r="N362" s="5" t="s">
        <v>307</v>
      </c>
      <c r="O362" s="5" t="s">
        <v>307</v>
      </c>
      <c r="P362" s="3" t="s">
        <v>275</v>
      </c>
      <c r="Q362" s="5" t="s">
        <v>34</v>
      </c>
      <c r="R362" s="9">
        <f t="shared" si="184"/>
        <v>822673.27</v>
      </c>
      <c r="S362" s="9">
        <v>663414.31999999995</v>
      </c>
      <c r="T362" s="9">
        <v>159258.95000000001</v>
      </c>
      <c r="U362" s="9">
        <f t="shared" si="188"/>
        <v>156887.87</v>
      </c>
      <c r="V362" s="54">
        <v>117073.13</v>
      </c>
      <c r="W362" s="54">
        <v>39814.74</v>
      </c>
      <c r="X362" s="9">
        <f t="shared" si="185"/>
        <v>0</v>
      </c>
      <c r="Y362" s="9">
        <v>0</v>
      </c>
      <c r="Z362" s="9">
        <v>0</v>
      </c>
      <c r="AA362" s="9">
        <f t="shared" si="186"/>
        <v>19991.04</v>
      </c>
      <c r="AB362" s="9">
        <v>15928.31</v>
      </c>
      <c r="AC362" s="9">
        <v>4062.73</v>
      </c>
      <c r="AD362" s="45">
        <f t="shared" si="182"/>
        <v>999552.18</v>
      </c>
      <c r="AE362" s="9"/>
      <c r="AF362" s="9">
        <f t="shared" si="187"/>
        <v>999552.18</v>
      </c>
      <c r="AG362" s="50" t="s">
        <v>966</v>
      </c>
      <c r="AH362" s="14" t="s">
        <v>151</v>
      </c>
      <c r="AI362" s="1">
        <v>639101.23</v>
      </c>
      <c r="AJ362" s="1">
        <v>121879.75</v>
      </c>
    </row>
    <row r="363" spans="1:36" ht="220.5" x14ac:dyDescent="0.25">
      <c r="A363" s="5">
        <f t="shared" si="183"/>
        <v>360</v>
      </c>
      <c r="B363" s="16">
        <v>121460</v>
      </c>
      <c r="C363" s="6">
        <v>59</v>
      </c>
      <c r="D363" s="5" t="s">
        <v>143</v>
      </c>
      <c r="E363" s="18" t="s">
        <v>110</v>
      </c>
      <c r="F363" s="18" t="s">
        <v>342</v>
      </c>
      <c r="G363" s="3" t="s">
        <v>2091</v>
      </c>
      <c r="H363" s="5" t="s">
        <v>296</v>
      </c>
      <c r="I363" s="42" t="s">
        <v>343</v>
      </c>
      <c r="J363" s="2">
        <v>43207</v>
      </c>
      <c r="K363" s="2">
        <v>44668</v>
      </c>
      <c r="L363" s="17">
        <f t="shared" si="175"/>
        <v>83.983863902506371</v>
      </c>
      <c r="M363" s="5" t="s">
        <v>273</v>
      </c>
      <c r="N363" s="5" t="s">
        <v>307</v>
      </c>
      <c r="O363" s="5" t="s">
        <v>307</v>
      </c>
      <c r="P363" s="3" t="s">
        <v>138</v>
      </c>
      <c r="Q363" s="5" t="s">
        <v>34</v>
      </c>
      <c r="R363" s="9">
        <f t="shared" si="184"/>
        <v>5246578.1000000006</v>
      </c>
      <c r="S363" s="9">
        <v>4230908.1500000004</v>
      </c>
      <c r="T363" s="9">
        <v>1015669.95</v>
      </c>
      <c r="U363" s="9">
        <f t="shared" si="188"/>
        <v>0</v>
      </c>
      <c r="V363" s="54">
        <v>0</v>
      </c>
      <c r="W363" s="54">
        <v>0</v>
      </c>
      <c r="X363" s="9">
        <f t="shared" si="185"/>
        <v>1000548.26</v>
      </c>
      <c r="Y363" s="4">
        <v>746630.76</v>
      </c>
      <c r="Z363" s="9">
        <v>253917.5</v>
      </c>
      <c r="AA363" s="9">
        <f t="shared" si="186"/>
        <v>0</v>
      </c>
      <c r="AB363" s="9">
        <v>0</v>
      </c>
      <c r="AC363" s="9">
        <v>0</v>
      </c>
      <c r="AD363" s="45">
        <f t="shared" si="182"/>
        <v>6247126.3600000003</v>
      </c>
      <c r="AE363" s="9">
        <v>0</v>
      </c>
      <c r="AF363" s="9">
        <f t="shared" si="187"/>
        <v>6247126.3600000003</v>
      </c>
      <c r="AG363" s="60" t="s">
        <v>515</v>
      </c>
      <c r="AH363" s="14" t="s">
        <v>2207</v>
      </c>
      <c r="AI363" s="1">
        <f>897869.37+243536.81+342862.59+163687.91</f>
        <v>1647956.68</v>
      </c>
      <c r="AJ363" s="1">
        <v>0</v>
      </c>
    </row>
    <row r="364" spans="1:36" ht="173.25" x14ac:dyDescent="0.25">
      <c r="A364" s="5">
        <f t="shared" si="183"/>
        <v>361</v>
      </c>
      <c r="B364" s="16">
        <v>109749</v>
      </c>
      <c r="C364" s="6">
        <v>253</v>
      </c>
      <c r="D364" s="5" t="s">
        <v>143</v>
      </c>
      <c r="E364" s="18" t="s">
        <v>271</v>
      </c>
      <c r="F364" s="18" t="s">
        <v>331</v>
      </c>
      <c r="G364" s="183" t="s">
        <v>332</v>
      </c>
      <c r="H364" s="5" t="s">
        <v>151</v>
      </c>
      <c r="I364" s="42" t="s">
        <v>458</v>
      </c>
      <c r="J364" s="2">
        <v>43208</v>
      </c>
      <c r="K364" s="2">
        <v>43695</v>
      </c>
      <c r="L364" s="17">
        <f t="shared" si="175"/>
        <v>82.304185790916577</v>
      </c>
      <c r="M364" s="5" t="s">
        <v>273</v>
      </c>
      <c r="N364" s="5" t="s">
        <v>350</v>
      </c>
      <c r="O364" s="5" t="s">
        <v>350</v>
      </c>
      <c r="P364" s="3" t="s">
        <v>275</v>
      </c>
      <c r="Q364" s="5" t="s">
        <v>34</v>
      </c>
      <c r="R364" s="9">
        <f t="shared" si="184"/>
        <v>808649.72</v>
      </c>
      <c r="S364" s="4">
        <v>652105.54</v>
      </c>
      <c r="T364" s="4">
        <v>156544.18</v>
      </c>
      <c r="U364" s="9">
        <f t="shared" si="188"/>
        <v>154213.49</v>
      </c>
      <c r="V364" s="54">
        <v>115077.45</v>
      </c>
      <c r="W364" s="54">
        <v>39136.04</v>
      </c>
      <c r="X364" s="9">
        <f t="shared" si="185"/>
        <v>0</v>
      </c>
      <c r="Y364" s="9">
        <v>0</v>
      </c>
      <c r="Z364" s="9">
        <v>0</v>
      </c>
      <c r="AA364" s="9">
        <f t="shared" si="186"/>
        <v>19650.27</v>
      </c>
      <c r="AB364" s="9">
        <v>15656.8</v>
      </c>
      <c r="AC364" s="9">
        <v>3993.47</v>
      </c>
      <c r="AD364" s="45">
        <f t="shared" si="182"/>
        <v>982513.48</v>
      </c>
      <c r="AE364" s="9"/>
      <c r="AF364" s="9">
        <f t="shared" si="187"/>
        <v>982513.48</v>
      </c>
      <c r="AG364" s="50" t="s">
        <v>966</v>
      </c>
      <c r="AH364" s="14"/>
      <c r="AI364" s="1">
        <f>320855.76+13409.42+153292.16+833.72+98250+85029.68+131034.25-5408.6</f>
        <v>797296.39</v>
      </c>
      <c r="AJ364" s="1">
        <f>63706.03+10496.81+18895.75+16215.58+24988.88+17705.3</f>
        <v>152008.34999999998</v>
      </c>
    </row>
    <row r="365" spans="1:36" ht="204.75" x14ac:dyDescent="0.25">
      <c r="A365" s="5">
        <f t="shared" si="183"/>
        <v>362</v>
      </c>
      <c r="B365" s="16">
        <v>109967</v>
      </c>
      <c r="C365" s="6">
        <v>177</v>
      </c>
      <c r="D365" s="5" t="s">
        <v>143</v>
      </c>
      <c r="E365" s="18" t="s">
        <v>271</v>
      </c>
      <c r="F365" s="18" t="s">
        <v>337</v>
      </c>
      <c r="G365" s="5" t="s">
        <v>338</v>
      </c>
      <c r="H365" s="5" t="s">
        <v>151</v>
      </c>
      <c r="I365" s="42" t="s">
        <v>459</v>
      </c>
      <c r="J365" s="2">
        <v>43208</v>
      </c>
      <c r="K365" s="2">
        <v>43695</v>
      </c>
      <c r="L365" s="17">
        <f t="shared" si="175"/>
        <v>82.304184597190911</v>
      </c>
      <c r="M365" s="5" t="s">
        <v>273</v>
      </c>
      <c r="N365" s="5" t="s">
        <v>307</v>
      </c>
      <c r="O365" s="5" t="s">
        <v>307</v>
      </c>
      <c r="P365" s="3" t="s">
        <v>275</v>
      </c>
      <c r="Q365" s="5" t="s">
        <v>34</v>
      </c>
      <c r="R365" s="9">
        <f t="shared" si="184"/>
        <v>804452.45</v>
      </c>
      <c r="S365" s="9">
        <v>648720.82999999996</v>
      </c>
      <c r="T365" s="9">
        <v>155731.62</v>
      </c>
      <c r="U365" s="9">
        <f t="shared" si="188"/>
        <v>153413.06</v>
      </c>
      <c r="V365" s="54">
        <v>114480.15</v>
      </c>
      <c r="W365" s="54">
        <v>38932.910000000003</v>
      </c>
      <c r="X365" s="9">
        <f t="shared" si="185"/>
        <v>0</v>
      </c>
      <c r="Y365" s="184">
        <v>0</v>
      </c>
      <c r="Z365" s="184">
        <v>0</v>
      </c>
      <c r="AA365" s="9">
        <f t="shared" si="186"/>
        <v>19548.28</v>
      </c>
      <c r="AB365" s="9">
        <v>15575.51</v>
      </c>
      <c r="AC365" s="9">
        <v>3972.77</v>
      </c>
      <c r="AD365" s="45">
        <f t="shared" si="182"/>
        <v>977413.79</v>
      </c>
      <c r="AE365" s="9"/>
      <c r="AF365" s="9">
        <f t="shared" si="187"/>
        <v>977413.79</v>
      </c>
      <c r="AG365" s="50" t="s">
        <v>966</v>
      </c>
      <c r="AH365" s="14" t="s">
        <v>1218</v>
      </c>
      <c r="AI365" s="1">
        <f>312590.47-8868.28+88856.3+55475.75+73233.76+50351.94+43692.49-8964.67+55972.79-7971.42+22143.49</f>
        <v>676512.61999999988</v>
      </c>
      <c r="AJ365" s="1">
        <f>40972.78+16948.54+8885.07+13966.04+9602.34+8332.37+8964.67+7971.42+13371.02</f>
        <v>129014.24999999999</v>
      </c>
    </row>
    <row r="366" spans="1:36" ht="157.5" x14ac:dyDescent="0.25">
      <c r="A366" s="5">
        <f t="shared" si="183"/>
        <v>363</v>
      </c>
      <c r="B366" s="16">
        <v>112811</v>
      </c>
      <c r="C366" s="5">
        <v>196</v>
      </c>
      <c r="D366" s="5" t="s">
        <v>143</v>
      </c>
      <c r="E366" s="18" t="s">
        <v>271</v>
      </c>
      <c r="F366" s="18" t="s">
        <v>339</v>
      </c>
      <c r="G366" s="5" t="s">
        <v>340</v>
      </c>
      <c r="H366" s="5" t="s">
        <v>151</v>
      </c>
      <c r="I366" s="42" t="s">
        <v>341</v>
      </c>
      <c r="J366" s="2">
        <v>43208</v>
      </c>
      <c r="K366" s="2">
        <v>43573</v>
      </c>
      <c r="L366" s="17">
        <f t="shared" si="175"/>
        <v>82.304184666338784</v>
      </c>
      <c r="M366" s="5" t="s">
        <v>273</v>
      </c>
      <c r="N366" s="5" t="s">
        <v>307</v>
      </c>
      <c r="O366" s="5" t="s">
        <v>307</v>
      </c>
      <c r="P366" s="3" t="s">
        <v>275</v>
      </c>
      <c r="Q366" s="5" t="s">
        <v>34</v>
      </c>
      <c r="R366" s="9">
        <f t="shared" si="184"/>
        <v>760931.29</v>
      </c>
      <c r="S366" s="9">
        <v>613624.79</v>
      </c>
      <c r="T366" s="9">
        <v>147306.5</v>
      </c>
      <c r="U366" s="9">
        <f t="shared" si="188"/>
        <v>145113.35999999999</v>
      </c>
      <c r="V366" s="54">
        <v>108286.73</v>
      </c>
      <c r="W366" s="54">
        <v>36826.629999999997</v>
      </c>
      <c r="X366" s="9">
        <f t="shared" si="185"/>
        <v>0</v>
      </c>
      <c r="Y366" s="9">
        <v>0</v>
      </c>
      <c r="Z366" s="9">
        <v>0</v>
      </c>
      <c r="AA366" s="9">
        <f t="shared" si="186"/>
        <v>18490.71</v>
      </c>
      <c r="AB366" s="9">
        <v>14732.89</v>
      </c>
      <c r="AC366" s="9">
        <v>3757.82</v>
      </c>
      <c r="AD366" s="45">
        <f t="shared" si="182"/>
        <v>924535.36</v>
      </c>
      <c r="AE366" s="9"/>
      <c r="AF366" s="9">
        <f t="shared" si="187"/>
        <v>924535.36</v>
      </c>
      <c r="AG366" s="50" t="s">
        <v>966</v>
      </c>
      <c r="AH366" s="14"/>
      <c r="AI366" s="1">
        <f>91800+75057.16+74073.77+121742.1-7175.16+205568.39+83432.56-15293.57</f>
        <v>629205.25000000012</v>
      </c>
      <c r="AJ366" s="1">
        <f>14189.24+14126.23+23216.82+16262.9+21571.65+15911+14714.69</f>
        <v>119992.53</v>
      </c>
    </row>
    <row r="367" spans="1:36" ht="299.25" x14ac:dyDescent="0.25">
      <c r="A367" s="5">
        <f t="shared" si="183"/>
        <v>364</v>
      </c>
      <c r="B367" s="16">
        <v>112080</v>
      </c>
      <c r="C367" s="6">
        <v>354</v>
      </c>
      <c r="D367" s="5" t="s">
        <v>143</v>
      </c>
      <c r="E367" s="18" t="s">
        <v>271</v>
      </c>
      <c r="F367" s="18" t="s">
        <v>349</v>
      </c>
      <c r="G367" s="3" t="s">
        <v>348</v>
      </c>
      <c r="H367" s="5" t="s">
        <v>151</v>
      </c>
      <c r="I367" s="42" t="s">
        <v>460</v>
      </c>
      <c r="J367" s="2">
        <v>43214</v>
      </c>
      <c r="K367" s="2">
        <v>43793</v>
      </c>
      <c r="L367" s="17">
        <f t="shared" si="175"/>
        <v>82.304185109241828</v>
      </c>
      <c r="M367" s="5" t="s">
        <v>273</v>
      </c>
      <c r="N367" s="5" t="s">
        <v>307</v>
      </c>
      <c r="O367" s="5" t="s">
        <v>307</v>
      </c>
      <c r="P367" s="3" t="s">
        <v>275</v>
      </c>
      <c r="Q367" s="5" t="s">
        <v>34</v>
      </c>
      <c r="R367" s="9">
        <f t="shared" si="184"/>
        <v>570578.29</v>
      </c>
      <c r="S367" s="9">
        <v>460121.68</v>
      </c>
      <c r="T367" s="9">
        <v>110456.61</v>
      </c>
      <c r="U367" s="9">
        <f t="shared" si="188"/>
        <v>108812.1</v>
      </c>
      <c r="V367" s="54">
        <v>81197.94</v>
      </c>
      <c r="W367" s="54">
        <v>27614.16</v>
      </c>
      <c r="X367" s="9">
        <f t="shared" si="185"/>
        <v>0</v>
      </c>
      <c r="Y367" s="9">
        <v>0</v>
      </c>
      <c r="Z367" s="9">
        <v>0</v>
      </c>
      <c r="AA367" s="9">
        <f t="shared" si="186"/>
        <v>13865.11</v>
      </c>
      <c r="AB367" s="9">
        <v>11047.34</v>
      </c>
      <c r="AC367" s="9">
        <v>2817.77</v>
      </c>
      <c r="AD367" s="45">
        <f t="shared" si="182"/>
        <v>693255.5</v>
      </c>
      <c r="AE367" s="9">
        <v>0</v>
      </c>
      <c r="AF367" s="9">
        <f t="shared" si="187"/>
        <v>693255.5</v>
      </c>
      <c r="AG367" s="50" t="s">
        <v>966</v>
      </c>
      <c r="AH367" s="14" t="s">
        <v>1387</v>
      </c>
      <c r="AI367" s="1">
        <f>314971.26+69325.55+97282.65-5135.32</f>
        <v>476444.13999999996</v>
      </c>
      <c r="AJ367" s="1">
        <f>60066.57+25498.8+5294.87</f>
        <v>90860.239999999991</v>
      </c>
    </row>
    <row r="368" spans="1:36" ht="189" x14ac:dyDescent="0.25">
      <c r="A368" s="5">
        <f t="shared" si="183"/>
        <v>365</v>
      </c>
      <c r="B368" s="16">
        <v>111113</v>
      </c>
      <c r="C368" s="6">
        <v>252</v>
      </c>
      <c r="D368" s="5" t="s">
        <v>143</v>
      </c>
      <c r="E368" s="18" t="s">
        <v>271</v>
      </c>
      <c r="F368" s="18" t="s">
        <v>351</v>
      </c>
      <c r="G368" s="3" t="s">
        <v>1096</v>
      </c>
      <c r="H368" s="5" t="s">
        <v>377</v>
      </c>
      <c r="I368" s="42" t="s">
        <v>353</v>
      </c>
      <c r="J368" s="2">
        <v>43214</v>
      </c>
      <c r="K368" s="2">
        <v>43579</v>
      </c>
      <c r="L368" s="17">
        <f t="shared" si="175"/>
        <v>82.304185972255567</v>
      </c>
      <c r="M368" s="5" t="s">
        <v>273</v>
      </c>
      <c r="N368" s="5" t="s">
        <v>304</v>
      </c>
      <c r="O368" s="5" t="s">
        <v>352</v>
      </c>
      <c r="P368" s="3" t="s">
        <v>275</v>
      </c>
      <c r="Q368" s="5" t="s">
        <v>34</v>
      </c>
      <c r="R368" s="9">
        <f t="shared" si="184"/>
        <v>793396.18</v>
      </c>
      <c r="S368" s="9">
        <v>639804.9</v>
      </c>
      <c r="T368" s="9">
        <v>153591.28</v>
      </c>
      <c r="U368" s="9">
        <f t="shared" si="188"/>
        <v>151304.57</v>
      </c>
      <c r="V368" s="54">
        <v>112906.75</v>
      </c>
      <c r="W368" s="54">
        <v>38397.82</v>
      </c>
      <c r="X368" s="9">
        <f t="shared" si="185"/>
        <v>0</v>
      </c>
      <c r="Y368" s="9">
        <v>0</v>
      </c>
      <c r="Z368" s="9">
        <v>0</v>
      </c>
      <c r="AA368" s="9">
        <f t="shared" si="186"/>
        <v>19279.599999999999</v>
      </c>
      <c r="AB368" s="9">
        <v>15361.46</v>
      </c>
      <c r="AC368" s="9">
        <v>3918.14</v>
      </c>
      <c r="AD368" s="45">
        <f t="shared" si="182"/>
        <v>963980.35</v>
      </c>
      <c r="AE368" s="9">
        <v>0</v>
      </c>
      <c r="AF368" s="9">
        <f t="shared" si="187"/>
        <v>963980.35</v>
      </c>
      <c r="AG368" s="50" t="s">
        <v>966</v>
      </c>
      <c r="AH368" s="14" t="s">
        <v>151</v>
      </c>
      <c r="AI368" s="1">
        <f>360374.76+80428.02+85558.08+11319.22+96397+20389.47+84094.42</f>
        <v>738560.97</v>
      </c>
      <c r="AJ368" s="1">
        <f>36349.9+31943.22+13703.1+20542.02+22271.75+16037.23</f>
        <v>140847.22</v>
      </c>
    </row>
    <row r="369" spans="1:36" ht="315" x14ac:dyDescent="0.25">
      <c r="A369" s="5">
        <f t="shared" si="183"/>
        <v>366</v>
      </c>
      <c r="B369" s="16">
        <v>109880</v>
      </c>
      <c r="C369" s="6">
        <v>261</v>
      </c>
      <c r="D369" s="5" t="s">
        <v>143</v>
      </c>
      <c r="E369" s="18" t="s">
        <v>271</v>
      </c>
      <c r="F369" s="18" t="s">
        <v>360</v>
      </c>
      <c r="G369" s="28" t="s">
        <v>358</v>
      </c>
      <c r="H369" s="3" t="s">
        <v>359</v>
      </c>
      <c r="I369" s="42" t="s">
        <v>461</v>
      </c>
      <c r="J369" s="2">
        <v>43214</v>
      </c>
      <c r="K369" s="2">
        <v>43640</v>
      </c>
      <c r="L369" s="17">
        <f t="shared" ref="L369:L431" si="189">R369/AD369*100</f>
        <v>82.304184374786118</v>
      </c>
      <c r="M369" s="5" t="s">
        <v>273</v>
      </c>
      <c r="N369" s="5" t="s">
        <v>220</v>
      </c>
      <c r="O369" s="5" t="s">
        <v>361</v>
      </c>
      <c r="P369" s="3" t="s">
        <v>275</v>
      </c>
      <c r="Q369" s="5" t="s">
        <v>34</v>
      </c>
      <c r="R369" s="9">
        <f t="shared" ref="R369:R400" si="190">S369+T369</f>
        <v>782828.76</v>
      </c>
      <c r="S369" s="9">
        <v>631283.18999999994</v>
      </c>
      <c r="T369" s="9">
        <v>151545.57</v>
      </c>
      <c r="U369" s="9">
        <f t="shared" si="188"/>
        <v>149289.32</v>
      </c>
      <c r="V369" s="54">
        <v>111402.93</v>
      </c>
      <c r="W369" s="54">
        <v>37886.39</v>
      </c>
      <c r="X369" s="9">
        <f t="shared" ref="X369:X399" si="191">Y369+Z369</f>
        <v>0</v>
      </c>
      <c r="Y369" s="9">
        <v>0</v>
      </c>
      <c r="Z369" s="9">
        <v>0</v>
      </c>
      <c r="AA369" s="9">
        <f t="shared" ref="AA369:AA400" si="192">AB369+AC369</f>
        <v>19022.82</v>
      </c>
      <c r="AB369" s="9">
        <v>15156.86</v>
      </c>
      <c r="AC369" s="9">
        <v>3865.96</v>
      </c>
      <c r="AD369" s="45">
        <f t="shared" si="182"/>
        <v>951140.9</v>
      </c>
      <c r="AE369" s="9"/>
      <c r="AF369" s="9">
        <f t="shared" ref="AF369:AF400" si="193">AD369+AE369</f>
        <v>951140.9</v>
      </c>
      <c r="AG369" s="50" t="s">
        <v>966</v>
      </c>
      <c r="AH369" s="14" t="s">
        <v>362</v>
      </c>
      <c r="AI369" s="1">
        <v>734392.74</v>
      </c>
      <c r="AJ369" s="1">
        <v>140052.42000000001</v>
      </c>
    </row>
    <row r="370" spans="1:36" ht="204.75" x14ac:dyDescent="0.25">
      <c r="A370" s="5">
        <f t="shared" si="183"/>
        <v>367</v>
      </c>
      <c r="B370" s="16">
        <v>110309</v>
      </c>
      <c r="C370" s="5">
        <v>304</v>
      </c>
      <c r="D370" s="5" t="s">
        <v>143</v>
      </c>
      <c r="E370" s="18" t="s">
        <v>271</v>
      </c>
      <c r="F370" s="8" t="s">
        <v>392</v>
      </c>
      <c r="G370" s="5" t="s">
        <v>393</v>
      </c>
      <c r="H370" s="5" t="s">
        <v>151</v>
      </c>
      <c r="I370" s="42" t="s">
        <v>394</v>
      </c>
      <c r="J370" s="2">
        <v>43217</v>
      </c>
      <c r="K370" s="2">
        <v>43888</v>
      </c>
      <c r="L370" s="17">
        <f t="shared" si="189"/>
        <v>82.304189246721677</v>
      </c>
      <c r="M370" s="5" t="s">
        <v>273</v>
      </c>
      <c r="N370" s="5" t="s">
        <v>365</v>
      </c>
      <c r="O370" s="5" t="s">
        <v>365</v>
      </c>
      <c r="P370" s="3" t="s">
        <v>275</v>
      </c>
      <c r="Q370" s="5" t="s">
        <v>34</v>
      </c>
      <c r="R370" s="9">
        <f t="shared" si="190"/>
        <v>822248.62</v>
      </c>
      <c r="S370" s="9">
        <v>663071.87</v>
      </c>
      <c r="T370" s="9">
        <v>159176.75</v>
      </c>
      <c r="U370" s="9">
        <f t="shared" si="188"/>
        <v>156806.83000000002</v>
      </c>
      <c r="V370" s="54">
        <v>117012.66</v>
      </c>
      <c r="W370" s="54">
        <v>39794.17</v>
      </c>
      <c r="X370" s="9">
        <f t="shared" si="191"/>
        <v>0</v>
      </c>
      <c r="Y370" s="9">
        <v>0</v>
      </c>
      <c r="Z370" s="9">
        <v>0</v>
      </c>
      <c r="AA370" s="9">
        <f t="shared" si="192"/>
        <v>19980.72</v>
      </c>
      <c r="AB370" s="9">
        <v>15920.08</v>
      </c>
      <c r="AC370" s="9">
        <v>4060.64</v>
      </c>
      <c r="AD370" s="45">
        <f t="shared" si="182"/>
        <v>999036.16999999993</v>
      </c>
      <c r="AE370" s="9">
        <v>0</v>
      </c>
      <c r="AF370" s="9">
        <f t="shared" si="193"/>
        <v>999036.16999999993</v>
      </c>
      <c r="AG370" s="60" t="s">
        <v>1685</v>
      </c>
      <c r="AH370" s="14" t="s">
        <v>1657</v>
      </c>
      <c r="AI370" s="1">
        <v>553062.27999999991</v>
      </c>
      <c r="AJ370" s="1">
        <v>105471.71999999999</v>
      </c>
    </row>
    <row r="371" spans="1:36" ht="141.75" x14ac:dyDescent="0.25">
      <c r="A371" s="5">
        <f t="shared" si="183"/>
        <v>368</v>
      </c>
      <c r="B371" s="16">
        <v>112122</v>
      </c>
      <c r="C371" s="6">
        <v>172</v>
      </c>
      <c r="D371" s="5" t="s">
        <v>143</v>
      </c>
      <c r="E371" s="18" t="s">
        <v>271</v>
      </c>
      <c r="F371" s="33" t="s">
        <v>363</v>
      </c>
      <c r="G371" s="5" t="s">
        <v>364</v>
      </c>
      <c r="H371" s="5" t="s">
        <v>151</v>
      </c>
      <c r="I371" s="42" t="s">
        <v>1418</v>
      </c>
      <c r="J371" s="2">
        <v>43217</v>
      </c>
      <c r="K371" s="2">
        <v>43796</v>
      </c>
      <c r="L371" s="17">
        <f t="shared" si="189"/>
        <v>82.30418763248349</v>
      </c>
      <c r="M371" s="5" t="s">
        <v>273</v>
      </c>
      <c r="N371" s="5" t="s">
        <v>220</v>
      </c>
      <c r="O371" s="5" t="s">
        <v>361</v>
      </c>
      <c r="P371" s="3" t="s">
        <v>275</v>
      </c>
      <c r="Q371" s="5" t="s">
        <v>34</v>
      </c>
      <c r="R371" s="9">
        <f t="shared" si="190"/>
        <v>773010.27999999991</v>
      </c>
      <c r="S371" s="9">
        <v>623365.43999999994</v>
      </c>
      <c r="T371" s="9">
        <v>149644.84</v>
      </c>
      <c r="U371" s="9">
        <f t="shared" si="188"/>
        <v>147416.85999999999</v>
      </c>
      <c r="V371" s="54">
        <v>110005.65</v>
      </c>
      <c r="W371" s="54">
        <v>37411.21</v>
      </c>
      <c r="X371" s="9">
        <f t="shared" si="191"/>
        <v>0</v>
      </c>
      <c r="Y371" s="9">
        <v>0</v>
      </c>
      <c r="Z371" s="9">
        <v>0</v>
      </c>
      <c r="AA371" s="9">
        <f t="shared" si="192"/>
        <v>18784.22</v>
      </c>
      <c r="AB371" s="9">
        <v>14966.74</v>
      </c>
      <c r="AC371" s="9">
        <v>3817.48</v>
      </c>
      <c r="AD371" s="45">
        <f t="shared" si="182"/>
        <v>939211.35999999987</v>
      </c>
      <c r="AE371" s="9">
        <v>0</v>
      </c>
      <c r="AF371" s="9">
        <f t="shared" si="193"/>
        <v>939211.35999999987</v>
      </c>
      <c r="AG371" s="50" t="s">
        <v>966</v>
      </c>
      <c r="AH371" s="14" t="s">
        <v>1411</v>
      </c>
      <c r="AI371" s="1">
        <v>733967.87</v>
      </c>
      <c r="AJ371" s="1">
        <v>138744.60999999999</v>
      </c>
    </row>
    <row r="372" spans="1:36" ht="252" x14ac:dyDescent="0.25">
      <c r="A372" s="5">
        <f t="shared" si="183"/>
        <v>369</v>
      </c>
      <c r="B372" s="16">
        <v>111683</v>
      </c>
      <c r="C372" s="6">
        <v>339</v>
      </c>
      <c r="D372" s="5" t="s">
        <v>143</v>
      </c>
      <c r="E372" s="18" t="s">
        <v>271</v>
      </c>
      <c r="F372" s="8" t="s">
        <v>378</v>
      </c>
      <c r="G372" s="5" t="s">
        <v>379</v>
      </c>
      <c r="H372" s="5" t="s">
        <v>151</v>
      </c>
      <c r="I372" s="42" t="s">
        <v>462</v>
      </c>
      <c r="J372" s="2">
        <v>43227</v>
      </c>
      <c r="K372" s="2">
        <v>43868</v>
      </c>
      <c r="L372" s="17">
        <f t="shared" si="189"/>
        <v>82.304181640652189</v>
      </c>
      <c r="M372" s="5" t="s">
        <v>273</v>
      </c>
      <c r="N372" s="5" t="s">
        <v>262</v>
      </c>
      <c r="O372" s="5" t="s">
        <v>262</v>
      </c>
      <c r="P372" s="3" t="s">
        <v>275</v>
      </c>
      <c r="Q372" s="5" t="s">
        <v>34</v>
      </c>
      <c r="R372" s="9">
        <f t="shared" si="190"/>
        <v>791387.4800000001</v>
      </c>
      <c r="S372" s="9">
        <v>638185.06000000006</v>
      </c>
      <c r="T372" s="52">
        <v>153202.42000000001</v>
      </c>
      <c r="U372" s="9">
        <f t="shared" si="188"/>
        <v>150921.54999999999</v>
      </c>
      <c r="V372" s="185">
        <v>112620.91</v>
      </c>
      <c r="W372" s="54">
        <v>38300.639999999999</v>
      </c>
      <c r="X372" s="9">
        <f t="shared" si="191"/>
        <v>0</v>
      </c>
      <c r="Y372" s="9">
        <v>0</v>
      </c>
      <c r="Z372" s="9">
        <v>0</v>
      </c>
      <c r="AA372" s="9">
        <f t="shared" si="192"/>
        <v>19230.79</v>
      </c>
      <c r="AB372" s="9">
        <v>15322.58</v>
      </c>
      <c r="AC372" s="9">
        <v>3908.21</v>
      </c>
      <c r="AD372" s="45">
        <f t="shared" si="182"/>
        <v>961539.82000000007</v>
      </c>
      <c r="AE372" s="9"/>
      <c r="AF372" s="9">
        <f t="shared" si="193"/>
        <v>961539.82000000007</v>
      </c>
      <c r="AG372" s="60" t="s">
        <v>1685</v>
      </c>
      <c r="AH372" s="14" t="s">
        <v>1676</v>
      </c>
      <c r="AI372" s="1">
        <f>197162.71+172481.19+20945.29+96000+68397.19</f>
        <v>554986.38</v>
      </c>
      <c r="AJ372" s="1">
        <f>37599.88+14585.36+22302.07+31351.36</f>
        <v>105838.67</v>
      </c>
    </row>
    <row r="373" spans="1:36" ht="267.75" x14ac:dyDescent="0.25">
      <c r="A373" s="5">
        <f t="shared" si="183"/>
        <v>370</v>
      </c>
      <c r="B373" s="16">
        <v>112332</v>
      </c>
      <c r="C373" s="6">
        <v>351</v>
      </c>
      <c r="D373" s="5" t="s">
        <v>143</v>
      </c>
      <c r="E373" s="18" t="s">
        <v>271</v>
      </c>
      <c r="F373" s="3" t="s">
        <v>380</v>
      </c>
      <c r="G373" s="186" t="s">
        <v>381</v>
      </c>
      <c r="H373" s="33" t="s">
        <v>382</v>
      </c>
      <c r="I373" s="42" t="s">
        <v>383</v>
      </c>
      <c r="J373" s="2">
        <v>43227</v>
      </c>
      <c r="K373" s="2">
        <v>43715</v>
      </c>
      <c r="L373" s="17">
        <f t="shared" si="189"/>
        <v>82.803274340618188</v>
      </c>
      <c r="M373" s="5" t="s">
        <v>273</v>
      </c>
      <c r="N373" s="5" t="s">
        <v>901</v>
      </c>
      <c r="O373" s="5" t="s">
        <v>902</v>
      </c>
      <c r="P373" s="3" t="s">
        <v>275</v>
      </c>
      <c r="Q373" s="5" t="s">
        <v>34</v>
      </c>
      <c r="R373" s="9">
        <f t="shared" si="190"/>
        <v>789905.57000000007</v>
      </c>
      <c r="S373" s="9">
        <v>636990.03</v>
      </c>
      <c r="T373" s="9">
        <v>152915.54</v>
      </c>
      <c r="U373" s="9">
        <f t="shared" si="188"/>
        <v>144969.85</v>
      </c>
      <c r="V373" s="54">
        <v>107893.05</v>
      </c>
      <c r="W373" s="54">
        <v>37076.800000000003</v>
      </c>
      <c r="X373" s="9">
        <f t="shared" si="191"/>
        <v>0</v>
      </c>
      <c r="Y373" s="9">
        <v>0</v>
      </c>
      <c r="Z373" s="9">
        <v>0</v>
      </c>
      <c r="AA373" s="9">
        <f t="shared" si="192"/>
        <v>19079.09</v>
      </c>
      <c r="AB373" s="9">
        <v>15201.71</v>
      </c>
      <c r="AC373" s="9">
        <v>3877.38</v>
      </c>
      <c r="AD373" s="45">
        <f t="shared" si="182"/>
        <v>953954.51</v>
      </c>
      <c r="AE373" s="9">
        <v>0</v>
      </c>
      <c r="AF373" s="9">
        <f t="shared" si="193"/>
        <v>953954.51</v>
      </c>
      <c r="AG373" s="50" t="s">
        <v>966</v>
      </c>
      <c r="AH373" s="14" t="s">
        <v>151</v>
      </c>
      <c r="AI373" s="1">
        <f>103189.19-10344.17+64585.92+101525.85+67050.25+55900.12+82485.04+159943.99</f>
        <v>624336.18999999994</v>
      </c>
      <c r="AJ373" s="1">
        <f>6891.88+10344.17+32148.26+10660.44+28517.1+27035.36</f>
        <v>115597.21</v>
      </c>
    </row>
    <row r="374" spans="1:36" ht="204.75" x14ac:dyDescent="0.25">
      <c r="A374" s="5">
        <f t="shared" si="183"/>
        <v>371</v>
      </c>
      <c r="B374" s="16">
        <v>115657</v>
      </c>
      <c r="C374" s="6">
        <v>390</v>
      </c>
      <c r="D374" s="5" t="s">
        <v>143</v>
      </c>
      <c r="E374" s="18" t="s">
        <v>385</v>
      </c>
      <c r="F374" s="8" t="s">
        <v>384</v>
      </c>
      <c r="G374" s="5" t="s">
        <v>1592</v>
      </c>
      <c r="H374" s="5" t="s">
        <v>386</v>
      </c>
      <c r="I374" s="42" t="s">
        <v>387</v>
      </c>
      <c r="J374" s="2">
        <v>43223</v>
      </c>
      <c r="K374" s="2">
        <v>44107</v>
      </c>
      <c r="L374" s="17">
        <f t="shared" si="189"/>
        <v>83.983863433628301</v>
      </c>
      <c r="M374" s="5" t="s">
        <v>273</v>
      </c>
      <c r="N374" s="5" t="s">
        <v>307</v>
      </c>
      <c r="O374" s="5" t="s">
        <v>307</v>
      </c>
      <c r="P374" s="3" t="s">
        <v>138</v>
      </c>
      <c r="Q374" s="5" t="s">
        <v>34</v>
      </c>
      <c r="R374" s="9">
        <f t="shared" si="190"/>
        <v>5309367.59</v>
      </c>
      <c r="S374" s="9">
        <v>4281542.37</v>
      </c>
      <c r="T374" s="9">
        <v>1027825.22</v>
      </c>
      <c r="U374" s="9">
        <f t="shared" si="188"/>
        <v>0</v>
      </c>
      <c r="V374" s="54">
        <v>0</v>
      </c>
      <c r="W374" s="54">
        <v>0</v>
      </c>
      <c r="X374" s="9">
        <f t="shared" si="191"/>
        <v>1012522.56</v>
      </c>
      <c r="Y374" s="9">
        <v>755566.28</v>
      </c>
      <c r="Z374" s="9">
        <v>256956.28</v>
      </c>
      <c r="AA374" s="9">
        <f t="shared" si="192"/>
        <v>0</v>
      </c>
      <c r="AB374" s="9">
        <v>0</v>
      </c>
      <c r="AC374" s="9">
        <v>0</v>
      </c>
      <c r="AD374" s="45">
        <f t="shared" si="182"/>
        <v>6321890.1500000004</v>
      </c>
      <c r="AE374" s="9">
        <v>0</v>
      </c>
      <c r="AF374" s="9">
        <f t="shared" si="193"/>
        <v>6321890.1500000004</v>
      </c>
      <c r="AG374" s="60" t="s">
        <v>966</v>
      </c>
      <c r="AH374" s="14" t="s">
        <v>1841</v>
      </c>
      <c r="AI374" s="1">
        <f>2961929.57+845307.66+274031.87</f>
        <v>4081269.1</v>
      </c>
      <c r="AJ374" s="1">
        <v>0</v>
      </c>
    </row>
    <row r="375" spans="1:36" ht="409.5" x14ac:dyDescent="0.25">
      <c r="A375" s="5">
        <f t="shared" si="183"/>
        <v>372</v>
      </c>
      <c r="B375" s="16">
        <v>116294</v>
      </c>
      <c r="C375" s="6">
        <v>395</v>
      </c>
      <c r="D375" s="30" t="s">
        <v>143</v>
      </c>
      <c r="E375" s="18" t="s">
        <v>385</v>
      </c>
      <c r="F375" s="8" t="s">
        <v>751</v>
      </c>
      <c r="G375" s="5" t="s">
        <v>1648</v>
      </c>
      <c r="H375" s="5" t="s">
        <v>753</v>
      </c>
      <c r="I375" s="15" t="s">
        <v>752</v>
      </c>
      <c r="J375" s="2">
        <v>43307</v>
      </c>
      <c r="K375" s="2">
        <v>44465</v>
      </c>
      <c r="L375" s="17">
        <f t="shared" si="189"/>
        <v>83.983862635527075</v>
      </c>
      <c r="M375" s="5" t="s">
        <v>273</v>
      </c>
      <c r="N375" s="5" t="s">
        <v>262</v>
      </c>
      <c r="O375" s="5" t="s">
        <v>262</v>
      </c>
      <c r="P375" s="3" t="s">
        <v>138</v>
      </c>
      <c r="Q375" s="5" t="s">
        <v>34</v>
      </c>
      <c r="R375" s="9">
        <f t="shared" si="190"/>
        <v>9176268.1300000008</v>
      </c>
      <c r="S375" s="9">
        <v>7399860.79</v>
      </c>
      <c r="T375" s="9">
        <v>1776407.34</v>
      </c>
      <c r="U375" s="9">
        <f t="shared" si="188"/>
        <v>854299.02</v>
      </c>
      <c r="V375" s="54">
        <v>631334.16</v>
      </c>
      <c r="W375" s="54">
        <v>222964.86</v>
      </c>
      <c r="X375" s="9">
        <f t="shared" si="191"/>
        <v>895660.63</v>
      </c>
      <c r="Y375" s="9">
        <v>674523.62</v>
      </c>
      <c r="Z375" s="9">
        <v>221137.01</v>
      </c>
      <c r="AA375" s="9">
        <f t="shared" si="192"/>
        <v>0</v>
      </c>
      <c r="AB375" s="9">
        <v>0</v>
      </c>
      <c r="AC375" s="9">
        <v>0</v>
      </c>
      <c r="AD375" s="45">
        <f t="shared" si="182"/>
        <v>10926227.780000001</v>
      </c>
      <c r="AE375" s="9"/>
      <c r="AF375" s="9">
        <f t="shared" si="193"/>
        <v>10926227.780000001</v>
      </c>
      <c r="AG375" s="60" t="s">
        <v>515</v>
      </c>
      <c r="AH375" s="14" t="s">
        <v>2111</v>
      </c>
      <c r="AI375" s="1">
        <f>567275.05+242142.38+389249.89+737324.25+434872.3+696189.68</f>
        <v>3067053.5500000003</v>
      </c>
      <c r="AJ375" s="1">
        <f>37941.44+64466.26+39373.95+93368.67+48409.99+72069.64</f>
        <v>355629.95</v>
      </c>
    </row>
    <row r="376" spans="1:36" ht="141.75" x14ac:dyDescent="0.25">
      <c r="A376" s="5">
        <f t="shared" si="183"/>
        <v>373</v>
      </c>
      <c r="B376" s="16">
        <v>115539</v>
      </c>
      <c r="C376" s="6">
        <v>396</v>
      </c>
      <c r="D376" s="5" t="s">
        <v>143</v>
      </c>
      <c r="E376" s="18" t="s">
        <v>385</v>
      </c>
      <c r="F376" s="8" t="s">
        <v>436</v>
      </c>
      <c r="G376" s="5" t="s">
        <v>74</v>
      </c>
      <c r="H376" s="5" t="s">
        <v>437</v>
      </c>
      <c r="I376" s="42" t="s">
        <v>471</v>
      </c>
      <c r="J376" s="2">
        <v>43249</v>
      </c>
      <c r="K376" s="2">
        <v>44559</v>
      </c>
      <c r="L376" s="17">
        <f t="shared" si="189"/>
        <v>83.983861982656322</v>
      </c>
      <c r="M376" s="5" t="s">
        <v>273</v>
      </c>
      <c r="N376" s="5" t="s">
        <v>262</v>
      </c>
      <c r="O376" s="5" t="s">
        <v>262</v>
      </c>
      <c r="P376" s="3" t="s">
        <v>138</v>
      </c>
      <c r="Q376" s="5" t="s">
        <v>34</v>
      </c>
      <c r="R376" s="9">
        <f t="shared" si="190"/>
        <v>2264152.11</v>
      </c>
      <c r="S376" s="9">
        <v>1825841.43</v>
      </c>
      <c r="T376" s="9">
        <v>438310.68</v>
      </c>
      <c r="U376" s="9">
        <f t="shared" si="188"/>
        <v>187212.83000000002</v>
      </c>
      <c r="V376" s="54">
        <v>138351.88</v>
      </c>
      <c r="W376" s="54">
        <v>48860.95</v>
      </c>
      <c r="X376" s="9">
        <f t="shared" si="191"/>
        <v>244572.18</v>
      </c>
      <c r="Y376" s="9">
        <v>183855.44</v>
      </c>
      <c r="Z376" s="9">
        <v>60716.74</v>
      </c>
      <c r="AA376" s="9">
        <f t="shared" si="192"/>
        <v>0</v>
      </c>
      <c r="AB376" s="9">
        <v>0</v>
      </c>
      <c r="AC376" s="9">
        <v>0</v>
      </c>
      <c r="AD376" s="45">
        <f t="shared" si="182"/>
        <v>2695937.12</v>
      </c>
      <c r="AE376" s="9">
        <v>0</v>
      </c>
      <c r="AF376" s="9">
        <f t="shared" si="193"/>
        <v>2695937.12</v>
      </c>
      <c r="AG376" s="60" t="s">
        <v>515</v>
      </c>
      <c r="AH376" s="14" t="s">
        <v>2181</v>
      </c>
      <c r="AI376" s="1">
        <f>331641.17-13183.87+408631.07+27766.75+242691.52</f>
        <v>997546.64</v>
      </c>
      <c r="AJ376" s="1">
        <f>13183.87+71835.79+32129.9</f>
        <v>117149.56</v>
      </c>
    </row>
    <row r="377" spans="1:36" ht="189" x14ac:dyDescent="0.25">
      <c r="A377" s="5">
        <f t="shared" si="183"/>
        <v>374</v>
      </c>
      <c r="B377" s="16">
        <v>111701</v>
      </c>
      <c r="C377" s="6">
        <v>251</v>
      </c>
      <c r="D377" s="5" t="s">
        <v>143</v>
      </c>
      <c r="E377" s="18" t="s">
        <v>271</v>
      </c>
      <c r="F377" s="3" t="s">
        <v>398</v>
      </c>
      <c r="G377" s="187" t="s">
        <v>399</v>
      </c>
      <c r="H377" s="187" t="s">
        <v>400</v>
      </c>
      <c r="I377" s="188" t="s">
        <v>464</v>
      </c>
      <c r="J377" s="2">
        <v>43231</v>
      </c>
      <c r="K377" s="2">
        <v>43780</v>
      </c>
      <c r="L377" s="17">
        <f t="shared" si="189"/>
        <v>82.304186092487143</v>
      </c>
      <c r="M377" s="5" t="s">
        <v>273</v>
      </c>
      <c r="N377" s="5" t="s">
        <v>227</v>
      </c>
      <c r="O377" s="5" t="s">
        <v>227</v>
      </c>
      <c r="P377" s="3" t="s">
        <v>275</v>
      </c>
      <c r="Q377" s="5" t="s">
        <v>34</v>
      </c>
      <c r="R377" s="9">
        <f t="shared" si="190"/>
        <v>643463.74</v>
      </c>
      <c r="S377" s="54">
        <v>518897.45</v>
      </c>
      <c r="T377" s="54">
        <v>124566.29</v>
      </c>
      <c r="U377" s="9">
        <f t="shared" ref="U377:U408" si="194">V377+W377</f>
        <v>122711.73</v>
      </c>
      <c r="V377" s="54">
        <v>91570.15</v>
      </c>
      <c r="W377" s="54">
        <v>31141.58</v>
      </c>
      <c r="X377" s="9">
        <f t="shared" si="191"/>
        <v>0</v>
      </c>
      <c r="Y377" s="9">
        <v>0</v>
      </c>
      <c r="Z377" s="9">
        <v>0</v>
      </c>
      <c r="AA377" s="9">
        <f t="shared" si="192"/>
        <v>15636.21</v>
      </c>
      <c r="AB377" s="54">
        <v>12458.49</v>
      </c>
      <c r="AC377" s="54">
        <v>3177.72</v>
      </c>
      <c r="AD377" s="45">
        <f t="shared" si="182"/>
        <v>781811.67999999993</v>
      </c>
      <c r="AE377" s="9">
        <v>4162.62</v>
      </c>
      <c r="AF377" s="9">
        <f t="shared" si="193"/>
        <v>785974.29999999993</v>
      </c>
      <c r="AG377" s="50" t="s">
        <v>966</v>
      </c>
      <c r="AH377" s="14" t="s">
        <v>1388</v>
      </c>
      <c r="AI377" s="1">
        <f>95051.96+39484.25+23955.55-8000+211432.19+107515.78+78081.24</f>
        <v>547520.97</v>
      </c>
      <c r="AJ377" s="1">
        <f>15075.6+9055.47+4568.44+40321.17+20503.81+14890.48</f>
        <v>104414.96999999999</v>
      </c>
    </row>
    <row r="378" spans="1:36" ht="204.75" x14ac:dyDescent="0.25">
      <c r="A378" s="5">
        <f t="shared" si="183"/>
        <v>375</v>
      </c>
      <c r="B378" s="16">
        <v>111284</v>
      </c>
      <c r="C378" s="6">
        <v>182</v>
      </c>
      <c r="D378" s="5" t="s">
        <v>143</v>
      </c>
      <c r="E378" s="18" t="s">
        <v>271</v>
      </c>
      <c r="F378" s="3" t="s">
        <v>404</v>
      </c>
      <c r="G378" s="5" t="s">
        <v>405</v>
      </c>
      <c r="H378" s="31"/>
      <c r="I378" s="88" t="s">
        <v>465</v>
      </c>
      <c r="J378" s="2">
        <v>43236</v>
      </c>
      <c r="K378" s="2">
        <v>43724</v>
      </c>
      <c r="L378" s="17">
        <f t="shared" si="189"/>
        <v>82.304186150868873</v>
      </c>
      <c r="M378" s="5" t="s">
        <v>273</v>
      </c>
      <c r="N378" s="5" t="s">
        <v>182</v>
      </c>
      <c r="O378" s="5" t="s">
        <v>406</v>
      </c>
      <c r="P378" s="3" t="s">
        <v>275</v>
      </c>
      <c r="Q378" s="5" t="s">
        <v>34</v>
      </c>
      <c r="R378" s="9">
        <f t="shared" si="190"/>
        <v>820224.26</v>
      </c>
      <c r="S378" s="9">
        <v>661439.4</v>
      </c>
      <c r="T378" s="9">
        <v>158784.85999999999</v>
      </c>
      <c r="U378" s="9">
        <f t="shared" si="194"/>
        <v>156420.81</v>
      </c>
      <c r="V378" s="54">
        <v>116724.6</v>
      </c>
      <c r="W378" s="54">
        <v>39696.21</v>
      </c>
      <c r="X378" s="9">
        <f t="shared" si="191"/>
        <v>0</v>
      </c>
      <c r="Y378" s="9">
        <v>0</v>
      </c>
      <c r="Z378" s="9">
        <v>0</v>
      </c>
      <c r="AA378" s="9">
        <f t="shared" si="192"/>
        <v>19931.53</v>
      </c>
      <c r="AB378" s="9">
        <v>15880.9</v>
      </c>
      <c r="AC378" s="9">
        <v>4050.63</v>
      </c>
      <c r="AD378" s="45">
        <f t="shared" si="182"/>
        <v>996576.60000000009</v>
      </c>
      <c r="AE378" s="9"/>
      <c r="AF378" s="9">
        <f t="shared" si="193"/>
        <v>996576.60000000009</v>
      </c>
      <c r="AG378" s="50" t="s">
        <v>966</v>
      </c>
      <c r="AH378" s="14" t="s">
        <v>151</v>
      </c>
      <c r="AI378" s="1">
        <f>589154.54+143024.16</f>
        <v>732178.70000000007</v>
      </c>
      <c r="AJ378" s="1">
        <f>93665.6+45964.48</f>
        <v>139630.08000000002</v>
      </c>
    </row>
    <row r="379" spans="1:36" ht="141.75" x14ac:dyDescent="0.25">
      <c r="A379" s="5">
        <f t="shared" si="183"/>
        <v>376</v>
      </c>
      <c r="B379" s="16">
        <v>116994</v>
      </c>
      <c r="C379" s="6">
        <v>399</v>
      </c>
      <c r="D379" s="5" t="s">
        <v>143</v>
      </c>
      <c r="E379" s="18" t="s">
        <v>385</v>
      </c>
      <c r="F379" s="3" t="s">
        <v>407</v>
      </c>
      <c r="G379" s="5" t="s">
        <v>74</v>
      </c>
      <c r="H379" s="124" t="s">
        <v>296</v>
      </c>
      <c r="I379" s="88" t="s">
        <v>466</v>
      </c>
      <c r="J379" s="2">
        <v>43236</v>
      </c>
      <c r="K379" s="2">
        <v>44455</v>
      </c>
      <c r="L379" s="17">
        <f t="shared" si="189"/>
        <v>83.983862745241581</v>
      </c>
      <c r="M379" s="5" t="s">
        <v>273</v>
      </c>
      <c r="N379" s="5" t="s">
        <v>262</v>
      </c>
      <c r="O379" s="5" t="s">
        <v>262</v>
      </c>
      <c r="P379" s="3" t="s">
        <v>138</v>
      </c>
      <c r="Q379" s="5" t="s">
        <v>34</v>
      </c>
      <c r="R379" s="9">
        <f t="shared" si="190"/>
        <v>5724895.4699999997</v>
      </c>
      <c r="S379" s="9">
        <v>4616629.47</v>
      </c>
      <c r="T379" s="9">
        <v>1108266</v>
      </c>
      <c r="U379" s="9">
        <f t="shared" si="194"/>
        <v>0</v>
      </c>
      <c r="V379" s="54">
        <v>0</v>
      </c>
      <c r="W379" s="54">
        <v>0</v>
      </c>
      <c r="X379" s="9">
        <f t="shared" si="191"/>
        <v>1091765.83</v>
      </c>
      <c r="Y379" s="9">
        <v>814699.26</v>
      </c>
      <c r="Z379" s="9">
        <v>277066.57</v>
      </c>
      <c r="AA379" s="9">
        <f t="shared" si="192"/>
        <v>0</v>
      </c>
      <c r="AB379" s="9">
        <v>0</v>
      </c>
      <c r="AC379" s="9">
        <v>0</v>
      </c>
      <c r="AD379" s="45">
        <f t="shared" si="182"/>
        <v>6816661.2999999998</v>
      </c>
      <c r="AE379" s="9">
        <v>0</v>
      </c>
      <c r="AF379" s="9">
        <f t="shared" si="193"/>
        <v>6816661.2999999998</v>
      </c>
      <c r="AG379" s="60" t="s">
        <v>515</v>
      </c>
      <c r="AH379" s="14" t="s">
        <v>1905</v>
      </c>
      <c r="AI379" s="1">
        <f>4248.74+31166.22+89220.52+57381.15+77993.31+62439.49+102447.37+71858.27+74201.42+68394.78+65729.97+61409</f>
        <v>766490.24</v>
      </c>
      <c r="AJ379" s="1">
        <v>0</v>
      </c>
    </row>
    <row r="380" spans="1:36" ht="189" x14ac:dyDescent="0.25">
      <c r="A380" s="5">
        <f t="shared" si="183"/>
        <v>377</v>
      </c>
      <c r="B380" s="16">
        <v>112921</v>
      </c>
      <c r="C380" s="6">
        <v>288</v>
      </c>
      <c r="D380" s="5" t="s">
        <v>143</v>
      </c>
      <c r="E380" s="18" t="s">
        <v>271</v>
      </c>
      <c r="F380" s="18" t="s">
        <v>409</v>
      </c>
      <c r="G380" s="5" t="s">
        <v>408</v>
      </c>
      <c r="H380" s="5" t="s">
        <v>410</v>
      </c>
      <c r="I380" s="88" t="s">
        <v>411</v>
      </c>
      <c r="J380" s="2">
        <v>43236</v>
      </c>
      <c r="K380" s="2">
        <v>43724</v>
      </c>
      <c r="L380" s="17">
        <f t="shared" si="189"/>
        <v>82.304184477468439</v>
      </c>
      <c r="M380" s="5" t="s">
        <v>273</v>
      </c>
      <c r="N380" s="5" t="s">
        <v>663</v>
      </c>
      <c r="O380" s="5" t="s">
        <v>663</v>
      </c>
      <c r="P380" s="3" t="s">
        <v>275</v>
      </c>
      <c r="Q380" s="5" t="s">
        <v>34</v>
      </c>
      <c r="R380" s="9">
        <f t="shared" si="190"/>
        <v>692528.19000000006</v>
      </c>
      <c r="S380" s="9">
        <v>558463.68000000005</v>
      </c>
      <c r="T380" s="9">
        <v>134064.51</v>
      </c>
      <c r="U380" s="9">
        <f t="shared" si="194"/>
        <v>132068.54999999999</v>
      </c>
      <c r="V380" s="54">
        <v>98552.39</v>
      </c>
      <c r="W380" s="54">
        <v>33516.160000000003</v>
      </c>
      <c r="X380" s="9">
        <f t="shared" si="191"/>
        <v>0</v>
      </c>
      <c r="Y380" s="9">
        <v>0</v>
      </c>
      <c r="Z380" s="9">
        <v>0</v>
      </c>
      <c r="AA380" s="9">
        <f t="shared" si="192"/>
        <v>16828.509999999998</v>
      </c>
      <c r="AB380" s="9">
        <v>13408.49</v>
      </c>
      <c r="AC380" s="9">
        <v>3420.02</v>
      </c>
      <c r="AD380" s="45">
        <f t="shared" si="182"/>
        <v>841425.25</v>
      </c>
      <c r="AE380" s="9">
        <v>0</v>
      </c>
      <c r="AF380" s="9">
        <f t="shared" si="193"/>
        <v>841425.25</v>
      </c>
      <c r="AG380" s="50" t="s">
        <v>966</v>
      </c>
      <c r="AH380" s="14" t="s">
        <v>1260</v>
      </c>
      <c r="AI380" s="1">
        <f>59000+45054.47-7168.82+43487.54+82400+27588.29+82400+83329.15+139789.65+86231.39</f>
        <v>642111.67000000004</v>
      </c>
      <c r="AJ380" s="1">
        <f>15760.94+11008.93+20975.3+31605.35+26658.52+16444.76</f>
        <v>122453.79999999999</v>
      </c>
    </row>
    <row r="381" spans="1:36" ht="141.75" x14ac:dyDescent="0.25">
      <c r="A381" s="5">
        <f t="shared" si="183"/>
        <v>378</v>
      </c>
      <c r="B381" s="16">
        <v>122235</v>
      </c>
      <c r="C381" s="6">
        <v>60</v>
      </c>
      <c r="D381" s="5" t="s">
        <v>145</v>
      </c>
      <c r="E381" s="18" t="s">
        <v>123</v>
      </c>
      <c r="F381" s="18" t="s">
        <v>412</v>
      </c>
      <c r="G381" s="5" t="s">
        <v>413</v>
      </c>
      <c r="H381" s="5" t="s">
        <v>151</v>
      </c>
      <c r="I381" s="88" t="s">
        <v>414</v>
      </c>
      <c r="J381" s="2">
        <v>43236</v>
      </c>
      <c r="K381" s="2">
        <v>44911</v>
      </c>
      <c r="L381" s="17">
        <f t="shared" si="189"/>
        <v>83.983862950139908</v>
      </c>
      <c r="M381" s="5" t="s">
        <v>273</v>
      </c>
      <c r="N381" s="5" t="s">
        <v>262</v>
      </c>
      <c r="O381" s="5" t="s">
        <v>262</v>
      </c>
      <c r="P381" s="3" t="s">
        <v>138</v>
      </c>
      <c r="Q381" s="5" t="s">
        <v>34</v>
      </c>
      <c r="R381" s="9">
        <f t="shared" si="190"/>
        <v>9422880.1600000001</v>
      </c>
      <c r="S381" s="9">
        <v>7598731.8799999999</v>
      </c>
      <c r="T381" s="9">
        <v>1824148.28</v>
      </c>
      <c r="U381" s="9">
        <f t="shared" si="194"/>
        <v>0</v>
      </c>
      <c r="V381" s="54"/>
      <c r="W381" s="54"/>
      <c r="X381" s="9">
        <f t="shared" si="191"/>
        <v>1796989.74</v>
      </c>
      <c r="Y381" s="9">
        <v>1340952.67</v>
      </c>
      <c r="Z381" s="9">
        <v>456037.07</v>
      </c>
      <c r="AA381" s="9">
        <f t="shared" si="192"/>
        <v>0</v>
      </c>
      <c r="AB381" s="9">
        <v>0</v>
      </c>
      <c r="AC381" s="9">
        <v>0</v>
      </c>
      <c r="AD381" s="45">
        <f t="shared" si="182"/>
        <v>11219869.9</v>
      </c>
      <c r="AE381" s="9">
        <v>0</v>
      </c>
      <c r="AF381" s="9">
        <f t="shared" si="193"/>
        <v>11219869.9</v>
      </c>
      <c r="AG381" s="60" t="s">
        <v>515</v>
      </c>
      <c r="AH381" s="14" t="s">
        <v>1989</v>
      </c>
      <c r="AI381" s="1">
        <f>177000+30000-137868.19+11251.1+63755.9+119800.68+155000+50000+298936</f>
        <v>767875.49</v>
      </c>
      <c r="AJ381" s="1">
        <v>0</v>
      </c>
    </row>
    <row r="382" spans="1:36" ht="141.75" x14ac:dyDescent="0.25">
      <c r="A382" s="5">
        <f t="shared" si="183"/>
        <v>379</v>
      </c>
      <c r="B382" s="16">
        <v>113205</v>
      </c>
      <c r="C382" s="6">
        <v>286</v>
      </c>
      <c r="D382" s="5" t="s">
        <v>143</v>
      </c>
      <c r="E382" s="18" t="s">
        <v>271</v>
      </c>
      <c r="F382" s="18" t="s">
        <v>415</v>
      </c>
      <c r="G382" s="5" t="s">
        <v>416</v>
      </c>
      <c r="H382" s="5" t="s">
        <v>417</v>
      </c>
      <c r="I382" s="88" t="s">
        <v>467</v>
      </c>
      <c r="J382" s="2">
        <v>43243</v>
      </c>
      <c r="K382" s="2">
        <v>43700</v>
      </c>
      <c r="L382" s="17">
        <f t="shared" si="189"/>
        <v>82.304187102769717</v>
      </c>
      <c r="M382" s="5" t="s">
        <v>273</v>
      </c>
      <c r="N382" s="5" t="s">
        <v>262</v>
      </c>
      <c r="O382" s="5" t="s">
        <v>262</v>
      </c>
      <c r="P382" s="3" t="s">
        <v>138</v>
      </c>
      <c r="Q382" s="5" t="s">
        <v>34</v>
      </c>
      <c r="R382" s="9">
        <f t="shared" si="190"/>
        <v>750653.75</v>
      </c>
      <c r="S382" s="9">
        <v>605336.84</v>
      </c>
      <c r="T382" s="9">
        <v>145316.91</v>
      </c>
      <c r="U382" s="9">
        <f t="shared" si="194"/>
        <v>143153.36000000002</v>
      </c>
      <c r="V382" s="54">
        <v>106824.13</v>
      </c>
      <c r="W382" s="54">
        <v>36329.230000000003</v>
      </c>
      <c r="X382" s="9">
        <f t="shared" si="191"/>
        <v>0</v>
      </c>
      <c r="Y382" s="9">
        <v>0</v>
      </c>
      <c r="Z382" s="9">
        <v>0</v>
      </c>
      <c r="AA382" s="9">
        <f t="shared" si="192"/>
        <v>18240.96</v>
      </c>
      <c r="AB382" s="9">
        <v>14533.91</v>
      </c>
      <c r="AC382" s="9">
        <v>3707.05</v>
      </c>
      <c r="AD382" s="45">
        <f t="shared" si="182"/>
        <v>912048.07</v>
      </c>
      <c r="AE382" s="9">
        <v>0</v>
      </c>
      <c r="AF382" s="9">
        <f t="shared" si="193"/>
        <v>912048.07</v>
      </c>
      <c r="AG382" s="50" t="s">
        <v>966</v>
      </c>
      <c r="AH382" s="14"/>
      <c r="AI382" s="1">
        <f>80989.07+73791.77+71604.65-11418.94+71296.47+10538.9+120276.34+289691.6-34329.09</f>
        <v>672440.77</v>
      </c>
      <c r="AJ382" s="1">
        <f>12124.41+13655.35+11418.94+6176.71+18770.39+55245.61+10846.33</f>
        <v>128237.74</v>
      </c>
    </row>
    <row r="383" spans="1:36" ht="409.5" x14ac:dyDescent="0.25">
      <c r="A383" s="5">
        <f t="shared" si="183"/>
        <v>380</v>
      </c>
      <c r="B383" s="16">
        <v>111084</v>
      </c>
      <c r="C383" s="6">
        <v>343</v>
      </c>
      <c r="D383" s="5" t="s">
        <v>143</v>
      </c>
      <c r="E383" s="18" t="s">
        <v>271</v>
      </c>
      <c r="F383" s="189" t="s">
        <v>418</v>
      </c>
      <c r="G383" s="190" t="s">
        <v>419</v>
      </c>
      <c r="H383" s="5" t="s">
        <v>418</v>
      </c>
      <c r="I383" s="88" t="s">
        <v>468</v>
      </c>
      <c r="J383" s="2">
        <v>43243</v>
      </c>
      <c r="K383" s="2">
        <v>43731</v>
      </c>
      <c r="L383" s="17">
        <f t="shared" si="189"/>
        <v>82.304185103544512</v>
      </c>
      <c r="M383" s="5" t="s">
        <v>273</v>
      </c>
      <c r="N383" s="5" t="s">
        <v>262</v>
      </c>
      <c r="O383" s="5" t="s">
        <v>262</v>
      </c>
      <c r="P383" s="3" t="s">
        <v>275</v>
      </c>
      <c r="Q383" s="5" t="s">
        <v>34</v>
      </c>
      <c r="R383" s="9">
        <f t="shared" si="190"/>
        <v>698744.26</v>
      </c>
      <c r="S383" s="26">
        <v>563476.37</v>
      </c>
      <c r="T383" s="26">
        <v>135267.89000000001</v>
      </c>
      <c r="U383" s="9">
        <f t="shared" si="194"/>
        <v>133253.97999999998</v>
      </c>
      <c r="V383" s="191">
        <v>99437.01</v>
      </c>
      <c r="W383" s="120">
        <v>33816.97</v>
      </c>
      <c r="X383" s="9">
        <f t="shared" si="191"/>
        <v>0</v>
      </c>
      <c r="Y383" s="9">
        <v>0</v>
      </c>
      <c r="Z383" s="9">
        <v>0</v>
      </c>
      <c r="AA383" s="9">
        <f t="shared" si="192"/>
        <v>16979.560000000001</v>
      </c>
      <c r="AB383" s="26">
        <v>13528.85</v>
      </c>
      <c r="AC383" s="192">
        <v>3450.71</v>
      </c>
      <c r="AD383" s="45">
        <f t="shared" si="182"/>
        <v>848977.8</v>
      </c>
      <c r="AE383" s="9">
        <v>0</v>
      </c>
      <c r="AF383" s="9">
        <f t="shared" si="193"/>
        <v>848977.8</v>
      </c>
      <c r="AG383" s="50" t="s">
        <v>966</v>
      </c>
      <c r="AH383" s="14"/>
      <c r="AI383" s="1">
        <f>410601.28+140850.68</f>
        <v>551451.96</v>
      </c>
      <c r="AJ383" s="1">
        <f>12927.23+3853.32+17589.26+10795.58+17309.82+42689.48</f>
        <v>105164.69</v>
      </c>
    </row>
    <row r="384" spans="1:36" ht="362.25" x14ac:dyDescent="0.25">
      <c r="A384" s="5">
        <f t="shared" si="183"/>
        <v>381</v>
      </c>
      <c r="B384" s="16">
        <v>110679</v>
      </c>
      <c r="C384" s="6">
        <v>197</v>
      </c>
      <c r="D384" s="5" t="s">
        <v>143</v>
      </c>
      <c r="E384" s="18" t="s">
        <v>271</v>
      </c>
      <c r="F384" s="25" t="s">
        <v>420</v>
      </c>
      <c r="G384" s="5" t="s">
        <v>423</v>
      </c>
      <c r="H384" s="5" t="s">
        <v>151</v>
      </c>
      <c r="I384" s="42" t="s">
        <v>469</v>
      </c>
      <c r="J384" s="2">
        <v>43243</v>
      </c>
      <c r="K384" s="2">
        <v>43731</v>
      </c>
      <c r="L384" s="17">
        <f t="shared" si="189"/>
        <v>82.304183634873581</v>
      </c>
      <c r="M384" s="5" t="s">
        <v>273</v>
      </c>
      <c r="N384" s="5" t="s">
        <v>421</v>
      </c>
      <c r="O384" s="5" t="s">
        <v>422</v>
      </c>
      <c r="P384" s="3" t="s">
        <v>275</v>
      </c>
      <c r="Q384" s="5" t="s">
        <v>34</v>
      </c>
      <c r="R384" s="9">
        <f t="shared" si="190"/>
        <v>763944.7</v>
      </c>
      <c r="S384" s="9">
        <v>616054.81999999995</v>
      </c>
      <c r="T384" s="9">
        <v>147889.88</v>
      </c>
      <c r="U384" s="9">
        <f t="shared" si="194"/>
        <v>145688.04999999999</v>
      </c>
      <c r="V384" s="54">
        <v>108715.59</v>
      </c>
      <c r="W384" s="54">
        <v>36972.46</v>
      </c>
      <c r="X384" s="9">
        <f t="shared" si="191"/>
        <v>0</v>
      </c>
      <c r="Y384" s="9">
        <v>0</v>
      </c>
      <c r="Z384" s="9">
        <v>0</v>
      </c>
      <c r="AA384" s="9">
        <f t="shared" si="192"/>
        <v>18563.93</v>
      </c>
      <c r="AB384" s="9">
        <v>14791.24</v>
      </c>
      <c r="AC384" s="9">
        <v>3772.69</v>
      </c>
      <c r="AD384" s="45">
        <f t="shared" si="182"/>
        <v>928196.68</v>
      </c>
      <c r="AE384" s="9">
        <v>0</v>
      </c>
      <c r="AF384" s="9">
        <f t="shared" si="193"/>
        <v>928196.68</v>
      </c>
      <c r="AG384" s="50" t="s">
        <v>966</v>
      </c>
      <c r="AH384" s="14" t="s">
        <v>1494</v>
      </c>
      <c r="AI384" s="1">
        <f>521279.95+227140.72-4067.74</f>
        <v>744352.93</v>
      </c>
      <c r="AJ384" s="1">
        <f>94550.63+43316.87+4084.24</f>
        <v>141951.74</v>
      </c>
    </row>
    <row r="385" spans="1:36" ht="173.25" x14ac:dyDescent="0.25">
      <c r="A385" s="5">
        <f t="shared" si="183"/>
        <v>382</v>
      </c>
      <c r="B385" s="16">
        <v>112787</v>
      </c>
      <c r="C385" s="6">
        <v>276</v>
      </c>
      <c r="D385" s="5" t="s">
        <v>143</v>
      </c>
      <c r="E385" s="18" t="s">
        <v>271</v>
      </c>
      <c r="F385" s="18" t="s">
        <v>424</v>
      </c>
      <c r="G385" s="3" t="s">
        <v>425</v>
      </c>
      <c r="H385" s="5" t="s">
        <v>427</v>
      </c>
      <c r="I385" s="42" t="s">
        <v>428</v>
      </c>
      <c r="J385" s="2">
        <v>43243</v>
      </c>
      <c r="K385" s="2">
        <v>43822</v>
      </c>
      <c r="L385" s="17">
        <f t="shared" si="189"/>
        <v>82.304187377441963</v>
      </c>
      <c r="M385" s="5" t="s">
        <v>273</v>
      </c>
      <c r="N385" s="5" t="s">
        <v>426</v>
      </c>
      <c r="O385" s="5" t="s">
        <v>426</v>
      </c>
      <c r="P385" s="3" t="s">
        <v>275</v>
      </c>
      <c r="Q385" s="5" t="s">
        <v>34</v>
      </c>
      <c r="R385" s="9">
        <f t="shared" si="190"/>
        <v>813947.08000000007</v>
      </c>
      <c r="S385" s="9">
        <v>656377.4</v>
      </c>
      <c r="T385" s="9">
        <v>157569.68</v>
      </c>
      <c r="U385" s="9">
        <f t="shared" si="194"/>
        <v>155223.71000000002</v>
      </c>
      <c r="V385" s="54">
        <v>115831.3</v>
      </c>
      <c r="W385" s="54">
        <v>39392.410000000003</v>
      </c>
      <c r="X385" s="9">
        <f t="shared" si="191"/>
        <v>0</v>
      </c>
      <c r="Y385" s="9">
        <v>0</v>
      </c>
      <c r="Z385" s="9">
        <v>0</v>
      </c>
      <c r="AA385" s="9">
        <f t="shared" si="192"/>
        <v>19778.990000000002</v>
      </c>
      <c r="AB385" s="9">
        <v>15759.36</v>
      </c>
      <c r="AC385" s="9">
        <v>4019.63</v>
      </c>
      <c r="AD385" s="45">
        <f t="shared" si="182"/>
        <v>988949.78</v>
      </c>
      <c r="AE385" s="9">
        <v>0</v>
      </c>
      <c r="AF385" s="9">
        <f t="shared" si="193"/>
        <v>988949.78</v>
      </c>
      <c r="AG385" s="60" t="s">
        <v>966</v>
      </c>
      <c r="AH385" s="14" t="s">
        <v>1621</v>
      </c>
      <c r="AI385" s="1">
        <f>508508.59+217597.28+20606.15-1971.58+7286.02</f>
        <v>752026.46000000008</v>
      </c>
      <c r="AJ385" s="1">
        <f>79461.28+51123.81+3929.69+7150.18+1750.08</f>
        <v>143415.03999999998</v>
      </c>
    </row>
    <row r="386" spans="1:36" ht="141.75" x14ac:dyDescent="0.25">
      <c r="A386" s="5">
        <f t="shared" si="183"/>
        <v>383</v>
      </c>
      <c r="B386" s="16">
        <v>110998</v>
      </c>
      <c r="C386" s="6">
        <v>333</v>
      </c>
      <c r="D386" s="5" t="s">
        <v>143</v>
      </c>
      <c r="E386" s="18" t="s">
        <v>271</v>
      </c>
      <c r="F386" s="18" t="s">
        <v>429</v>
      </c>
      <c r="G386" s="3" t="s">
        <v>430</v>
      </c>
      <c r="H386" s="5" t="s">
        <v>151</v>
      </c>
      <c r="I386" s="42" t="s">
        <v>470</v>
      </c>
      <c r="J386" s="2">
        <v>43244</v>
      </c>
      <c r="K386" s="2">
        <v>43762</v>
      </c>
      <c r="L386" s="17">
        <f t="shared" si="189"/>
        <v>82.304186800362686</v>
      </c>
      <c r="M386" s="5" t="s">
        <v>273</v>
      </c>
      <c r="N386" s="5" t="s">
        <v>262</v>
      </c>
      <c r="O386" s="5" t="s">
        <v>262</v>
      </c>
      <c r="P386" s="3" t="s">
        <v>275</v>
      </c>
      <c r="Q386" s="5" t="s">
        <v>34</v>
      </c>
      <c r="R386" s="9">
        <f t="shared" si="190"/>
        <v>802303.17999999993</v>
      </c>
      <c r="S386" s="9">
        <v>646987.62</v>
      </c>
      <c r="T386" s="9">
        <v>155315.56</v>
      </c>
      <c r="U386" s="9">
        <f t="shared" si="194"/>
        <v>153003.18</v>
      </c>
      <c r="V386" s="54">
        <v>114174.29</v>
      </c>
      <c r="W386" s="54">
        <v>38828.89</v>
      </c>
      <c r="X386" s="9">
        <f t="shared" si="191"/>
        <v>0</v>
      </c>
      <c r="Y386" s="193">
        <v>0</v>
      </c>
      <c r="Z386" s="193">
        <v>0</v>
      </c>
      <c r="AA386" s="9">
        <f t="shared" si="192"/>
        <v>19496.03</v>
      </c>
      <c r="AB386" s="9">
        <v>15533.9</v>
      </c>
      <c r="AC386" s="9">
        <v>3962.13</v>
      </c>
      <c r="AD386" s="45">
        <f t="shared" si="182"/>
        <v>974802.3899999999</v>
      </c>
      <c r="AE386" s="9">
        <v>0</v>
      </c>
      <c r="AF386" s="9">
        <f t="shared" si="193"/>
        <v>974802.3899999999</v>
      </c>
      <c r="AG386" s="50" t="s">
        <v>966</v>
      </c>
      <c r="AH386" s="14" t="s">
        <v>1487</v>
      </c>
      <c r="AI386" s="1">
        <f>685815.27+32782.58+20651.76+10555.66</f>
        <v>749805.27</v>
      </c>
      <c r="AJ386" s="1">
        <f>115562.98+6251.8+3938.4+17238.46</f>
        <v>142991.63999999998</v>
      </c>
    </row>
    <row r="387" spans="1:36" ht="236.25" x14ac:dyDescent="0.25">
      <c r="A387" s="5">
        <f t="shared" si="183"/>
        <v>384</v>
      </c>
      <c r="B387" s="194">
        <v>115759</v>
      </c>
      <c r="C387" s="195">
        <v>400</v>
      </c>
      <c r="D387" s="30" t="s">
        <v>143</v>
      </c>
      <c r="E387" s="180" t="s">
        <v>385</v>
      </c>
      <c r="F387" s="180" t="s">
        <v>549</v>
      </c>
      <c r="G387" s="30" t="s">
        <v>550</v>
      </c>
      <c r="H387" s="30" t="s">
        <v>551</v>
      </c>
      <c r="I387" s="196" t="s">
        <v>552</v>
      </c>
      <c r="J387" s="36">
        <v>43270</v>
      </c>
      <c r="K387" s="2">
        <v>44488</v>
      </c>
      <c r="L387" s="17">
        <f t="shared" si="189"/>
        <v>83.983862578705725</v>
      </c>
      <c r="M387" s="30" t="s">
        <v>273</v>
      </c>
      <c r="N387" s="5" t="s">
        <v>262</v>
      </c>
      <c r="O387" s="5" t="s">
        <v>262</v>
      </c>
      <c r="P387" s="197" t="s">
        <v>138</v>
      </c>
      <c r="Q387" s="30" t="s">
        <v>34</v>
      </c>
      <c r="R387" s="9">
        <f t="shared" si="190"/>
        <v>6356286.5300000003</v>
      </c>
      <c r="S387" s="9">
        <v>5125791.33</v>
      </c>
      <c r="T387" s="9">
        <v>1230495.2</v>
      </c>
      <c r="U387" s="9">
        <f t="shared" si="194"/>
        <v>0</v>
      </c>
      <c r="V387" s="54">
        <v>0</v>
      </c>
      <c r="W387" s="54">
        <v>0</v>
      </c>
      <c r="X387" s="9">
        <f t="shared" si="191"/>
        <v>1212175.2373343939</v>
      </c>
      <c r="Y387" s="9">
        <v>904551.39</v>
      </c>
      <c r="Z387" s="9">
        <v>307623.84733439377</v>
      </c>
      <c r="AA387" s="9">
        <f t="shared" si="192"/>
        <v>0</v>
      </c>
      <c r="AB387" s="9">
        <v>0</v>
      </c>
      <c r="AC387" s="9">
        <v>0</v>
      </c>
      <c r="AD387" s="45">
        <f t="shared" si="182"/>
        <v>7568461.7673343942</v>
      </c>
      <c r="AE387" s="9"/>
      <c r="AF387" s="9">
        <f t="shared" si="193"/>
        <v>7568461.7673343942</v>
      </c>
      <c r="AG387" s="60" t="s">
        <v>515</v>
      </c>
      <c r="AH387" s="14" t="s">
        <v>2127</v>
      </c>
      <c r="AI387" s="1">
        <f>4870800.16+213439.97+149727.1+41958.34+400275.16+91968.64+22797.41+18285.05</f>
        <v>5809251.8299999991</v>
      </c>
      <c r="AJ387" s="1">
        <v>0</v>
      </c>
    </row>
    <row r="388" spans="1:36" ht="158.25" thickBot="1" x14ac:dyDescent="0.3">
      <c r="A388" s="5">
        <f t="shared" si="183"/>
        <v>385</v>
      </c>
      <c r="B388" s="16">
        <v>118716</v>
      </c>
      <c r="C388" s="6">
        <v>455</v>
      </c>
      <c r="D388" s="138" t="s">
        <v>1984</v>
      </c>
      <c r="E388" s="18" t="s">
        <v>440</v>
      </c>
      <c r="F388" s="8" t="s">
        <v>438</v>
      </c>
      <c r="G388" s="3" t="s">
        <v>439</v>
      </c>
      <c r="H388" s="5" t="s">
        <v>151</v>
      </c>
      <c r="I388" s="42" t="s">
        <v>472</v>
      </c>
      <c r="J388" s="2">
        <v>43249</v>
      </c>
      <c r="K388" s="2">
        <v>44590</v>
      </c>
      <c r="L388" s="17">
        <f t="shared" si="189"/>
        <v>83.983862841968545</v>
      </c>
      <c r="M388" s="5" t="s">
        <v>273</v>
      </c>
      <c r="N388" s="5" t="s">
        <v>262</v>
      </c>
      <c r="O388" s="5" t="s">
        <v>262</v>
      </c>
      <c r="P388" s="3" t="s">
        <v>138</v>
      </c>
      <c r="Q388" s="5" t="s">
        <v>34</v>
      </c>
      <c r="R388" s="9">
        <f t="shared" si="190"/>
        <v>2343689.42</v>
      </c>
      <c r="S388" s="9">
        <v>1889981.33</v>
      </c>
      <c r="T388" s="9">
        <v>453708.09</v>
      </c>
      <c r="U388" s="9">
        <f t="shared" si="194"/>
        <v>0</v>
      </c>
      <c r="V388" s="54"/>
      <c r="W388" s="54"/>
      <c r="X388" s="9">
        <f t="shared" si="191"/>
        <v>446953.14</v>
      </c>
      <c r="Y388" s="9">
        <v>333526.11</v>
      </c>
      <c r="Z388" s="9">
        <v>113427.03</v>
      </c>
      <c r="AA388" s="9">
        <f t="shared" si="192"/>
        <v>0</v>
      </c>
      <c r="AB388" s="9">
        <v>0</v>
      </c>
      <c r="AC388" s="9">
        <v>0</v>
      </c>
      <c r="AD388" s="45">
        <f t="shared" si="182"/>
        <v>2790642.56</v>
      </c>
      <c r="AE388" s="9">
        <v>0</v>
      </c>
      <c r="AF388" s="9">
        <f t="shared" si="193"/>
        <v>2790642.56</v>
      </c>
      <c r="AG388" s="60" t="s">
        <v>515</v>
      </c>
      <c r="AH388" s="198" t="s">
        <v>2150</v>
      </c>
      <c r="AI388" s="1">
        <f>145011.94+359253.32+95755.51+413834.13+212612.28+361774.06+13423.98+9573.32</f>
        <v>1611238.54</v>
      </c>
      <c r="AJ388" s="1">
        <v>0</v>
      </c>
    </row>
    <row r="389" spans="1:36" ht="283.5" x14ac:dyDescent="0.25">
      <c r="A389" s="5">
        <f t="shared" si="183"/>
        <v>386</v>
      </c>
      <c r="B389" s="16">
        <v>109777</v>
      </c>
      <c r="C389" s="6">
        <v>363</v>
      </c>
      <c r="D389" s="5" t="s">
        <v>143</v>
      </c>
      <c r="E389" s="18" t="s">
        <v>271</v>
      </c>
      <c r="F389" s="3" t="s">
        <v>442</v>
      </c>
      <c r="G389" s="28" t="s">
        <v>441</v>
      </c>
      <c r="H389" s="28" t="s">
        <v>151</v>
      </c>
      <c r="I389" s="76" t="s">
        <v>443</v>
      </c>
      <c r="J389" s="2">
        <v>43251</v>
      </c>
      <c r="K389" s="2">
        <v>43738</v>
      </c>
      <c r="L389" s="17">
        <f t="shared" si="189"/>
        <v>82.304185429325983</v>
      </c>
      <c r="M389" s="5" t="s">
        <v>273</v>
      </c>
      <c r="N389" s="5" t="s">
        <v>220</v>
      </c>
      <c r="O389" s="5" t="s">
        <v>361</v>
      </c>
      <c r="P389" s="3" t="s">
        <v>275</v>
      </c>
      <c r="Q389" s="5" t="s">
        <v>34</v>
      </c>
      <c r="R389" s="9">
        <f t="shared" si="190"/>
        <v>809738</v>
      </c>
      <c r="S389" s="9">
        <v>652983.16</v>
      </c>
      <c r="T389" s="9">
        <v>156754.84</v>
      </c>
      <c r="U389" s="9">
        <f t="shared" si="194"/>
        <v>154421.03</v>
      </c>
      <c r="V389" s="54">
        <v>115232.31</v>
      </c>
      <c r="W389" s="54">
        <v>39188.720000000001</v>
      </c>
      <c r="X389" s="9">
        <f t="shared" si="191"/>
        <v>0</v>
      </c>
      <c r="Y389" s="9">
        <v>0</v>
      </c>
      <c r="Z389" s="9">
        <v>0</v>
      </c>
      <c r="AA389" s="9">
        <f t="shared" si="192"/>
        <v>19676.72</v>
      </c>
      <c r="AB389" s="9">
        <v>15677.86</v>
      </c>
      <c r="AC389" s="9">
        <v>3998.86</v>
      </c>
      <c r="AD389" s="45">
        <f t="shared" ref="AD389:AD452" si="195">R389+U389+X389+AA389</f>
        <v>983835.75</v>
      </c>
      <c r="AE389" s="37">
        <v>0</v>
      </c>
      <c r="AF389" s="9">
        <f t="shared" si="193"/>
        <v>983835.75</v>
      </c>
      <c r="AG389" s="50" t="s">
        <v>966</v>
      </c>
      <c r="AH389" s="14" t="s">
        <v>1441</v>
      </c>
      <c r="AI389" s="199">
        <f>98383.57+67957.2+131759+61030.49+98383.57-15548.08+97077.59+100688.53-14300.18+89286.06+87658.61-28814.78</f>
        <v>773561.58</v>
      </c>
      <c r="AJ389" s="1">
        <f>12959.77+25127.1+30401.05+15548.08+19201.81+14300.18+16716.91+13267.11</f>
        <v>147522.01</v>
      </c>
    </row>
    <row r="390" spans="1:36" ht="189" x14ac:dyDescent="0.25">
      <c r="A390" s="5">
        <f t="shared" ref="A390:A453" si="196">A389+1</f>
        <v>387</v>
      </c>
      <c r="B390" s="16">
        <v>112263</v>
      </c>
      <c r="C390" s="6">
        <v>212</v>
      </c>
      <c r="D390" s="5" t="s">
        <v>143</v>
      </c>
      <c r="E390" s="18" t="s">
        <v>271</v>
      </c>
      <c r="F390" s="18" t="s">
        <v>446</v>
      </c>
      <c r="G390" s="3" t="s">
        <v>447</v>
      </c>
      <c r="H390" s="5" t="s">
        <v>151</v>
      </c>
      <c r="I390" s="42" t="s">
        <v>473</v>
      </c>
      <c r="J390" s="2">
        <v>43257</v>
      </c>
      <c r="K390" s="2">
        <v>43744</v>
      </c>
      <c r="L390" s="17">
        <f t="shared" si="189"/>
        <v>82.304186636665435</v>
      </c>
      <c r="M390" s="5" t="s">
        <v>273</v>
      </c>
      <c r="N390" s="5" t="s">
        <v>262</v>
      </c>
      <c r="O390" s="5" t="s">
        <v>262</v>
      </c>
      <c r="P390" s="3" t="s">
        <v>275</v>
      </c>
      <c r="Q390" s="5" t="s">
        <v>34</v>
      </c>
      <c r="R390" s="9">
        <f t="shared" si="190"/>
        <v>804068.05999999994</v>
      </c>
      <c r="S390" s="9">
        <v>648410.84</v>
      </c>
      <c r="T390" s="9">
        <v>155657.22</v>
      </c>
      <c r="U390" s="9">
        <f t="shared" si="194"/>
        <v>153339.75</v>
      </c>
      <c r="V390" s="54">
        <v>114425.45</v>
      </c>
      <c r="W390" s="54">
        <v>38914.300000000003</v>
      </c>
      <c r="X390" s="200">
        <f t="shared" si="191"/>
        <v>0</v>
      </c>
      <c r="Y390" s="9">
        <v>0</v>
      </c>
      <c r="Z390" s="9">
        <v>0</v>
      </c>
      <c r="AA390" s="9">
        <f t="shared" si="192"/>
        <v>19538.919999999998</v>
      </c>
      <c r="AB390" s="9">
        <v>15568.08</v>
      </c>
      <c r="AC390" s="9">
        <v>3970.84</v>
      </c>
      <c r="AD390" s="45">
        <f t="shared" si="195"/>
        <v>976946.73</v>
      </c>
      <c r="AE390" s="9">
        <v>0</v>
      </c>
      <c r="AF390" s="9">
        <f t="shared" si="193"/>
        <v>976946.73</v>
      </c>
      <c r="AG390" s="50" t="s">
        <v>966</v>
      </c>
      <c r="AH390" s="14"/>
      <c r="AI390" s="1">
        <f>84638.59+81518.25+15437.85+121639.28+42099.38+37504.88+114980.02+153441.7</f>
        <v>651259.94999999995</v>
      </c>
      <c r="AJ390" s="1">
        <f>13056.08+21574.93+4566.35+8028.56+23258.8+5820.82+47892.94</f>
        <v>124198.48000000001</v>
      </c>
    </row>
    <row r="391" spans="1:36" ht="141.75" x14ac:dyDescent="0.25">
      <c r="A391" s="5">
        <f t="shared" si="196"/>
        <v>388</v>
      </c>
      <c r="B391" s="16">
        <v>118978</v>
      </c>
      <c r="C391" s="6">
        <v>453</v>
      </c>
      <c r="D391" s="138" t="s">
        <v>1984</v>
      </c>
      <c r="E391" s="18" t="s">
        <v>440</v>
      </c>
      <c r="F391" s="18" t="s">
        <v>445</v>
      </c>
      <c r="G391" s="3" t="s">
        <v>444</v>
      </c>
      <c r="H391" s="5" t="s">
        <v>151</v>
      </c>
      <c r="I391" s="42" t="s">
        <v>479</v>
      </c>
      <c r="J391" s="2">
        <v>43257</v>
      </c>
      <c r="K391" s="2">
        <v>45266</v>
      </c>
      <c r="L391" s="17">
        <f t="shared" si="189"/>
        <v>83.983863086542428</v>
      </c>
      <c r="M391" s="5" t="s">
        <v>273</v>
      </c>
      <c r="N391" s="5" t="s">
        <v>262</v>
      </c>
      <c r="O391" s="5" t="s">
        <v>262</v>
      </c>
      <c r="P391" s="3" t="s">
        <v>138</v>
      </c>
      <c r="Q391" s="5" t="s">
        <v>34</v>
      </c>
      <c r="R391" s="9">
        <f t="shared" si="190"/>
        <v>10919953.02</v>
      </c>
      <c r="S391" s="9">
        <v>8805990.6999999993</v>
      </c>
      <c r="T391" s="9">
        <v>2113962.3199999998</v>
      </c>
      <c r="U391" s="9">
        <f t="shared" si="194"/>
        <v>0</v>
      </c>
      <c r="V391" s="54">
        <v>0</v>
      </c>
      <c r="W391" s="54">
        <v>0</v>
      </c>
      <c r="X391" s="9">
        <f t="shared" si="191"/>
        <v>2082488.9000000001</v>
      </c>
      <c r="Y391" s="9">
        <v>1553998.34</v>
      </c>
      <c r="Z391" s="9">
        <v>528490.56000000006</v>
      </c>
      <c r="AA391" s="9">
        <f t="shared" si="192"/>
        <v>0</v>
      </c>
      <c r="AB391" s="9">
        <v>0</v>
      </c>
      <c r="AC391" s="9">
        <v>0</v>
      </c>
      <c r="AD391" s="45">
        <f t="shared" si="195"/>
        <v>13002441.92</v>
      </c>
      <c r="AE391" s="9">
        <v>1503920</v>
      </c>
      <c r="AF391" s="9">
        <f t="shared" si="193"/>
        <v>14506361.92</v>
      </c>
      <c r="AG391" s="60" t="s">
        <v>515</v>
      </c>
      <c r="AH391" s="14" t="s">
        <v>2117</v>
      </c>
      <c r="AI391" s="1">
        <f>1130733.83+797136.44+44591.19+242036.75+45078.83+286038.72</f>
        <v>2545615.7599999998</v>
      </c>
      <c r="AJ391" s="1">
        <v>0</v>
      </c>
    </row>
    <row r="392" spans="1:36" ht="141.75" x14ac:dyDescent="0.25">
      <c r="A392" s="5">
        <f t="shared" si="196"/>
        <v>389</v>
      </c>
      <c r="B392" s="16">
        <v>119317</v>
      </c>
      <c r="C392" s="6">
        <v>456</v>
      </c>
      <c r="D392" s="138" t="s">
        <v>1984</v>
      </c>
      <c r="E392" s="18" t="s">
        <v>440</v>
      </c>
      <c r="F392" s="18" t="s">
        <v>480</v>
      </c>
      <c r="G392" s="3" t="s">
        <v>553</v>
      </c>
      <c r="H392" s="5" t="s">
        <v>151</v>
      </c>
      <c r="I392" s="42" t="s">
        <v>481</v>
      </c>
      <c r="J392" s="2">
        <v>43257</v>
      </c>
      <c r="K392" s="2">
        <v>44353</v>
      </c>
      <c r="L392" s="17">
        <f t="shared" si="189"/>
        <v>83.98386278492832</v>
      </c>
      <c r="M392" s="5" t="s">
        <v>273</v>
      </c>
      <c r="N392" s="5" t="s">
        <v>262</v>
      </c>
      <c r="O392" s="5" t="s">
        <v>262</v>
      </c>
      <c r="P392" s="3" t="s">
        <v>138</v>
      </c>
      <c r="Q392" s="5" t="s">
        <v>34</v>
      </c>
      <c r="R392" s="9">
        <f t="shared" si="190"/>
        <v>26702638.300000001</v>
      </c>
      <c r="S392" s="9">
        <v>21533351.300000001</v>
      </c>
      <c r="T392" s="9">
        <v>5169287</v>
      </c>
      <c r="U392" s="9">
        <f t="shared" si="194"/>
        <v>0</v>
      </c>
      <c r="V392" s="54"/>
      <c r="W392" s="54"/>
      <c r="X392" s="9">
        <f t="shared" si="191"/>
        <v>5092324.9399999995</v>
      </c>
      <c r="Y392" s="9">
        <v>3800003.21</v>
      </c>
      <c r="Z392" s="9">
        <v>1292321.73</v>
      </c>
      <c r="AA392" s="9">
        <f t="shared" si="192"/>
        <v>0</v>
      </c>
      <c r="AB392" s="9">
        <v>0</v>
      </c>
      <c r="AC392" s="9">
        <v>0</v>
      </c>
      <c r="AD392" s="45">
        <f t="shared" si="195"/>
        <v>31794963.240000002</v>
      </c>
      <c r="AE392" s="9">
        <v>0</v>
      </c>
      <c r="AF392" s="9">
        <f t="shared" si="193"/>
        <v>31794963.240000002</v>
      </c>
      <c r="AG392" s="60" t="s">
        <v>966</v>
      </c>
      <c r="AH392" s="14" t="s">
        <v>2089</v>
      </c>
      <c r="AI392" s="1">
        <f>13204122.23+142867.13+282693.25+662367.12+10832840.9+52086.64</f>
        <v>25176977.270000003</v>
      </c>
      <c r="AJ392" s="1">
        <v>0</v>
      </c>
    </row>
    <row r="393" spans="1:36" ht="283.5" x14ac:dyDescent="0.25">
      <c r="A393" s="5">
        <f t="shared" si="196"/>
        <v>390</v>
      </c>
      <c r="B393" s="16">
        <v>111319</v>
      </c>
      <c r="C393" s="6">
        <v>359</v>
      </c>
      <c r="D393" s="5" t="s">
        <v>143</v>
      </c>
      <c r="E393" s="18" t="s">
        <v>271</v>
      </c>
      <c r="F393" s="18" t="s">
        <v>485</v>
      </c>
      <c r="G393" s="3" t="s">
        <v>483</v>
      </c>
      <c r="H393" s="5" t="s">
        <v>486</v>
      </c>
      <c r="I393" s="42" t="s">
        <v>487</v>
      </c>
      <c r="J393" s="2">
        <v>43256</v>
      </c>
      <c r="K393" s="2">
        <v>43866</v>
      </c>
      <c r="L393" s="17">
        <f t="shared" si="189"/>
        <v>82.304189744785745</v>
      </c>
      <c r="M393" s="5" t="s">
        <v>273</v>
      </c>
      <c r="N393" s="5" t="s">
        <v>732</v>
      </c>
      <c r="O393" s="5" t="s">
        <v>732</v>
      </c>
      <c r="P393" s="3" t="s">
        <v>275</v>
      </c>
      <c r="Q393" s="5" t="s">
        <v>34</v>
      </c>
      <c r="R393" s="9">
        <f t="shared" si="190"/>
        <v>822860.82000000007</v>
      </c>
      <c r="S393" s="9">
        <v>663565.56000000006</v>
      </c>
      <c r="T393" s="9">
        <v>159295.26</v>
      </c>
      <c r="U393" s="9">
        <f t="shared" si="194"/>
        <v>156923.62</v>
      </c>
      <c r="V393" s="54">
        <v>117099.8</v>
      </c>
      <c r="W393" s="54">
        <v>39823.82</v>
      </c>
      <c r="X393" s="9">
        <f t="shared" si="191"/>
        <v>0</v>
      </c>
      <c r="Y393" s="9">
        <v>0</v>
      </c>
      <c r="Z393" s="9">
        <v>0</v>
      </c>
      <c r="AA393" s="9">
        <f t="shared" si="192"/>
        <v>19995.55</v>
      </c>
      <c r="AB393" s="9">
        <v>15931.91</v>
      </c>
      <c r="AC393" s="9">
        <v>4063.64</v>
      </c>
      <c r="AD393" s="45">
        <f t="shared" si="195"/>
        <v>999779.99000000011</v>
      </c>
      <c r="AE393" s="9">
        <v>0</v>
      </c>
      <c r="AF393" s="9">
        <f t="shared" si="193"/>
        <v>999779.99000000011</v>
      </c>
      <c r="AG393" s="60" t="s">
        <v>1685</v>
      </c>
      <c r="AH393" s="14" t="s">
        <v>1633</v>
      </c>
      <c r="AI393" s="1">
        <v>789088.58</v>
      </c>
      <c r="AJ393" s="1">
        <v>150483.12000000002</v>
      </c>
    </row>
    <row r="394" spans="1:36" ht="409.5" x14ac:dyDescent="0.25">
      <c r="A394" s="5">
        <f t="shared" si="196"/>
        <v>391</v>
      </c>
      <c r="B394" s="16">
        <v>111320</v>
      </c>
      <c r="C394" s="6">
        <v>132</v>
      </c>
      <c r="D394" s="5" t="s">
        <v>143</v>
      </c>
      <c r="E394" s="18" t="s">
        <v>271</v>
      </c>
      <c r="F394" s="18" t="s">
        <v>488</v>
      </c>
      <c r="G394" s="3" t="s">
        <v>489</v>
      </c>
      <c r="H394" s="5" t="s">
        <v>362</v>
      </c>
      <c r="I394" s="42" t="s">
        <v>490</v>
      </c>
      <c r="J394" s="2">
        <v>43258</v>
      </c>
      <c r="K394" s="2">
        <v>43745</v>
      </c>
      <c r="L394" s="17">
        <f t="shared" si="189"/>
        <v>82.304187069212688</v>
      </c>
      <c r="M394" s="5" t="s">
        <v>273</v>
      </c>
      <c r="N394" s="5" t="s">
        <v>262</v>
      </c>
      <c r="O394" s="5" t="s">
        <v>262</v>
      </c>
      <c r="P394" s="3" t="s">
        <v>275</v>
      </c>
      <c r="Q394" s="5" t="s">
        <v>34</v>
      </c>
      <c r="R394" s="9">
        <f t="shared" si="190"/>
        <v>745773.49</v>
      </c>
      <c r="S394" s="9">
        <v>601401.34</v>
      </c>
      <c r="T394" s="9">
        <v>144372.15</v>
      </c>
      <c r="U394" s="9">
        <f t="shared" si="194"/>
        <v>142222.68</v>
      </c>
      <c r="V394" s="54">
        <v>106129.65</v>
      </c>
      <c r="W394" s="54">
        <v>36093.03</v>
      </c>
      <c r="X394" s="9">
        <f t="shared" si="191"/>
        <v>0</v>
      </c>
      <c r="Y394" s="9">
        <v>0</v>
      </c>
      <c r="Z394" s="9">
        <v>0</v>
      </c>
      <c r="AA394" s="9">
        <f t="shared" si="192"/>
        <v>18122.36</v>
      </c>
      <c r="AB394" s="9">
        <v>14439.4</v>
      </c>
      <c r="AC394" s="9">
        <v>3682.96</v>
      </c>
      <c r="AD394" s="45">
        <f t="shared" si="195"/>
        <v>906118.52999999991</v>
      </c>
      <c r="AE394" s="9">
        <v>0</v>
      </c>
      <c r="AF394" s="9">
        <f t="shared" si="193"/>
        <v>906118.52999999991</v>
      </c>
      <c r="AG394" s="50" t="s">
        <v>966</v>
      </c>
      <c r="AH394" s="14"/>
      <c r="AI394" s="1">
        <f>592141.33+76026.28+52285.05</f>
        <v>720452.66</v>
      </c>
      <c r="AJ394" s="1">
        <f>23379.78+18253.47+17321.01+18762.68+17927.2+31778.72+9971.04</f>
        <v>137393.9</v>
      </c>
    </row>
    <row r="395" spans="1:36" ht="141.75" x14ac:dyDescent="0.25">
      <c r="A395" s="5">
        <f t="shared" si="196"/>
        <v>392</v>
      </c>
      <c r="B395" s="16">
        <v>110527</v>
      </c>
      <c r="C395" s="6">
        <v>353</v>
      </c>
      <c r="D395" s="5" t="s">
        <v>143</v>
      </c>
      <c r="E395" s="18" t="s">
        <v>271</v>
      </c>
      <c r="F395" s="18" t="s">
        <v>491</v>
      </c>
      <c r="G395" s="3" t="s">
        <v>492</v>
      </c>
      <c r="H395" s="5" t="s">
        <v>493</v>
      </c>
      <c r="I395" s="42" t="s">
        <v>494</v>
      </c>
      <c r="J395" s="2">
        <v>43258</v>
      </c>
      <c r="K395" s="2">
        <v>43745</v>
      </c>
      <c r="L395" s="17">
        <f t="shared" si="189"/>
        <v>82.304183804307399</v>
      </c>
      <c r="M395" s="5" t="s">
        <v>273</v>
      </c>
      <c r="N395" s="5" t="s">
        <v>262</v>
      </c>
      <c r="O395" s="5" t="s">
        <v>262</v>
      </c>
      <c r="P395" s="3" t="s">
        <v>275</v>
      </c>
      <c r="Q395" s="5" t="s">
        <v>34</v>
      </c>
      <c r="R395" s="9">
        <f t="shared" si="190"/>
        <v>797101.36999999988</v>
      </c>
      <c r="S395" s="9">
        <v>642792.81999999995</v>
      </c>
      <c r="T395" s="9">
        <v>154308.54999999999</v>
      </c>
      <c r="U395" s="9">
        <f t="shared" si="194"/>
        <v>152011.18</v>
      </c>
      <c r="V395" s="54">
        <v>113434.03</v>
      </c>
      <c r="W395" s="54">
        <v>38577.15</v>
      </c>
      <c r="X395" s="9">
        <f t="shared" si="191"/>
        <v>0</v>
      </c>
      <c r="Y395" s="9">
        <v>0</v>
      </c>
      <c r="Z395" s="9">
        <v>0</v>
      </c>
      <c r="AA395" s="9">
        <f t="shared" si="192"/>
        <v>19369.649999999998</v>
      </c>
      <c r="AB395" s="9">
        <v>15433.21</v>
      </c>
      <c r="AC395" s="9">
        <v>3936.44</v>
      </c>
      <c r="AD395" s="45">
        <f t="shared" si="195"/>
        <v>968482.19999999984</v>
      </c>
      <c r="AE395" s="9"/>
      <c r="AF395" s="9">
        <f t="shared" si="193"/>
        <v>968482.19999999984</v>
      </c>
      <c r="AG395" s="50" t="s">
        <v>966</v>
      </c>
      <c r="AH395" s="14"/>
      <c r="AI395" s="1">
        <f>151069.39+15306.08+96848.21+24994.02+61062.29+191670.85+146395.04</f>
        <v>687345.88</v>
      </c>
      <c r="AJ395" s="1">
        <f>10340.24+21388.37+4766.48+30114.35+18083.14+46387.73</f>
        <v>131080.31</v>
      </c>
    </row>
    <row r="396" spans="1:36" ht="173.25" x14ac:dyDescent="0.25">
      <c r="A396" s="5">
        <f t="shared" si="196"/>
        <v>393</v>
      </c>
      <c r="B396" s="16">
        <v>112412</v>
      </c>
      <c r="C396" s="6">
        <v>269</v>
      </c>
      <c r="D396" s="5" t="s">
        <v>143</v>
      </c>
      <c r="E396" s="18" t="s">
        <v>271</v>
      </c>
      <c r="F396" s="18" t="s">
        <v>495</v>
      </c>
      <c r="G396" s="3" t="s">
        <v>496</v>
      </c>
      <c r="H396" s="5" t="s">
        <v>497</v>
      </c>
      <c r="I396" s="42" t="s">
        <v>498</v>
      </c>
      <c r="J396" s="2">
        <v>43259</v>
      </c>
      <c r="K396" s="2">
        <v>43869</v>
      </c>
      <c r="L396" s="17">
        <f t="shared" si="189"/>
        <v>82.304183541065214</v>
      </c>
      <c r="M396" s="5" t="s">
        <v>273</v>
      </c>
      <c r="N396" s="5" t="s">
        <v>262</v>
      </c>
      <c r="O396" s="5" t="s">
        <v>262</v>
      </c>
      <c r="P396" s="3" t="s">
        <v>275</v>
      </c>
      <c r="Q396" s="5" t="s">
        <v>34</v>
      </c>
      <c r="R396" s="9">
        <f t="shared" si="190"/>
        <v>789670.74</v>
      </c>
      <c r="S396" s="9">
        <v>636800.65</v>
      </c>
      <c r="T396" s="9">
        <v>152870.09</v>
      </c>
      <c r="U396" s="9">
        <f t="shared" si="194"/>
        <v>150594.14000000001</v>
      </c>
      <c r="V396" s="54">
        <v>112376.61</v>
      </c>
      <c r="W396" s="54">
        <v>38217.53</v>
      </c>
      <c r="X396" s="9">
        <f t="shared" si="191"/>
        <v>0</v>
      </c>
      <c r="Y396" s="9">
        <v>0</v>
      </c>
      <c r="Z396" s="9">
        <v>0</v>
      </c>
      <c r="AA396" s="9">
        <f t="shared" si="192"/>
        <v>19189.07</v>
      </c>
      <c r="AB396" s="9">
        <v>15289.33</v>
      </c>
      <c r="AC396" s="9">
        <v>3899.74</v>
      </c>
      <c r="AD396" s="45">
        <f t="shared" si="195"/>
        <v>959453.95</v>
      </c>
      <c r="AE396" s="9"/>
      <c r="AF396" s="9">
        <f t="shared" si="193"/>
        <v>959453.95</v>
      </c>
      <c r="AG396" s="60" t="s">
        <v>1685</v>
      </c>
      <c r="AH396" s="14" t="s">
        <v>1531</v>
      </c>
      <c r="AI396" s="1">
        <f>95945.38+5019.44+25010.26+9763.75+114260.12+16124.2+16125.04+203494.65+30475.94+16453.44+90320.57+23005.98</f>
        <v>645998.77</v>
      </c>
      <c r="AJ396" s="1">
        <f>7941.36+4769.59+16667.83+3074.99+3075.12+38807.41+5811.93+3137.74+21791.13+18118.11</f>
        <v>123195.21000000002</v>
      </c>
    </row>
    <row r="397" spans="1:36" ht="393.75" x14ac:dyDescent="0.25">
      <c r="A397" s="5">
        <f t="shared" si="196"/>
        <v>394</v>
      </c>
      <c r="B397" s="16">
        <v>113035</v>
      </c>
      <c r="C397" s="6">
        <v>332</v>
      </c>
      <c r="D397" s="5" t="s">
        <v>143</v>
      </c>
      <c r="E397" s="18" t="s">
        <v>271</v>
      </c>
      <c r="F397" s="18" t="s">
        <v>499</v>
      </c>
      <c r="G397" s="5" t="s">
        <v>500</v>
      </c>
      <c r="H397" s="5" t="s">
        <v>362</v>
      </c>
      <c r="I397" s="42" t="s">
        <v>1599</v>
      </c>
      <c r="J397" s="2">
        <v>43258</v>
      </c>
      <c r="K397" s="2">
        <v>43745</v>
      </c>
      <c r="L397" s="17">
        <f t="shared" si="189"/>
        <v>82.304190781814583</v>
      </c>
      <c r="M397" s="5" t="s">
        <v>273</v>
      </c>
      <c r="N397" s="5" t="s">
        <v>262</v>
      </c>
      <c r="O397" s="5" t="s">
        <v>262</v>
      </c>
      <c r="P397" s="3" t="s">
        <v>275</v>
      </c>
      <c r="Q397" s="5" t="s">
        <v>34</v>
      </c>
      <c r="R397" s="9">
        <f t="shared" si="190"/>
        <v>813615.64999999991</v>
      </c>
      <c r="S397" s="9">
        <v>656110.1</v>
      </c>
      <c r="T397" s="9">
        <v>157505.54999999999</v>
      </c>
      <c r="U397" s="9">
        <f t="shared" si="194"/>
        <v>155160.44</v>
      </c>
      <c r="V397" s="54">
        <v>115784.14</v>
      </c>
      <c r="W397" s="54">
        <v>39376.300000000003</v>
      </c>
      <c r="X397" s="9">
        <f t="shared" si="191"/>
        <v>0</v>
      </c>
      <c r="Y397" s="9">
        <v>0</v>
      </c>
      <c r="Z397" s="9">
        <v>0</v>
      </c>
      <c r="AA397" s="9">
        <f t="shared" si="192"/>
        <v>19770.96</v>
      </c>
      <c r="AB397" s="9">
        <v>15752.93</v>
      </c>
      <c r="AC397" s="9">
        <v>4018.03</v>
      </c>
      <c r="AD397" s="45">
        <f t="shared" si="195"/>
        <v>988547.04999999981</v>
      </c>
      <c r="AE397" s="9">
        <v>0</v>
      </c>
      <c r="AF397" s="9">
        <f t="shared" si="193"/>
        <v>988547.04999999981</v>
      </c>
      <c r="AG397" s="50" t="s">
        <v>966</v>
      </c>
      <c r="AH397" s="14" t="s">
        <v>1523</v>
      </c>
      <c r="AI397" s="1">
        <f>660984.49+9608.72+119843.6-177</f>
        <v>790259.80999999994</v>
      </c>
      <c r="AJ397" s="1">
        <f>107200.99+19833+22854.78+817.6</f>
        <v>150706.37000000002</v>
      </c>
    </row>
    <row r="398" spans="1:36" ht="267.75" x14ac:dyDescent="0.25">
      <c r="A398" s="5">
        <f t="shared" si="196"/>
        <v>395</v>
      </c>
      <c r="B398" s="16">
        <v>112992</v>
      </c>
      <c r="C398" s="70">
        <v>233</v>
      </c>
      <c r="D398" s="5" t="s">
        <v>143</v>
      </c>
      <c r="E398" s="18" t="s">
        <v>271</v>
      </c>
      <c r="F398" s="121" t="s">
        <v>501</v>
      </c>
      <c r="G398" s="5" t="s">
        <v>502</v>
      </c>
      <c r="H398" s="5" t="s">
        <v>362</v>
      </c>
      <c r="I398" s="42" t="s">
        <v>1600</v>
      </c>
      <c r="J398" s="2">
        <v>43259</v>
      </c>
      <c r="K398" s="2">
        <v>43807</v>
      </c>
      <c r="L398" s="17">
        <f t="shared" si="189"/>
        <v>82.304185804634827</v>
      </c>
      <c r="M398" s="5" t="s">
        <v>273</v>
      </c>
      <c r="N398" s="5" t="s">
        <v>262</v>
      </c>
      <c r="O398" s="5" t="s">
        <v>262</v>
      </c>
      <c r="P398" s="3" t="s">
        <v>275</v>
      </c>
      <c r="Q398" s="5" t="s">
        <v>34</v>
      </c>
      <c r="R398" s="9">
        <f t="shared" si="190"/>
        <v>413202.42000000004</v>
      </c>
      <c r="S398" s="9">
        <v>333211.76</v>
      </c>
      <c r="T398" s="9">
        <v>79990.66</v>
      </c>
      <c r="U398" s="9">
        <f t="shared" si="194"/>
        <v>78799.740000000005</v>
      </c>
      <c r="V398" s="54">
        <v>58802.080000000002</v>
      </c>
      <c r="W398" s="54">
        <v>19997.66</v>
      </c>
      <c r="X398" s="9">
        <f t="shared" si="191"/>
        <v>0</v>
      </c>
      <c r="Y398" s="9">
        <v>0</v>
      </c>
      <c r="Z398" s="9">
        <v>0</v>
      </c>
      <c r="AA398" s="9">
        <f t="shared" si="192"/>
        <v>10040.86</v>
      </c>
      <c r="AB398" s="9">
        <v>8000.27</v>
      </c>
      <c r="AC398" s="9">
        <v>2040.59</v>
      </c>
      <c r="AD398" s="45">
        <f t="shared" si="195"/>
        <v>502043.02</v>
      </c>
      <c r="AE398" s="9">
        <v>96.29</v>
      </c>
      <c r="AF398" s="9">
        <f t="shared" si="193"/>
        <v>502139.31</v>
      </c>
      <c r="AG398" s="50" t="s">
        <v>966</v>
      </c>
      <c r="AH398" s="14" t="s">
        <v>1510</v>
      </c>
      <c r="AI398" s="1">
        <f>288667.07+18246.61+35182-18201.37</f>
        <v>323894.31</v>
      </c>
      <c r="AJ398" s="1">
        <f>45476.06+13053.86+3238.27</f>
        <v>61768.189999999995</v>
      </c>
    </row>
    <row r="399" spans="1:36" ht="173.25" x14ac:dyDescent="0.25">
      <c r="A399" s="5">
        <f t="shared" si="196"/>
        <v>396</v>
      </c>
      <c r="B399" s="16">
        <v>109834</v>
      </c>
      <c r="C399" s="70">
        <v>202</v>
      </c>
      <c r="D399" s="5" t="s">
        <v>143</v>
      </c>
      <c r="E399" s="18" t="s">
        <v>271</v>
      </c>
      <c r="F399" s="121" t="s">
        <v>507</v>
      </c>
      <c r="G399" s="5" t="s">
        <v>508</v>
      </c>
      <c r="H399" s="5" t="s">
        <v>362</v>
      </c>
      <c r="I399" s="42" t="s">
        <v>509</v>
      </c>
      <c r="J399" s="2">
        <v>43264</v>
      </c>
      <c r="K399" s="2">
        <v>43751</v>
      </c>
      <c r="L399" s="17">
        <f t="shared" si="189"/>
        <v>82.304183375849476</v>
      </c>
      <c r="M399" s="5" t="s">
        <v>273</v>
      </c>
      <c r="N399" s="5" t="s">
        <v>262</v>
      </c>
      <c r="O399" s="5" t="s">
        <v>262</v>
      </c>
      <c r="P399" s="3" t="s">
        <v>275</v>
      </c>
      <c r="Q399" s="5" t="s">
        <v>34</v>
      </c>
      <c r="R399" s="9">
        <f t="shared" si="190"/>
        <v>756907.55</v>
      </c>
      <c r="S399" s="9">
        <v>610380.03</v>
      </c>
      <c r="T399" s="9">
        <v>146527.51999999999</v>
      </c>
      <c r="U399" s="9">
        <f t="shared" si="194"/>
        <v>144346.04</v>
      </c>
      <c r="V399" s="54">
        <v>107714.13</v>
      </c>
      <c r="W399" s="54">
        <v>36631.910000000003</v>
      </c>
      <c r="X399" s="9">
        <f t="shared" si="191"/>
        <v>0</v>
      </c>
      <c r="Y399" s="9">
        <v>0</v>
      </c>
      <c r="Z399" s="9">
        <v>0</v>
      </c>
      <c r="AA399" s="9">
        <f t="shared" si="192"/>
        <v>18392.919999999998</v>
      </c>
      <c r="AB399" s="9">
        <v>14654.96</v>
      </c>
      <c r="AC399" s="9">
        <v>3737.96</v>
      </c>
      <c r="AD399" s="45">
        <f t="shared" si="195"/>
        <v>919646.51000000013</v>
      </c>
      <c r="AE399" s="9">
        <v>0</v>
      </c>
      <c r="AF399" s="9">
        <f t="shared" si="193"/>
        <v>919646.51000000013</v>
      </c>
      <c r="AG399" s="50" t="s">
        <v>966</v>
      </c>
      <c r="AH399" s="14" t="s">
        <v>1501</v>
      </c>
      <c r="AI399" s="1">
        <f>563280.08+150291.55-17456.57</f>
        <v>696115.05999999994</v>
      </c>
      <c r="AJ399" s="1">
        <f>103044.14+15874.06+13834.42</f>
        <v>132752.62</v>
      </c>
    </row>
    <row r="400" spans="1:36" ht="267.75" x14ac:dyDescent="0.25">
      <c r="A400" s="5">
        <f t="shared" si="196"/>
        <v>397</v>
      </c>
      <c r="B400" s="16">
        <v>111613</v>
      </c>
      <c r="C400" s="70">
        <v>289</v>
      </c>
      <c r="D400" s="5" t="s">
        <v>143</v>
      </c>
      <c r="E400" s="18" t="s">
        <v>271</v>
      </c>
      <c r="F400" s="121" t="s">
        <v>510</v>
      </c>
      <c r="G400" s="5" t="s">
        <v>511</v>
      </c>
      <c r="H400" s="5" t="s">
        <v>512</v>
      </c>
      <c r="I400" s="42" t="s">
        <v>513</v>
      </c>
      <c r="J400" s="2">
        <v>43264</v>
      </c>
      <c r="K400" s="2">
        <v>43751</v>
      </c>
      <c r="L400" s="17">
        <f t="shared" si="189"/>
        <v>82.304185024184278</v>
      </c>
      <c r="M400" s="5" t="s">
        <v>273</v>
      </c>
      <c r="N400" s="5" t="s">
        <v>514</v>
      </c>
      <c r="O400" s="5" t="s">
        <v>514</v>
      </c>
      <c r="P400" s="3" t="s">
        <v>275</v>
      </c>
      <c r="Q400" s="5" t="s">
        <v>34</v>
      </c>
      <c r="R400" s="9">
        <f t="shared" si="190"/>
        <v>790560.66</v>
      </c>
      <c r="S400" s="9">
        <v>637518.30000000005</v>
      </c>
      <c r="T400" s="9">
        <v>153042.35999999999</v>
      </c>
      <c r="U400" s="9">
        <f t="shared" si="194"/>
        <v>150763.83000000002</v>
      </c>
      <c r="V400" s="54">
        <v>112503.22</v>
      </c>
      <c r="W400" s="54">
        <v>38260.61</v>
      </c>
      <c r="X400" s="9">
        <v>0</v>
      </c>
      <c r="Y400" s="9">
        <v>0</v>
      </c>
      <c r="Z400" s="9">
        <v>0</v>
      </c>
      <c r="AA400" s="9">
        <f t="shared" si="192"/>
        <v>19210.7</v>
      </c>
      <c r="AB400" s="9">
        <v>15306.57</v>
      </c>
      <c r="AC400" s="9">
        <v>3904.13</v>
      </c>
      <c r="AD400" s="45">
        <f t="shared" si="195"/>
        <v>960535.19</v>
      </c>
      <c r="AE400" s="9">
        <v>67830</v>
      </c>
      <c r="AF400" s="9">
        <f t="shared" si="193"/>
        <v>1028365.19</v>
      </c>
      <c r="AG400" s="50" t="s">
        <v>966</v>
      </c>
      <c r="AH400" s="14" t="s">
        <v>362</v>
      </c>
      <c r="AI400" s="1">
        <f>601578.5+85673.04+17171.08</f>
        <v>704422.62</v>
      </c>
      <c r="AJ400" s="1">
        <f>96406.11+16338.28+21592.49</f>
        <v>134336.88</v>
      </c>
    </row>
    <row r="401" spans="1:109" ht="173.25" x14ac:dyDescent="0.25">
      <c r="A401" s="5">
        <f t="shared" si="196"/>
        <v>398</v>
      </c>
      <c r="B401" s="16">
        <v>112219</v>
      </c>
      <c r="C401" s="70">
        <v>274</v>
      </c>
      <c r="D401" s="5" t="s">
        <v>143</v>
      </c>
      <c r="E401" s="18" t="s">
        <v>271</v>
      </c>
      <c r="F401" s="18" t="s">
        <v>520</v>
      </c>
      <c r="G401" s="5" t="s">
        <v>521</v>
      </c>
      <c r="H401" s="5" t="s">
        <v>522</v>
      </c>
      <c r="I401" s="42" t="s">
        <v>525</v>
      </c>
      <c r="J401" s="2">
        <v>43262</v>
      </c>
      <c r="K401" s="2">
        <v>43749</v>
      </c>
      <c r="L401" s="17">
        <f t="shared" si="189"/>
        <v>82.304180101214385</v>
      </c>
      <c r="M401" s="5" t="s">
        <v>273</v>
      </c>
      <c r="N401" s="5" t="s">
        <v>523</v>
      </c>
      <c r="O401" s="5" t="s">
        <v>524</v>
      </c>
      <c r="P401" s="3" t="s">
        <v>275</v>
      </c>
      <c r="Q401" s="5" t="s">
        <v>34</v>
      </c>
      <c r="R401" s="9">
        <f t="shared" ref="R401:R418" si="197">S401+T401</f>
        <v>796246.49</v>
      </c>
      <c r="S401" s="9">
        <v>642103.43000000005</v>
      </c>
      <c r="T401" s="9">
        <v>154143.06</v>
      </c>
      <c r="U401" s="9">
        <f t="shared" si="194"/>
        <v>151848.19</v>
      </c>
      <c r="V401" s="54">
        <v>113312.41</v>
      </c>
      <c r="W401" s="54">
        <v>38535.78</v>
      </c>
      <c r="X401" s="9">
        <f t="shared" ref="X401:X431" si="198">Y401+Z401</f>
        <v>0</v>
      </c>
      <c r="Y401" s="9">
        <v>0</v>
      </c>
      <c r="Z401" s="9">
        <v>0</v>
      </c>
      <c r="AA401" s="9">
        <f t="shared" ref="AA401:AA431" si="199">AB401+AC401</f>
        <v>19348.88</v>
      </c>
      <c r="AB401" s="9">
        <v>15416.65</v>
      </c>
      <c r="AC401" s="9">
        <v>3932.23</v>
      </c>
      <c r="AD401" s="45">
        <f t="shared" si="195"/>
        <v>967443.55999999994</v>
      </c>
      <c r="AE401" s="9"/>
      <c r="AF401" s="9">
        <f t="shared" ref="AF401:AF431" si="200">AD401+AE401</f>
        <v>967443.55999999994</v>
      </c>
      <c r="AG401" s="50" t="s">
        <v>966</v>
      </c>
      <c r="AH401" s="14" t="s">
        <v>1515</v>
      </c>
      <c r="AI401" s="1">
        <f>191558.95+82810.85-11941.24+189135.5-9602.09+179531.24+112002.06-2148.73+7719.83</f>
        <v>739066.37</v>
      </c>
      <c r="AJ401" s="1">
        <f>18065.03+15792.44+11941.24+3307.22+18543.36+15614.11+16792.23+39159.49+1728.5</f>
        <v>140943.62</v>
      </c>
    </row>
    <row r="402" spans="1:109" ht="141.75" x14ac:dyDescent="0.25">
      <c r="A402" s="5">
        <f t="shared" si="196"/>
        <v>399</v>
      </c>
      <c r="B402" s="16">
        <v>111981</v>
      </c>
      <c r="C402" s="70">
        <v>264</v>
      </c>
      <c r="D402" s="5" t="s">
        <v>143</v>
      </c>
      <c r="E402" s="18" t="s">
        <v>271</v>
      </c>
      <c r="F402" s="18" t="s">
        <v>526</v>
      </c>
      <c r="G402" s="5" t="s">
        <v>527</v>
      </c>
      <c r="H402" s="5" t="s">
        <v>528</v>
      </c>
      <c r="I402" s="42" t="s">
        <v>530</v>
      </c>
      <c r="J402" s="2">
        <v>43264</v>
      </c>
      <c r="K402" s="2">
        <v>43874</v>
      </c>
      <c r="L402" s="17">
        <f t="shared" si="189"/>
        <v>82.304187524210803</v>
      </c>
      <c r="M402" s="5" t="s">
        <v>273</v>
      </c>
      <c r="N402" s="5" t="s">
        <v>529</v>
      </c>
      <c r="O402" s="5" t="s">
        <v>361</v>
      </c>
      <c r="P402" s="3" t="s">
        <v>275</v>
      </c>
      <c r="Q402" s="5" t="s">
        <v>34</v>
      </c>
      <c r="R402" s="9">
        <f t="shared" si="197"/>
        <v>771066.18</v>
      </c>
      <c r="S402" s="9">
        <v>621797.65</v>
      </c>
      <c r="T402" s="9">
        <v>149268.53</v>
      </c>
      <c r="U402" s="9">
        <f t="shared" si="194"/>
        <v>147046.1</v>
      </c>
      <c r="V402" s="54">
        <v>109729</v>
      </c>
      <c r="W402" s="54">
        <v>37317.1</v>
      </c>
      <c r="X402" s="9">
        <f t="shared" si="198"/>
        <v>0</v>
      </c>
      <c r="Y402" s="9">
        <v>0</v>
      </c>
      <c r="Z402" s="9">
        <v>0</v>
      </c>
      <c r="AA402" s="9">
        <f t="shared" si="199"/>
        <v>18736.989999999998</v>
      </c>
      <c r="AB402" s="9">
        <v>14929.14</v>
      </c>
      <c r="AC402" s="9">
        <v>3807.85</v>
      </c>
      <c r="AD402" s="45">
        <f t="shared" si="195"/>
        <v>936849.27</v>
      </c>
      <c r="AE402" s="9"/>
      <c r="AF402" s="9">
        <f t="shared" si="200"/>
        <v>936849.27</v>
      </c>
      <c r="AG402" s="60" t="s">
        <v>1685</v>
      </c>
      <c r="AH402" s="14" t="s">
        <v>1642</v>
      </c>
      <c r="AI402" s="1">
        <f>627878.85+15145.61+1697.71+43882.89+21028.71</f>
        <v>709633.7699999999</v>
      </c>
      <c r="AJ402" s="1">
        <f>105047.04+2888.35+12346.51+11038.55+4010.29</f>
        <v>135330.74</v>
      </c>
    </row>
    <row r="403" spans="1:109" ht="267.75" x14ac:dyDescent="0.25">
      <c r="A403" s="5">
        <f t="shared" si="196"/>
        <v>400</v>
      </c>
      <c r="B403" s="16">
        <v>113037</v>
      </c>
      <c r="C403" s="70">
        <v>280</v>
      </c>
      <c r="D403" s="5" t="s">
        <v>143</v>
      </c>
      <c r="E403" s="18" t="s">
        <v>271</v>
      </c>
      <c r="F403" s="18" t="s">
        <v>544</v>
      </c>
      <c r="G403" s="5" t="s">
        <v>542</v>
      </c>
      <c r="H403" s="5" t="s">
        <v>543</v>
      </c>
      <c r="I403" s="42" t="s">
        <v>545</v>
      </c>
      <c r="J403" s="2">
        <v>43269</v>
      </c>
      <c r="K403" s="2">
        <v>43756</v>
      </c>
      <c r="L403" s="17">
        <f t="shared" si="189"/>
        <v>82.304185659324261</v>
      </c>
      <c r="M403" s="5" t="s">
        <v>273</v>
      </c>
      <c r="N403" s="5" t="s">
        <v>262</v>
      </c>
      <c r="O403" s="5" t="s">
        <v>262</v>
      </c>
      <c r="P403" s="3" t="s">
        <v>275</v>
      </c>
      <c r="Q403" s="5" t="s">
        <v>34</v>
      </c>
      <c r="R403" s="9">
        <f t="shared" si="197"/>
        <v>812766.5</v>
      </c>
      <c r="S403" s="9">
        <v>655425.36</v>
      </c>
      <c r="T403" s="9">
        <v>157341.14000000001</v>
      </c>
      <c r="U403" s="9">
        <f t="shared" si="194"/>
        <v>154998.59</v>
      </c>
      <c r="V403" s="54">
        <v>115663.31</v>
      </c>
      <c r="W403" s="54">
        <v>39335.279999999999</v>
      </c>
      <c r="X403" s="9">
        <f t="shared" si="198"/>
        <v>0</v>
      </c>
      <c r="Y403" s="9">
        <v>0</v>
      </c>
      <c r="Z403" s="9">
        <v>0</v>
      </c>
      <c r="AA403" s="9">
        <f t="shared" si="199"/>
        <v>19750.3</v>
      </c>
      <c r="AB403" s="9">
        <v>15736.51</v>
      </c>
      <c r="AC403" s="9">
        <v>4013.79</v>
      </c>
      <c r="AD403" s="45">
        <f t="shared" si="195"/>
        <v>987515.39</v>
      </c>
      <c r="AE403" s="9"/>
      <c r="AF403" s="9">
        <f t="shared" si="200"/>
        <v>987515.39</v>
      </c>
      <c r="AG403" s="50" t="s">
        <v>966</v>
      </c>
      <c r="AH403" s="14" t="s">
        <v>362</v>
      </c>
      <c r="AI403" s="1">
        <f>453689.55+62401.05+231922.17+8071.09</f>
        <v>756083.86</v>
      </c>
      <c r="AJ403" s="1">
        <f>14547.96+18386.23+14448.94+20305.31+30732.58+44228.7+1539.2</f>
        <v>144188.92000000001</v>
      </c>
    </row>
    <row r="404" spans="1:109" ht="220.5" x14ac:dyDescent="0.25">
      <c r="A404" s="5">
        <f t="shared" si="196"/>
        <v>401</v>
      </c>
      <c r="B404" s="16">
        <v>126354</v>
      </c>
      <c r="C404" s="16">
        <v>491</v>
      </c>
      <c r="D404" s="138" t="s">
        <v>1984</v>
      </c>
      <c r="E404" s="8" t="s">
        <v>1130</v>
      </c>
      <c r="F404" s="8" t="s">
        <v>1129</v>
      </c>
      <c r="G404" s="5" t="s">
        <v>1128</v>
      </c>
      <c r="H404" s="5" t="s">
        <v>151</v>
      </c>
      <c r="I404" s="8" t="s">
        <v>1131</v>
      </c>
      <c r="J404" s="2">
        <v>43515</v>
      </c>
      <c r="K404" s="2">
        <v>44396</v>
      </c>
      <c r="L404" s="17">
        <f t="shared" si="189"/>
        <v>83.300000282457262</v>
      </c>
      <c r="M404" s="5" t="s">
        <v>1139</v>
      </c>
      <c r="N404" s="5" t="s">
        <v>1138</v>
      </c>
      <c r="O404" s="5" t="s">
        <v>1138</v>
      </c>
      <c r="P404" s="5" t="s">
        <v>275</v>
      </c>
      <c r="Q404" s="5" t="s">
        <v>34</v>
      </c>
      <c r="R404" s="1">
        <f t="shared" si="197"/>
        <v>2064383.09</v>
      </c>
      <c r="S404" s="1">
        <v>2064383.09</v>
      </c>
      <c r="T404" s="73">
        <v>0</v>
      </c>
      <c r="U404" s="1">
        <f t="shared" si="194"/>
        <v>364302.89</v>
      </c>
      <c r="V404" s="74">
        <v>364302.89</v>
      </c>
      <c r="W404" s="74">
        <v>0</v>
      </c>
      <c r="X404" s="1">
        <f t="shared" si="198"/>
        <v>0</v>
      </c>
      <c r="Y404" s="1">
        <v>0</v>
      </c>
      <c r="Z404" s="1">
        <v>0</v>
      </c>
      <c r="AA404" s="9">
        <f t="shared" si="199"/>
        <v>49565.02</v>
      </c>
      <c r="AB404" s="9">
        <v>49565.02</v>
      </c>
      <c r="AC404" s="9">
        <v>0</v>
      </c>
      <c r="AD404" s="45">
        <f t="shared" si="195"/>
        <v>2478251</v>
      </c>
      <c r="AE404" s="9">
        <v>0</v>
      </c>
      <c r="AF404" s="9">
        <f t="shared" si="200"/>
        <v>2478251</v>
      </c>
      <c r="AG404" s="60" t="s">
        <v>966</v>
      </c>
      <c r="AH404" s="60" t="s">
        <v>2098</v>
      </c>
      <c r="AI404" s="1">
        <f>1316864.99+240073.95+240073.95-7751.05+247825+5003.81</f>
        <v>2042090.65</v>
      </c>
      <c r="AJ404" s="1">
        <f>188653.99+42365.98+42365.98+42365.98+35793.35</f>
        <v>351545.27999999997</v>
      </c>
    </row>
    <row r="405" spans="1:109" ht="220.5" x14ac:dyDescent="0.25">
      <c r="A405" s="5">
        <f t="shared" si="196"/>
        <v>402</v>
      </c>
      <c r="B405" s="16">
        <v>125435</v>
      </c>
      <c r="C405" s="16">
        <v>493</v>
      </c>
      <c r="D405" s="138" t="s">
        <v>1984</v>
      </c>
      <c r="E405" s="8" t="s">
        <v>1130</v>
      </c>
      <c r="F405" s="56" t="s">
        <v>1152</v>
      </c>
      <c r="G405" s="5" t="s">
        <v>1153</v>
      </c>
      <c r="H405" s="5" t="s">
        <v>151</v>
      </c>
      <c r="I405" s="77" t="s">
        <v>1154</v>
      </c>
      <c r="J405" s="2">
        <v>43531</v>
      </c>
      <c r="K405" s="2">
        <v>44234</v>
      </c>
      <c r="L405" s="17">
        <f t="shared" si="189"/>
        <v>83.300000892581892</v>
      </c>
      <c r="M405" s="5" t="s">
        <v>1155</v>
      </c>
      <c r="N405" s="5" t="s">
        <v>1156</v>
      </c>
      <c r="O405" s="5" t="s">
        <v>1156</v>
      </c>
      <c r="P405" s="5" t="s">
        <v>275</v>
      </c>
      <c r="Q405" s="5" t="s">
        <v>34</v>
      </c>
      <c r="R405" s="1">
        <f t="shared" si="197"/>
        <v>1523993.4999999998</v>
      </c>
      <c r="S405" s="9">
        <v>1523993.4999999998</v>
      </c>
      <c r="T405" s="9">
        <v>0</v>
      </c>
      <c r="U405" s="1">
        <f t="shared" si="194"/>
        <v>268940.00999999995</v>
      </c>
      <c r="V405" s="54">
        <v>268940.00999999995</v>
      </c>
      <c r="W405" s="54">
        <v>0</v>
      </c>
      <c r="X405" s="1">
        <f t="shared" si="198"/>
        <v>0</v>
      </c>
      <c r="Y405" s="9">
        <v>0</v>
      </c>
      <c r="Z405" s="9">
        <v>0</v>
      </c>
      <c r="AA405" s="9">
        <f t="shared" si="199"/>
        <v>36590.48000000001</v>
      </c>
      <c r="AB405" s="9">
        <v>36590.48000000001</v>
      </c>
      <c r="AC405" s="9">
        <v>0</v>
      </c>
      <c r="AD405" s="45">
        <f t="shared" si="195"/>
        <v>1829523.9899999998</v>
      </c>
      <c r="AE405" s="9">
        <v>0</v>
      </c>
      <c r="AF405" s="9">
        <f t="shared" si="200"/>
        <v>1829523.9899999998</v>
      </c>
      <c r="AG405" s="60" t="s">
        <v>966</v>
      </c>
      <c r="AH405" s="14" t="s">
        <v>2017</v>
      </c>
      <c r="AI405" s="1">
        <f>288486.99+139941.28-7379.3+112722.77-19340.45+128936.28+106270.05+79760.38-62350.07</f>
        <v>767047.93</v>
      </c>
      <c r="AJ405" s="1">
        <f>14309.49+24483.75+7379.3+10963.67+19340.45+23526.72+14075.36+21282.69</f>
        <v>135361.43</v>
      </c>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c r="CK405" s="75"/>
      <c r="CL405" s="75"/>
      <c r="CM405" s="75"/>
      <c r="CN405" s="75"/>
      <c r="CO405" s="75"/>
      <c r="CP405" s="75"/>
      <c r="CQ405" s="75"/>
      <c r="CR405" s="75"/>
      <c r="CS405" s="75"/>
      <c r="CT405" s="75"/>
      <c r="CU405" s="75"/>
      <c r="CV405" s="75"/>
      <c r="CW405" s="75"/>
      <c r="CX405" s="75"/>
      <c r="CY405" s="75"/>
      <c r="CZ405" s="75"/>
      <c r="DA405" s="75"/>
      <c r="DB405" s="75"/>
      <c r="DC405" s="75"/>
      <c r="DD405" s="75"/>
      <c r="DE405" s="75"/>
    </row>
    <row r="406" spans="1:109" ht="141.75" x14ac:dyDescent="0.25">
      <c r="A406" s="5">
        <f t="shared" si="196"/>
        <v>403</v>
      </c>
      <c r="B406" s="16">
        <v>111409</v>
      </c>
      <c r="C406" s="70">
        <v>193</v>
      </c>
      <c r="D406" s="5" t="s">
        <v>143</v>
      </c>
      <c r="E406" s="18" t="s">
        <v>271</v>
      </c>
      <c r="F406" s="121" t="s">
        <v>558</v>
      </c>
      <c r="G406" s="5" t="s">
        <v>557</v>
      </c>
      <c r="H406" s="5" t="s">
        <v>362</v>
      </c>
      <c r="I406" s="42" t="s">
        <v>559</v>
      </c>
      <c r="J406" s="2">
        <v>43271</v>
      </c>
      <c r="K406" s="2">
        <v>43819</v>
      </c>
      <c r="L406" s="17">
        <f t="shared" si="189"/>
        <v>82.304192821223239</v>
      </c>
      <c r="M406" s="5" t="s">
        <v>273</v>
      </c>
      <c r="N406" s="5" t="s">
        <v>262</v>
      </c>
      <c r="O406" s="5" t="s">
        <v>262</v>
      </c>
      <c r="P406" s="3" t="s">
        <v>275</v>
      </c>
      <c r="Q406" s="5" t="s">
        <v>34</v>
      </c>
      <c r="R406" s="201">
        <f t="shared" si="197"/>
        <v>813056.8</v>
      </c>
      <c r="S406" s="9">
        <v>655659.42000000004</v>
      </c>
      <c r="T406" s="9">
        <v>157397.38</v>
      </c>
      <c r="U406" s="9">
        <f t="shared" si="194"/>
        <v>155053.86000000002</v>
      </c>
      <c r="V406" s="54">
        <v>115704.6</v>
      </c>
      <c r="W406" s="54">
        <v>39349.26</v>
      </c>
      <c r="X406" s="9">
        <f t="shared" si="198"/>
        <v>0</v>
      </c>
      <c r="Y406" s="9">
        <v>0</v>
      </c>
      <c r="Z406" s="9">
        <v>0</v>
      </c>
      <c r="AA406" s="9">
        <f t="shared" si="199"/>
        <v>19757.36</v>
      </c>
      <c r="AB406" s="9">
        <v>15742.12</v>
      </c>
      <c r="AC406" s="9">
        <v>4015.24</v>
      </c>
      <c r="AD406" s="45">
        <f t="shared" si="195"/>
        <v>987868.02</v>
      </c>
      <c r="AE406" s="9">
        <v>0</v>
      </c>
      <c r="AF406" s="9">
        <f t="shared" si="200"/>
        <v>987868.02</v>
      </c>
      <c r="AG406" s="60" t="s">
        <v>966</v>
      </c>
      <c r="AH406" s="14" t="s">
        <v>1517</v>
      </c>
      <c r="AI406" s="1">
        <f>794317.39-32626.91</f>
        <v>761690.48</v>
      </c>
      <c r="AJ406" s="1">
        <f>142402.74+2855.49</f>
        <v>145258.22999999998</v>
      </c>
    </row>
    <row r="407" spans="1:109" ht="141.75" x14ac:dyDescent="0.25">
      <c r="A407" s="5">
        <f t="shared" si="196"/>
        <v>404</v>
      </c>
      <c r="B407" s="16">
        <v>118676</v>
      </c>
      <c r="C407" s="70">
        <v>432</v>
      </c>
      <c r="D407" s="8" t="s">
        <v>1982</v>
      </c>
      <c r="E407" s="18" t="s">
        <v>560</v>
      </c>
      <c r="F407" s="121" t="s">
        <v>561</v>
      </c>
      <c r="G407" s="5" t="s">
        <v>562</v>
      </c>
      <c r="H407" s="5" t="s">
        <v>563</v>
      </c>
      <c r="I407" s="42" t="s">
        <v>564</v>
      </c>
      <c r="J407" s="2">
        <v>43270</v>
      </c>
      <c r="K407" s="2">
        <v>44123</v>
      </c>
      <c r="L407" s="17">
        <f t="shared" si="189"/>
        <v>83.983865028301139</v>
      </c>
      <c r="M407" s="5" t="s">
        <v>273</v>
      </c>
      <c r="N407" s="5" t="s">
        <v>262</v>
      </c>
      <c r="O407" s="5" t="s">
        <v>262</v>
      </c>
      <c r="P407" s="3" t="s">
        <v>138</v>
      </c>
      <c r="Q407" s="5" t="s">
        <v>34</v>
      </c>
      <c r="R407" s="9">
        <f t="shared" si="197"/>
        <v>3030823.99</v>
      </c>
      <c r="S407" s="9">
        <v>2444095.48</v>
      </c>
      <c r="T407" s="9">
        <v>586728.51</v>
      </c>
      <c r="U407" s="9">
        <f t="shared" si="194"/>
        <v>0</v>
      </c>
      <c r="V407" s="54"/>
      <c r="W407" s="54"/>
      <c r="X407" s="9">
        <f t="shared" si="198"/>
        <v>577993</v>
      </c>
      <c r="Y407" s="9">
        <v>431310.9</v>
      </c>
      <c r="Z407" s="9">
        <v>146682.1</v>
      </c>
      <c r="AA407" s="9">
        <f t="shared" si="199"/>
        <v>0</v>
      </c>
      <c r="AB407" s="9">
        <v>0</v>
      </c>
      <c r="AC407" s="9">
        <v>0</v>
      </c>
      <c r="AD407" s="45">
        <f t="shared" si="195"/>
        <v>3608816.99</v>
      </c>
      <c r="AE407" s="9">
        <v>0</v>
      </c>
      <c r="AF407" s="9">
        <f t="shared" si="200"/>
        <v>3608816.99</v>
      </c>
      <c r="AG407" s="60" t="s">
        <v>966</v>
      </c>
      <c r="AH407" s="14" t="s">
        <v>1739</v>
      </c>
      <c r="AI407" s="1">
        <f>43102.2+366371.99+199.89+120510.92+225498.13+197283.1+424052.29+106695.85+434818.86+188984.59+142063.67</f>
        <v>2249581.4899999998</v>
      </c>
      <c r="AJ407" s="1">
        <v>0</v>
      </c>
    </row>
    <row r="408" spans="1:109" ht="323.25" customHeight="1" x14ac:dyDescent="0.25">
      <c r="A408" s="5">
        <f t="shared" si="196"/>
        <v>405</v>
      </c>
      <c r="B408" s="16">
        <v>111610</v>
      </c>
      <c r="C408" s="70">
        <v>374</v>
      </c>
      <c r="D408" s="138" t="s">
        <v>1984</v>
      </c>
      <c r="E408" s="18" t="s">
        <v>565</v>
      </c>
      <c r="F408" s="121" t="s">
        <v>567</v>
      </c>
      <c r="G408" s="5" t="s">
        <v>566</v>
      </c>
      <c r="H408" s="5" t="s">
        <v>568</v>
      </c>
      <c r="I408" s="42" t="s">
        <v>572</v>
      </c>
      <c r="J408" s="2">
        <v>43272</v>
      </c>
      <c r="K408" s="2">
        <v>43820</v>
      </c>
      <c r="L408" s="17">
        <f t="shared" si="189"/>
        <v>82.304186949685416</v>
      </c>
      <c r="M408" s="5" t="s">
        <v>273</v>
      </c>
      <c r="N408" s="5" t="s">
        <v>262</v>
      </c>
      <c r="O408" s="5" t="s">
        <v>262</v>
      </c>
      <c r="P408" s="3" t="s">
        <v>275</v>
      </c>
      <c r="Q408" s="5" t="s">
        <v>34</v>
      </c>
      <c r="R408" s="9">
        <f t="shared" si="197"/>
        <v>3413208.43</v>
      </c>
      <c r="S408" s="9">
        <v>2752455.22</v>
      </c>
      <c r="T408" s="9">
        <v>660753.21</v>
      </c>
      <c r="U408" s="9">
        <f t="shared" si="194"/>
        <v>650915.57999999996</v>
      </c>
      <c r="V408" s="54">
        <v>485727.31</v>
      </c>
      <c r="W408" s="54">
        <v>165188.26999999999</v>
      </c>
      <c r="X408" s="9">
        <f t="shared" si="198"/>
        <v>0</v>
      </c>
      <c r="Y408" s="9">
        <v>0</v>
      </c>
      <c r="Z408" s="9">
        <v>0</v>
      </c>
      <c r="AA408" s="9">
        <f t="shared" si="199"/>
        <v>82941.353863662065</v>
      </c>
      <c r="AB408" s="9">
        <v>66085.38</v>
      </c>
      <c r="AC408" s="9">
        <v>16855.97386366206</v>
      </c>
      <c r="AD408" s="45">
        <f t="shared" si="195"/>
        <v>4147065.3638636624</v>
      </c>
      <c r="AE408" s="9">
        <v>0</v>
      </c>
      <c r="AF408" s="9">
        <f t="shared" si="200"/>
        <v>4147065.3638636624</v>
      </c>
      <c r="AG408" s="60" t="s">
        <v>966</v>
      </c>
      <c r="AH408" s="14" t="s">
        <v>1516</v>
      </c>
      <c r="AI408" s="1">
        <f>413506.52+39634.08+203862.73+22675.21+238112.3-5677.61+315671.54+256839.5+48499.95+31156.55+577305.1+574631.44+238908.29+212961.41</f>
        <v>3168087.0100000002</v>
      </c>
      <c r="AJ408" s="1">
        <f>51329.52+25659.99+79433+5677.61+44422.4+12020.11+67601.69+43232.94+109585.05+124594.61+40612.79</f>
        <v>604169.71000000008</v>
      </c>
    </row>
    <row r="409" spans="1:109" ht="141.75" x14ac:dyDescent="0.25">
      <c r="A409" s="5">
        <f t="shared" si="196"/>
        <v>406</v>
      </c>
      <c r="B409" s="16">
        <v>110423</v>
      </c>
      <c r="C409" s="70">
        <v>207</v>
      </c>
      <c r="D409" s="5" t="s">
        <v>143</v>
      </c>
      <c r="E409" s="18" t="s">
        <v>271</v>
      </c>
      <c r="F409" s="121" t="s">
        <v>569</v>
      </c>
      <c r="G409" s="31" t="s">
        <v>570</v>
      </c>
      <c r="H409" s="5" t="s">
        <v>362</v>
      </c>
      <c r="I409" s="42" t="s">
        <v>571</v>
      </c>
      <c r="J409" s="2">
        <v>43272</v>
      </c>
      <c r="K409" s="2">
        <v>43820</v>
      </c>
      <c r="L409" s="17">
        <f t="shared" si="189"/>
        <v>82.304184780767926</v>
      </c>
      <c r="M409" s="5" t="s">
        <v>273</v>
      </c>
      <c r="N409" s="5" t="s">
        <v>262</v>
      </c>
      <c r="O409" s="5" t="s">
        <v>262</v>
      </c>
      <c r="P409" s="3" t="s">
        <v>275</v>
      </c>
      <c r="Q409" s="5" t="s">
        <v>34</v>
      </c>
      <c r="R409" s="9">
        <f t="shared" si="197"/>
        <v>823039.14</v>
      </c>
      <c r="S409" s="9">
        <v>663709.35</v>
      </c>
      <c r="T409" s="9">
        <v>159329.79</v>
      </c>
      <c r="U409" s="9">
        <f t="shared" ref="U409:U439" si="201">V409+W409</f>
        <v>156957.63</v>
      </c>
      <c r="V409" s="54">
        <v>117125.19</v>
      </c>
      <c r="W409" s="54">
        <v>39832.44</v>
      </c>
      <c r="X409" s="9">
        <f t="shared" si="198"/>
        <v>0</v>
      </c>
      <c r="Y409" s="9">
        <v>0</v>
      </c>
      <c r="Z409" s="9">
        <v>0</v>
      </c>
      <c r="AA409" s="9">
        <f t="shared" si="199"/>
        <v>19999.939999999999</v>
      </c>
      <c r="AB409" s="9">
        <v>15935.41</v>
      </c>
      <c r="AC409" s="9">
        <v>4064.53</v>
      </c>
      <c r="AD409" s="45">
        <f t="shared" si="195"/>
        <v>999996.71</v>
      </c>
      <c r="AE409" s="9">
        <v>0</v>
      </c>
      <c r="AF409" s="9">
        <f t="shared" si="200"/>
        <v>999996.71</v>
      </c>
      <c r="AG409" s="60" t="s">
        <v>966</v>
      </c>
      <c r="AH409" s="14" t="s">
        <v>1470</v>
      </c>
      <c r="AI409" s="1">
        <f>563686.25+9788.05+56761.68+161067.97+5325.05</f>
        <v>796629.00000000012</v>
      </c>
      <c r="AJ409" s="1">
        <f>88427.44+20936.91+10824.71+11646.17+20085.81</f>
        <v>151921.04</v>
      </c>
    </row>
    <row r="410" spans="1:109" ht="141.75" x14ac:dyDescent="0.25">
      <c r="A410" s="5">
        <f t="shared" si="196"/>
        <v>407</v>
      </c>
      <c r="B410" s="16">
        <v>111199</v>
      </c>
      <c r="C410" s="70">
        <v>147</v>
      </c>
      <c r="D410" s="5" t="s">
        <v>143</v>
      </c>
      <c r="E410" s="18" t="s">
        <v>271</v>
      </c>
      <c r="F410" s="121" t="s">
        <v>608</v>
      </c>
      <c r="G410" s="5" t="s">
        <v>609</v>
      </c>
      <c r="H410" s="5" t="s">
        <v>610</v>
      </c>
      <c r="I410" s="42" t="s">
        <v>611</v>
      </c>
      <c r="J410" s="2">
        <v>43277</v>
      </c>
      <c r="K410" s="2">
        <v>43764</v>
      </c>
      <c r="L410" s="17">
        <f t="shared" si="189"/>
        <v>82.524995224288418</v>
      </c>
      <c r="M410" s="5" t="s">
        <v>273</v>
      </c>
      <c r="N410" s="5" t="s">
        <v>262</v>
      </c>
      <c r="O410" s="5" t="s">
        <v>262</v>
      </c>
      <c r="P410" s="3" t="s">
        <v>275</v>
      </c>
      <c r="Q410" s="5" t="s">
        <v>34</v>
      </c>
      <c r="R410" s="9">
        <f t="shared" si="197"/>
        <v>825126.99</v>
      </c>
      <c r="S410" s="9">
        <v>665393.03</v>
      </c>
      <c r="T410" s="9">
        <v>159733.96</v>
      </c>
      <c r="U410" s="9">
        <f t="shared" si="201"/>
        <v>154726.99</v>
      </c>
      <c r="V410" s="54">
        <v>115327.75</v>
      </c>
      <c r="W410" s="54">
        <v>39399.24</v>
      </c>
      <c r="X410" s="9">
        <f t="shared" si="198"/>
        <v>0</v>
      </c>
      <c r="Y410" s="9">
        <v>0</v>
      </c>
      <c r="Z410" s="9">
        <v>0</v>
      </c>
      <c r="AA410" s="9">
        <f t="shared" si="199"/>
        <v>19997.02</v>
      </c>
      <c r="AB410" s="9">
        <v>15933.08</v>
      </c>
      <c r="AC410" s="9">
        <v>4063.94</v>
      </c>
      <c r="AD410" s="45">
        <f t="shared" si="195"/>
        <v>999851</v>
      </c>
      <c r="AE410" s="9">
        <v>0</v>
      </c>
      <c r="AF410" s="9">
        <f t="shared" si="200"/>
        <v>999851</v>
      </c>
      <c r="AG410" s="50" t="s">
        <v>966</v>
      </c>
      <c r="AH410" s="14" t="s">
        <v>151</v>
      </c>
      <c r="AI410" s="1">
        <f>468127.93-12613.35+243265.58</f>
        <v>698780.16000000003</v>
      </c>
      <c r="AJ410" s="1">
        <f>17105.45+14284.79+17404.21+19871.63+13778.33+48936.49</f>
        <v>131380.9</v>
      </c>
    </row>
    <row r="411" spans="1:109" ht="315" x14ac:dyDescent="0.25">
      <c r="A411" s="5">
        <f t="shared" si="196"/>
        <v>408</v>
      </c>
      <c r="B411" s="16">
        <v>111846</v>
      </c>
      <c r="C411" s="70">
        <v>165</v>
      </c>
      <c r="D411" s="5" t="s">
        <v>143</v>
      </c>
      <c r="E411" s="18" t="s">
        <v>271</v>
      </c>
      <c r="F411" s="8" t="s">
        <v>584</v>
      </c>
      <c r="G411" s="5" t="s">
        <v>585</v>
      </c>
      <c r="H411" s="5" t="s">
        <v>362</v>
      </c>
      <c r="I411" s="42" t="s">
        <v>586</v>
      </c>
      <c r="J411" s="2">
        <v>43278</v>
      </c>
      <c r="K411" s="2">
        <v>43643</v>
      </c>
      <c r="L411" s="17">
        <f t="shared" si="189"/>
        <v>82.304186166768261</v>
      </c>
      <c r="M411" s="5" t="s">
        <v>273</v>
      </c>
      <c r="N411" s="5" t="s">
        <v>262</v>
      </c>
      <c r="O411" s="5" t="s">
        <v>262</v>
      </c>
      <c r="P411" s="3" t="s">
        <v>275</v>
      </c>
      <c r="Q411" s="5" t="s">
        <v>34</v>
      </c>
      <c r="R411" s="9">
        <f t="shared" si="197"/>
        <v>693954.33</v>
      </c>
      <c r="S411" s="9">
        <v>559613.69999999995</v>
      </c>
      <c r="T411" s="9">
        <v>134340.63</v>
      </c>
      <c r="U411" s="9">
        <f t="shared" si="201"/>
        <v>132340.51</v>
      </c>
      <c r="V411" s="54">
        <v>98755.36</v>
      </c>
      <c r="W411" s="54">
        <v>33585.15</v>
      </c>
      <c r="X411" s="9">
        <f t="shared" si="198"/>
        <v>0</v>
      </c>
      <c r="Y411" s="9">
        <v>0</v>
      </c>
      <c r="Z411" s="9">
        <v>0</v>
      </c>
      <c r="AA411" s="9">
        <f t="shared" si="199"/>
        <v>16863.16</v>
      </c>
      <c r="AB411" s="9">
        <v>13436.1</v>
      </c>
      <c r="AC411" s="9">
        <v>3427.06</v>
      </c>
      <c r="AD411" s="45">
        <f t="shared" si="195"/>
        <v>843158</v>
      </c>
      <c r="AE411" s="9">
        <v>0</v>
      </c>
      <c r="AF411" s="9">
        <f t="shared" si="200"/>
        <v>843158</v>
      </c>
      <c r="AG411" s="50" t="s">
        <v>966</v>
      </c>
      <c r="AH411" s="14" t="s">
        <v>151</v>
      </c>
      <c r="AI411" s="1">
        <v>635983.98</v>
      </c>
      <c r="AJ411" s="1">
        <v>121285.28</v>
      </c>
    </row>
    <row r="412" spans="1:109" ht="409.5" x14ac:dyDescent="0.25">
      <c r="A412" s="5">
        <f t="shared" si="196"/>
        <v>409</v>
      </c>
      <c r="B412" s="16">
        <v>110795</v>
      </c>
      <c r="C412" s="16">
        <v>127</v>
      </c>
      <c r="D412" s="5" t="s">
        <v>143</v>
      </c>
      <c r="E412" s="18" t="s">
        <v>271</v>
      </c>
      <c r="F412" s="8" t="s">
        <v>587</v>
      </c>
      <c r="G412" s="5" t="s">
        <v>592</v>
      </c>
      <c r="H412" s="5" t="s">
        <v>593</v>
      </c>
      <c r="I412" s="15" t="s">
        <v>594</v>
      </c>
      <c r="J412" s="2">
        <v>43278</v>
      </c>
      <c r="K412" s="2">
        <v>43765</v>
      </c>
      <c r="L412" s="17">
        <f t="shared" si="189"/>
        <v>82.304181171723172</v>
      </c>
      <c r="M412" s="5" t="s">
        <v>273</v>
      </c>
      <c r="N412" s="5" t="s">
        <v>262</v>
      </c>
      <c r="O412" s="5" t="s">
        <v>262</v>
      </c>
      <c r="P412" s="3" t="s">
        <v>275</v>
      </c>
      <c r="Q412" s="5" t="s">
        <v>34</v>
      </c>
      <c r="R412" s="9">
        <f t="shared" si="197"/>
        <v>818511.09</v>
      </c>
      <c r="S412" s="9">
        <v>660057.88</v>
      </c>
      <c r="T412" s="9">
        <v>158453.21</v>
      </c>
      <c r="U412" s="9">
        <f t="shared" si="201"/>
        <v>156094.12</v>
      </c>
      <c r="V412" s="54">
        <v>116480.81</v>
      </c>
      <c r="W412" s="54">
        <v>39613.31</v>
      </c>
      <c r="X412" s="9">
        <f t="shared" si="198"/>
        <v>0</v>
      </c>
      <c r="Y412" s="9">
        <v>0</v>
      </c>
      <c r="Z412" s="9">
        <v>0</v>
      </c>
      <c r="AA412" s="9">
        <f t="shared" si="199"/>
        <v>19889.939999999999</v>
      </c>
      <c r="AB412" s="9">
        <v>15847.76</v>
      </c>
      <c r="AC412" s="9">
        <v>4042.18</v>
      </c>
      <c r="AD412" s="45">
        <f t="shared" si="195"/>
        <v>994495.14999999991</v>
      </c>
      <c r="AE412" s="9"/>
      <c r="AF412" s="9">
        <f t="shared" si="200"/>
        <v>994495.14999999991</v>
      </c>
      <c r="AG412" s="50" t="s">
        <v>966</v>
      </c>
      <c r="AH412" s="14" t="s">
        <v>1532</v>
      </c>
      <c r="AI412" s="1">
        <f>795982.47-5714.37</f>
        <v>790268.1</v>
      </c>
      <c r="AJ412" s="1">
        <f>11135.04+27716.68+9400.61+3526.85+11840.91+7483.51+15010.54+8062.74+19640.21+23451.37+13439.59</f>
        <v>150708.04999999999</v>
      </c>
    </row>
    <row r="413" spans="1:109" ht="173.25" x14ac:dyDescent="0.25">
      <c r="A413" s="5">
        <f t="shared" si="196"/>
        <v>410</v>
      </c>
      <c r="B413" s="16">
        <v>110651</v>
      </c>
      <c r="C413" s="16">
        <v>226</v>
      </c>
      <c r="D413" s="5" t="s">
        <v>143</v>
      </c>
      <c r="E413" s="18" t="s">
        <v>271</v>
      </c>
      <c r="F413" s="121" t="s">
        <v>588</v>
      </c>
      <c r="G413" s="5" t="s">
        <v>589</v>
      </c>
      <c r="H413" s="5" t="s">
        <v>590</v>
      </c>
      <c r="I413" s="15" t="s">
        <v>591</v>
      </c>
      <c r="J413" s="2">
        <v>43278</v>
      </c>
      <c r="K413" s="2">
        <v>43888</v>
      </c>
      <c r="L413" s="17">
        <f t="shared" si="189"/>
        <v>82.795867701166785</v>
      </c>
      <c r="M413" s="5" t="s">
        <v>273</v>
      </c>
      <c r="N413" s="5" t="s">
        <v>262</v>
      </c>
      <c r="O413" s="5" t="s">
        <v>262</v>
      </c>
      <c r="P413" s="3" t="s">
        <v>275</v>
      </c>
      <c r="Q413" s="5" t="s">
        <v>34</v>
      </c>
      <c r="R413" s="9">
        <f t="shared" si="197"/>
        <v>774090.99</v>
      </c>
      <c r="S413" s="9">
        <v>624236.93999999994</v>
      </c>
      <c r="T413" s="9">
        <v>149854.04999999999</v>
      </c>
      <c r="U413" s="9">
        <f t="shared" si="201"/>
        <v>142149.35</v>
      </c>
      <c r="V413" s="54">
        <v>105798.22</v>
      </c>
      <c r="W413" s="54">
        <v>36351.129999999997</v>
      </c>
      <c r="X413" s="9">
        <f t="shared" si="198"/>
        <v>0</v>
      </c>
      <c r="Y413" s="9">
        <v>0</v>
      </c>
      <c r="Z413" s="9">
        <v>0</v>
      </c>
      <c r="AA413" s="9">
        <f t="shared" si="199"/>
        <v>18698.82</v>
      </c>
      <c r="AB413" s="9">
        <v>14898.71</v>
      </c>
      <c r="AC413" s="9">
        <v>3800.11</v>
      </c>
      <c r="AD413" s="45">
        <f t="shared" si="195"/>
        <v>934939.15999999992</v>
      </c>
      <c r="AE413" s="9">
        <v>0</v>
      </c>
      <c r="AF413" s="9">
        <f t="shared" si="200"/>
        <v>934939.15999999992</v>
      </c>
      <c r="AG413" s="60" t="s">
        <v>1685</v>
      </c>
      <c r="AH413" s="14" t="s">
        <v>1628</v>
      </c>
      <c r="AI413" s="1">
        <f>290168.64+158796.65+191537.98+13320.11+41319.41+35445.84</f>
        <v>730588.63</v>
      </c>
      <c r="AJ413" s="1">
        <f>9460.82+5699.03+7815.58+13530.31+28217.32+52704.62+2540.21+7879.82+6718.82</f>
        <v>134566.53</v>
      </c>
    </row>
    <row r="414" spans="1:109" ht="283.5" x14ac:dyDescent="0.25">
      <c r="A414" s="5">
        <f t="shared" si="196"/>
        <v>411</v>
      </c>
      <c r="B414" s="16">
        <v>111787</v>
      </c>
      <c r="C414" s="70">
        <v>169</v>
      </c>
      <c r="D414" s="5" t="s">
        <v>143</v>
      </c>
      <c r="E414" s="18" t="s">
        <v>271</v>
      </c>
      <c r="F414" s="8" t="s">
        <v>595</v>
      </c>
      <c r="G414" s="5" t="s">
        <v>596</v>
      </c>
      <c r="H414" s="5" t="s">
        <v>362</v>
      </c>
      <c r="I414" s="15" t="s">
        <v>597</v>
      </c>
      <c r="J414" s="2">
        <v>43278</v>
      </c>
      <c r="K414" s="2">
        <v>43765</v>
      </c>
      <c r="L414" s="17">
        <f t="shared" si="189"/>
        <v>82.304186085847633</v>
      </c>
      <c r="M414" s="5" t="s">
        <v>273</v>
      </c>
      <c r="N414" s="5" t="s">
        <v>262</v>
      </c>
      <c r="O414" s="5" t="s">
        <v>262</v>
      </c>
      <c r="P414" s="3" t="s">
        <v>275</v>
      </c>
      <c r="Q414" s="5" t="s">
        <v>34</v>
      </c>
      <c r="R414" s="9">
        <f t="shared" si="197"/>
        <v>822921.16999999993</v>
      </c>
      <c r="S414" s="9">
        <v>663614.22</v>
      </c>
      <c r="T414" s="9">
        <v>159306.95000000001</v>
      </c>
      <c r="U414" s="9">
        <f t="shared" si="201"/>
        <v>156935.12</v>
      </c>
      <c r="V414" s="54">
        <v>117108.4</v>
      </c>
      <c r="W414" s="54">
        <v>39826.720000000001</v>
      </c>
      <c r="X414" s="9">
        <f t="shared" si="198"/>
        <v>0</v>
      </c>
      <c r="Y414" s="9">
        <v>0</v>
      </c>
      <c r="Z414" s="9">
        <v>0</v>
      </c>
      <c r="AA414" s="9">
        <f t="shared" si="199"/>
        <v>19997.07</v>
      </c>
      <c r="AB414" s="9">
        <v>15933.11</v>
      </c>
      <c r="AC414" s="9">
        <v>4063.96</v>
      </c>
      <c r="AD414" s="45">
        <f t="shared" si="195"/>
        <v>999853.35999999987</v>
      </c>
      <c r="AE414" s="9"/>
      <c r="AF414" s="9">
        <f t="shared" si="200"/>
        <v>999853.35999999987</v>
      </c>
      <c r="AG414" s="50" t="s">
        <v>966</v>
      </c>
      <c r="AH414" s="14"/>
      <c r="AI414" s="1">
        <f>632729.75+99985.33+30378.24</f>
        <v>763093.32</v>
      </c>
      <c r="AJ414" s="1">
        <f>120664.73+24860.93</f>
        <v>145525.66</v>
      </c>
    </row>
    <row r="415" spans="1:109" ht="267.75" x14ac:dyDescent="0.25">
      <c r="A415" s="5">
        <f t="shared" si="196"/>
        <v>412</v>
      </c>
      <c r="B415" s="16">
        <v>113139</v>
      </c>
      <c r="C415" s="70">
        <v>387</v>
      </c>
      <c r="D415" s="138" t="s">
        <v>1984</v>
      </c>
      <c r="E415" s="18" t="s">
        <v>565</v>
      </c>
      <c r="F415" s="8" t="s">
        <v>604</v>
      </c>
      <c r="G415" s="5" t="s">
        <v>603</v>
      </c>
      <c r="H415" s="5" t="s">
        <v>605</v>
      </c>
      <c r="I415" s="15" t="s">
        <v>606</v>
      </c>
      <c r="J415" s="2">
        <v>43273</v>
      </c>
      <c r="K415" s="2">
        <v>43821</v>
      </c>
      <c r="L415" s="17">
        <f t="shared" si="189"/>
        <v>82.304185877391092</v>
      </c>
      <c r="M415" s="5" t="s">
        <v>273</v>
      </c>
      <c r="N415" s="5" t="s">
        <v>262</v>
      </c>
      <c r="O415" s="5" t="s">
        <v>262</v>
      </c>
      <c r="P415" s="3" t="s">
        <v>275</v>
      </c>
      <c r="Q415" s="5" t="s">
        <v>34</v>
      </c>
      <c r="R415" s="9">
        <f t="shared" si="197"/>
        <v>3201407.49</v>
      </c>
      <c r="S415" s="9">
        <v>2581656.23</v>
      </c>
      <c r="T415" s="9">
        <v>619751.26</v>
      </c>
      <c r="U415" s="9">
        <f t="shared" si="201"/>
        <v>610524.19999999995</v>
      </c>
      <c r="V415" s="54">
        <v>455586.38</v>
      </c>
      <c r="W415" s="54">
        <v>154937.82</v>
      </c>
      <c r="X415" s="9">
        <f t="shared" si="198"/>
        <v>0</v>
      </c>
      <c r="Y415" s="9">
        <v>0</v>
      </c>
      <c r="Z415" s="9">
        <v>0</v>
      </c>
      <c r="AA415" s="9">
        <f t="shared" si="199"/>
        <v>77794.52</v>
      </c>
      <c r="AB415" s="9">
        <v>61984.53</v>
      </c>
      <c r="AC415" s="9">
        <v>15809.99</v>
      </c>
      <c r="AD415" s="45">
        <f t="shared" si="195"/>
        <v>3889726.2100000004</v>
      </c>
      <c r="AE415" s="9">
        <v>0</v>
      </c>
      <c r="AF415" s="9">
        <f t="shared" si="200"/>
        <v>3889726.2100000004</v>
      </c>
      <c r="AG415" s="60" t="s">
        <v>966</v>
      </c>
      <c r="AH415" s="152" t="s">
        <v>1637</v>
      </c>
      <c r="AI415" s="1">
        <f>2214779.71+463121.02-10623.72+221453.03</f>
        <v>2888730.0399999996</v>
      </c>
      <c r="AJ415" s="1">
        <f>422369.41+55414.99+30878.49+42232.21</f>
        <v>550895.1</v>
      </c>
    </row>
    <row r="416" spans="1:109" ht="299.25" x14ac:dyDescent="0.25">
      <c r="A416" s="5">
        <f t="shared" si="196"/>
        <v>413</v>
      </c>
      <c r="B416" s="16">
        <v>111603</v>
      </c>
      <c r="C416" s="70">
        <v>195</v>
      </c>
      <c r="D416" s="5" t="s">
        <v>143</v>
      </c>
      <c r="E416" s="18" t="s">
        <v>271</v>
      </c>
      <c r="F416" s="121" t="s">
        <v>617</v>
      </c>
      <c r="G416" s="32" t="s">
        <v>616</v>
      </c>
      <c r="H416" s="5" t="s">
        <v>615</v>
      </c>
      <c r="I416" s="15" t="s">
        <v>1601</v>
      </c>
      <c r="J416" s="2">
        <v>43283</v>
      </c>
      <c r="K416" s="2">
        <v>43832</v>
      </c>
      <c r="L416" s="17">
        <f t="shared" si="189"/>
        <v>82.551093571828332</v>
      </c>
      <c r="M416" s="5" t="s">
        <v>273</v>
      </c>
      <c r="N416" s="5" t="s">
        <v>262</v>
      </c>
      <c r="O416" s="5" t="s">
        <v>262</v>
      </c>
      <c r="P416" s="3" t="s">
        <v>275</v>
      </c>
      <c r="Q416" s="5" t="s">
        <v>34</v>
      </c>
      <c r="R416" s="9">
        <f t="shared" si="197"/>
        <v>821971.83000000007</v>
      </c>
      <c r="S416" s="9">
        <v>662848.68000000005</v>
      </c>
      <c r="T416" s="9">
        <v>159123.15</v>
      </c>
      <c r="U416" s="9">
        <f t="shared" si="201"/>
        <v>153826.60999999999</v>
      </c>
      <c r="V416" s="54">
        <v>114640.81</v>
      </c>
      <c r="W416" s="54">
        <v>39185.800000000003</v>
      </c>
      <c r="X416" s="9">
        <f t="shared" si="198"/>
        <v>0</v>
      </c>
      <c r="Y416" s="9">
        <v>0</v>
      </c>
      <c r="Z416" s="9">
        <v>0</v>
      </c>
      <c r="AA416" s="9">
        <f t="shared" si="199"/>
        <v>19914.39</v>
      </c>
      <c r="AB416" s="9">
        <v>15867.18</v>
      </c>
      <c r="AC416" s="9">
        <v>4047.21</v>
      </c>
      <c r="AD416" s="45">
        <f t="shared" si="195"/>
        <v>995712.83000000007</v>
      </c>
      <c r="AE416" s="9">
        <v>0</v>
      </c>
      <c r="AF416" s="9">
        <f t="shared" si="200"/>
        <v>995712.83000000007</v>
      </c>
      <c r="AG416" s="60" t="s">
        <v>966</v>
      </c>
      <c r="AH416" s="14" t="s">
        <v>1627</v>
      </c>
      <c r="AI416" s="1">
        <f>466245.36+6853.06+84110.02+169507.04+37084.55</f>
        <v>763800.03</v>
      </c>
      <c r="AJ416" s="1">
        <f>84901.98+1306.91+50214.53+6975.06</f>
        <v>143398.47999999998</v>
      </c>
    </row>
    <row r="417" spans="1:36" ht="141.75" x14ac:dyDescent="0.25">
      <c r="A417" s="5">
        <f t="shared" si="196"/>
        <v>414</v>
      </c>
      <c r="B417" s="16">
        <v>113188</v>
      </c>
      <c r="C417" s="70">
        <v>246</v>
      </c>
      <c r="D417" s="5" t="s">
        <v>143</v>
      </c>
      <c r="E417" s="18" t="s">
        <v>271</v>
      </c>
      <c r="F417" s="121" t="s">
        <v>622</v>
      </c>
      <c r="G417" s="5" t="s">
        <v>623</v>
      </c>
      <c r="H417" s="5" t="s">
        <v>362</v>
      </c>
      <c r="I417" s="15" t="s">
        <v>624</v>
      </c>
      <c r="J417" s="2">
        <v>43284</v>
      </c>
      <c r="K417" s="2">
        <v>43711</v>
      </c>
      <c r="L417" s="17">
        <f t="shared" si="189"/>
        <v>82.304188575115816</v>
      </c>
      <c r="M417" s="5" t="s">
        <v>273</v>
      </c>
      <c r="N417" s="5" t="s">
        <v>262</v>
      </c>
      <c r="O417" s="5" t="s">
        <v>262</v>
      </c>
      <c r="P417" s="3" t="s">
        <v>275</v>
      </c>
      <c r="Q417" s="5" t="s">
        <v>34</v>
      </c>
      <c r="R417" s="9">
        <f t="shared" si="197"/>
        <v>745468.83000000007</v>
      </c>
      <c r="S417" s="9">
        <v>601155.66</v>
      </c>
      <c r="T417" s="9">
        <v>144313.17000000001</v>
      </c>
      <c r="U417" s="9">
        <f t="shared" si="201"/>
        <v>142164.54</v>
      </c>
      <c r="V417" s="54">
        <v>106086.28</v>
      </c>
      <c r="W417" s="54">
        <v>36078.26</v>
      </c>
      <c r="X417" s="9">
        <f t="shared" si="198"/>
        <v>0</v>
      </c>
      <c r="Y417" s="9">
        <v>0</v>
      </c>
      <c r="Z417" s="9">
        <v>0</v>
      </c>
      <c r="AA417" s="9">
        <f t="shared" si="199"/>
        <v>18114.98</v>
      </c>
      <c r="AB417" s="9">
        <v>14433.5</v>
      </c>
      <c r="AC417" s="9">
        <v>3681.48</v>
      </c>
      <c r="AD417" s="45">
        <f t="shared" si="195"/>
        <v>905748.35000000009</v>
      </c>
      <c r="AE417" s="9">
        <v>0</v>
      </c>
      <c r="AF417" s="9">
        <f t="shared" si="200"/>
        <v>905748.35000000009</v>
      </c>
      <c r="AG417" s="50" t="s">
        <v>966</v>
      </c>
      <c r="AH417" s="14" t="s">
        <v>151</v>
      </c>
      <c r="AI417" s="1">
        <f>664924.33+44153.06</f>
        <v>709077.3899999999</v>
      </c>
      <c r="AJ417" s="1">
        <f>126804.37+8420.22</f>
        <v>135224.59</v>
      </c>
    </row>
    <row r="418" spans="1:36" ht="409.5" x14ac:dyDescent="0.25">
      <c r="A418" s="5">
        <f t="shared" si="196"/>
        <v>415</v>
      </c>
      <c r="B418" s="16">
        <v>109966</v>
      </c>
      <c r="C418" s="70">
        <v>368</v>
      </c>
      <c r="D418" s="5" t="s">
        <v>143</v>
      </c>
      <c r="E418" s="18" t="s">
        <v>271</v>
      </c>
      <c r="F418" s="202" t="s">
        <v>629</v>
      </c>
      <c r="G418" s="124" t="s">
        <v>630</v>
      </c>
      <c r="H418" s="5" t="s">
        <v>362</v>
      </c>
      <c r="I418" s="15" t="s">
        <v>631</v>
      </c>
      <c r="J418" s="2">
        <v>43284</v>
      </c>
      <c r="K418" s="2">
        <v>43772</v>
      </c>
      <c r="L418" s="17">
        <f t="shared" si="189"/>
        <v>82.304190385931335</v>
      </c>
      <c r="M418" s="5" t="s">
        <v>273</v>
      </c>
      <c r="N418" s="5" t="s">
        <v>269</v>
      </c>
      <c r="O418" s="5" t="s">
        <v>903</v>
      </c>
      <c r="P418" s="3" t="s">
        <v>275</v>
      </c>
      <c r="Q418" s="5" t="s">
        <v>34</v>
      </c>
      <c r="R418" s="9">
        <f t="shared" si="197"/>
        <v>820713.65</v>
      </c>
      <c r="S418" s="9">
        <v>661834.04</v>
      </c>
      <c r="T418" s="9">
        <v>158879.60999999999</v>
      </c>
      <c r="U418" s="9">
        <f t="shared" si="201"/>
        <v>156514.07999999999</v>
      </c>
      <c r="V418" s="54">
        <v>116794.2</v>
      </c>
      <c r="W418" s="54">
        <v>39719.879999999997</v>
      </c>
      <c r="X418" s="9">
        <f t="shared" si="198"/>
        <v>0</v>
      </c>
      <c r="Y418" s="9">
        <v>0</v>
      </c>
      <c r="Z418" s="9">
        <v>0</v>
      </c>
      <c r="AA418" s="9">
        <f t="shared" si="199"/>
        <v>19943.43</v>
      </c>
      <c r="AB418" s="9">
        <v>15890.39</v>
      </c>
      <c r="AC418" s="9">
        <v>4053.04</v>
      </c>
      <c r="AD418" s="45">
        <f t="shared" si="195"/>
        <v>997171.16</v>
      </c>
      <c r="AE418" s="9">
        <v>0</v>
      </c>
      <c r="AF418" s="9">
        <f t="shared" si="200"/>
        <v>997171.16</v>
      </c>
      <c r="AG418" s="50" t="s">
        <v>966</v>
      </c>
      <c r="AH418" s="14" t="s">
        <v>151</v>
      </c>
      <c r="AI418" s="1">
        <f>451378.67-10182.02+208239.85+24003.15</f>
        <v>673439.65</v>
      </c>
      <c r="AJ418" s="1">
        <f>16734.59+7125.74+9148.44+12691.77+4258.59+17107.67+10182.02+39712.4+11467</f>
        <v>128428.22</v>
      </c>
    </row>
    <row r="419" spans="1:36" ht="141.75" x14ac:dyDescent="0.25">
      <c r="A419" s="5">
        <f t="shared" si="196"/>
        <v>416</v>
      </c>
      <c r="B419" s="16">
        <v>112133</v>
      </c>
      <c r="C419" s="70">
        <v>149</v>
      </c>
      <c r="D419" s="5" t="s">
        <v>143</v>
      </c>
      <c r="E419" s="18" t="s">
        <v>271</v>
      </c>
      <c r="F419" s="121" t="s">
        <v>634</v>
      </c>
      <c r="G419" s="5" t="s">
        <v>635</v>
      </c>
      <c r="H419" s="5" t="s">
        <v>636</v>
      </c>
      <c r="I419" s="203" t="s">
        <v>637</v>
      </c>
      <c r="J419" s="2">
        <v>43286</v>
      </c>
      <c r="K419" s="2">
        <v>43774</v>
      </c>
      <c r="L419" s="17">
        <f t="shared" si="189"/>
        <v>82.304192989201169</v>
      </c>
      <c r="M419" s="5" t="s">
        <v>273</v>
      </c>
      <c r="N419" s="5" t="s">
        <v>638</v>
      </c>
      <c r="O419" s="5" t="s">
        <v>628</v>
      </c>
      <c r="P419" s="3" t="s">
        <v>275</v>
      </c>
      <c r="Q419" s="5" t="s">
        <v>34</v>
      </c>
      <c r="R419" s="9">
        <v>615782.40000000002</v>
      </c>
      <c r="S419" s="9">
        <v>496574.82</v>
      </c>
      <c r="T419" s="9">
        <v>119207.58</v>
      </c>
      <c r="U419" s="9">
        <f t="shared" si="201"/>
        <v>117432.69</v>
      </c>
      <c r="V419" s="54">
        <v>87630.81</v>
      </c>
      <c r="W419" s="54">
        <v>29801.88</v>
      </c>
      <c r="X419" s="9">
        <f t="shared" si="198"/>
        <v>0</v>
      </c>
      <c r="Y419" s="9">
        <v>0</v>
      </c>
      <c r="Z419" s="9">
        <v>0</v>
      </c>
      <c r="AA419" s="9">
        <f t="shared" si="199"/>
        <v>14963.56</v>
      </c>
      <c r="AB419" s="9">
        <v>11922.59</v>
      </c>
      <c r="AC419" s="9">
        <v>3040.97</v>
      </c>
      <c r="AD419" s="45">
        <f t="shared" si="195"/>
        <v>748178.65000000014</v>
      </c>
      <c r="AE419" s="9"/>
      <c r="AF419" s="9">
        <f t="shared" si="200"/>
        <v>748178.65000000014</v>
      </c>
      <c r="AG419" s="50" t="s">
        <v>966</v>
      </c>
      <c r="AH419" s="14" t="s">
        <v>151</v>
      </c>
      <c r="AI419" s="1">
        <f>439950.77+42401.19+33880.06+36167.03</f>
        <v>552399.05000000005</v>
      </c>
      <c r="AJ419" s="1">
        <f>71119.8+19653.29+7674.97+6897.24</f>
        <v>105345.3</v>
      </c>
    </row>
    <row r="420" spans="1:36" ht="141.75" x14ac:dyDescent="0.25">
      <c r="A420" s="5">
        <f t="shared" si="196"/>
        <v>417</v>
      </c>
      <c r="B420" s="16">
        <v>112698</v>
      </c>
      <c r="C420" s="70">
        <v>231</v>
      </c>
      <c r="D420" s="5" t="s">
        <v>143</v>
      </c>
      <c r="E420" s="18" t="s">
        <v>271</v>
      </c>
      <c r="F420" s="121" t="s">
        <v>643</v>
      </c>
      <c r="G420" s="5" t="s">
        <v>644</v>
      </c>
      <c r="H420" s="5" t="s">
        <v>645</v>
      </c>
      <c r="I420" s="203" t="s">
        <v>646</v>
      </c>
      <c r="J420" s="2">
        <v>43273</v>
      </c>
      <c r="K420" s="2">
        <v>43730</v>
      </c>
      <c r="L420" s="17">
        <f t="shared" si="189"/>
        <v>82.525665803949437</v>
      </c>
      <c r="M420" s="5" t="s">
        <v>273</v>
      </c>
      <c r="N420" s="5" t="s">
        <v>262</v>
      </c>
      <c r="O420" s="5" t="s">
        <v>262</v>
      </c>
      <c r="P420" s="3" t="s">
        <v>275</v>
      </c>
      <c r="Q420" s="5" t="s">
        <v>34</v>
      </c>
      <c r="R420" s="9">
        <f t="shared" ref="R420:R451" si="202">S420+T420</f>
        <v>814877.24</v>
      </c>
      <c r="S420" s="9">
        <v>657127.51</v>
      </c>
      <c r="T420" s="9">
        <v>157749.73000000001</v>
      </c>
      <c r="U420" s="9">
        <f t="shared" si="201"/>
        <v>134548.1</v>
      </c>
      <c r="V420" s="54">
        <v>100402.7</v>
      </c>
      <c r="W420" s="54">
        <v>34145.4</v>
      </c>
      <c r="X420" s="9">
        <f t="shared" si="198"/>
        <v>20853.009999999998</v>
      </c>
      <c r="Y420" s="9">
        <v>15560.97</v>
      </c>
      <c r="Z420" s="9">
        <v>5292.04</v>
      </c>
      <c r="AA420" s="9">
        <f t="shared" si="199"/>
        <v>17144.45</v>
      </c>
      <c r="AB420" s="9">
        <v>13660.23</v>
      </c>
      <c r="AC420" s="9">
        <v>3484.22</v>
      </c>
      <c r="AD420" s="45">
        <f t="shared" si="195"/>
        <v>987422.79999999993</v>
      </c>
      <c r="AE420" s="9"/>
      <c r="AF420" s="9">
        <f t="shared" si="200"/>
        <v>987422.79999999993</v>
      </c>
      <c r="AG420" s="50" t="s">
        <v>966</v>
      </c>
      <c r="AH420" s="14" t="s">
        <v>1315</v>
      </c>
      <c r="AI420" s="1">
        <f>85822.98+78186.5+192062.93</f>
        <v>356072.41</v>
      </c>
      <c r="AJ420" s="1">
        <f>14910.56+48890.63</f>
        <v>63801.189999999995</v>
      </c>
    </row>
    <row r="421" spans="1:36" ht="409.5" x14ac:dyDescent="0.25">
      <c r="A421" s="5">
        <f t="shared" si="196"/>
        <v>418</v>
      </c>
      <c r="B421" s="16">
        <v>112427</v>
      </c>
      <c r="C421" s="70">
        <v>367</v>
      </c>
      <c r="D421" s="5" t="s">
        <v>143</v>
      </c>
      <c r="E421" s="18" t="s">
        <v>271</v>
      </c>
      <c r="F421" s="121" t="s">
        <v>650</v>
      </c>
      <c r="G421" s="5" t="s">
        <v>651</v>
      </c>
      <c r="H421" s="5" t="s">
        <v>653</v>
      </c>
      <c r="I421" s="15" t="s">
        <v>652</v>
      </c>
      <c r="J421" s="2">
        <v>43290</v>
      </c>
      <c r="K421" s="2">
        <v>43778</v>
      </c>
      <c r="L421" s="17">
        <f t="shared" si="189"/>
        <v>82.304189883139372</v>
      </c>
      <c r="M421" s="5" t="s">
        <v>273</v>
      </c>
      <c r="N421" s="5" t="s">
        <v>262</v>
      </c>
      <c r="O421" s="5" t="s">
        <v>262</v>
      </c>
      <c r="P421" s="3" t="s">
        <v>275</v>
      </c>
      <c r="Q421" s="5" t="s">
        <v>34</v>
      </c>
      <c r="R421" s="9">
        <f t="shared" si="202"/>
        <v>785233.14</v>
      </c>
      <c r="S421" s="9">
        <v>633222.11</v>
      </c>
      <c r="T421" s="9">
        <v>152011.03</v>
      </c>
      <c r="U421" s="9">
        <f t="shared" si="201"/>
        <v>149747.75</v>
      </c>
      <c r="V421" s="54">
        <v>111745.03</v>
      </c>
      <c r="W421" s="54">
        <v>38002.720000000001</v>
      </c>
      <c r="X421" s="9">
        <f t="shared" si="198"/>
        <v>0</v>
      </c>
      <c r="Y421" s="9">
        <v>0</v>
      </c>
      <c r="Z421" s="9">
        <v>0</v>
      </c>
      <c r="AA421" s="9">
        <f t="shared" si="199"/>
        <v>19081.28</v>
      </c>
      <c r="AB421" s="9">
        <v>15203.43</v>
      </c>
      <c r="AC421" s="9">
        <v>3877.85</v>
      </c>
      <c r="AD421" s="45">
        <f t="shared" si="195"/>
        <v>954062.17</v>
      </c>
      <c r="AE421" s="9">
        <v>0</v>
      </c>
      <c r="AF421" s="9">
        <f t="shared" si="200"/>
        <v>954062.17</v>
      </c>
      <c r="AG421" s="50" t="s">
        <v>966</v>
      </c>
      <c r="AH421" s="14" t="s">
        <v>151</v>
      </c>
      <c r="AI421" s="1">
        <f>412777.32-11185.38+153298.14+162053.15</f>
        <v>716943.2300000001</v>
      </c>
      <c r="AJ421" s="1">
        <f>16617.93+10285.59+15452.81+18167.9+11690.43+33605.62+30904.31</f>
        <v>136724.59</v>
      </c>
    </row>
    <row r="422" spans="1:36" ht="141.75" x14ac:dyDescent="0.25">
      <c r="A422" s="5">
        <f t="shared" si="196"/>
        <v>419</v>
      </c>
      <c r="B422" s="16">
        <v>112409</v>
      </c>
      <c r="C422" s="70">
        <v>150</v>
      </c>
      <c r="D422" s="5" t="s">
        <v>143</v>
      </c>
      <c r="E422" s="18" t="s">
        <v>271</v>
      </c>
      <c r="F422" s="121" t="s">
        <v>654</v>
      </c>
      <c r="G422" s="5" t="s">
        <v>655</v>
      </c>
      <c r="H422" s="5" t="s">
        <v>299</v>
      </c>
      <c r="I422" s="15" t="s">
        <v>656</v>
      </c>
      <c r="J422" s="2">
        <v>43291</v>
      </c>
      <c r="K422" s="2">
        <v>43779</v>
      </c>
      <c r="L422" s="17">
        <f t="shared" si="189"/>
        <v>82.304188969946821</v>
      </c>
      <c r="M422" s="5" t="s">
        <v>273</v>
      </c>
      <c r="N422" s="5" t="s">
        <v>369</v>
      </c>
      <c r="O422" s="5" t="s">
        <v>256</v>
      </c>
      <c r="P422" s="3" t="s">
        <v>275</v>
      </c>
      <c r="Q422" s="5" t="s">
        <v>34</v>
      </c>
      <c r="R422" s="9">
        <f t="shared" si="202"/>
        <v>780523.20000000007</v>
      </c>
      <c r="S422" s="9">
        <v>629423.91</v>
      </c>
      <c r="T422" s="9">
        <v>151099.29</v>
      </c>
      <c r="U422" s="9">
        <f t="shared" si="201"/>
        <v>148849.57</v>
      </c>
      <c r="V422" s="54">
        <v>111074.8</v>
      </c>
      <c r="W422" s="54">
        <v>37774.769999999997</v>
      </c>
      <c r="X422" s="9">
        <f t="shared" si="198"/>
        <v>0</v>
      </c>
      <c r="Y422" s="9">
        <v>0</v>
      </c>
      <c r="Z422" s="9">
        <v>0</v>
      </c>
      <c r="AA422" s="9">
        <f t="shared" si="199"/>
        <v>18966.810000000001</v>
      </c>
      <c r="AB422" s="9">
        <v>15112.25</v>
      </c>
      <c r="AC422" s="9">
        <v>3854.56</v>
      </c>
      <c r="AD422" s="45">
        <f t="shared" si="195"/>
        <v>948339.58000000007</v>
      </c>
      <c r="AE422" s="9">
        <v>0</v>
      </c>
      <c r="AF422" s="9">
        <f t="shared" si="200"/>
        <v>948339.58000000007</v>
      </c>
      <c r="AG422" s="50" t="s">
        <v>966</v>
      </c>
      <c r="AH422" s="14" t="s">
        <v>151</v>
      </c>
      <c r="AI422" s="1">
        <f>479629.25+84387.23+5356.46</f>
        <v>569372.93999999994</v>
      </c>
      <c r="AJ422" s="1">
        <f>73382.49+16093.07+19106.61</f>
        <v>108582.17</v>
      </c>
    </row>
    <row r="423" spans="1:36" ht="141.75" x14ac:dyDescent="0.25">
      <c r="A423" s="5">
        <f t="shared" si="196"/>
        <v>420</v>
      </c>
      <c r="B423" s="16">
        <v>112861</v>
      </c>
      <c r="C423" s="70">
        <v>324</v>
      </c>
      <c r="D423" s="5" t="s">
        <v>143</v>
      </c>
      <c r="E423" s="18" t="s">
        <v>271</v>
      </c>
      <c r="F423" s="121" t="s">
        <v>657</v>
      </c>
      <c r="G423" s="5" t="s">
        <v>658</v>
      </c>
      <c r="H423" s="5" t="s">
        <v>299</v>
      </c>
      <c r="I423" s="77" t="s">
        <v>659</v>
      </c>
      <c r="J423" s="2">
        <v>43290</v>
      </c>
      <c r="K423" s="2">
        <v>43778</v>
      </c>
      <c r="L423" s="17">
        <f t="shared" si="189"/>
        <v>82.304190691615503</v>
      </c>
      <c r="M423" s="5" t="s">
        <v>273</v>
      </c>
      <c r="N423" s="5" t="s">
        <v>262</v>
      </c>
      <c r="O423" s="5" t="s">
        <v>262</v>
      </c>
      <c r="P423" s="3" t="s">
        <v>275</v>
      </c>
      <c r="Q423" s="5" t="s">
        <v>34</v>
      </c>
      <c r="R423" s="9">
        <f t="shared" si="202"/>
        <v>649951.84000000008</v>
      </c>
      <c r="S423" s="9">
        <v>524129.52</v>
      </c>
      <c r="T423" s="9">
        <v>125822.32</v>
      </c>
      <c r="U423" s="9">
        <f t="shared" si="201"/>
        <v>123949</v>
      </c>
      <c r="V423" s="54">
        <v>92493.43</v>
      </c>
      <c r="W423" s="54">
        <v>31455.57</v>
      </c>
      <c r="X423" s="9">
        <f t="shared" si="198"/>
        <v>0</v>
      </c>
      <c r="Y423" s="9">
        <v>0</v>
      </c>
      <c r="Z423" s="9">
        <v>0</v>
      </c>
      <c r="AA423" s="9">
        <f t="shared" si="199"/>
        <v>15793.869999999999</v>
      </c>
      <c r="AB423" s="9">
        <v>12584.14</v>
      </c>
      <c r="AC423" s="9">
        <v>3209.73</v>
      </c>
      <c r="AD423" s="45">
        <f t="shared" si="195"/>
        <v>789694.71000000008</v>
      </c>
      <c r="AE423" s="9">
        <v>0</v>
      </c>
      <c r="AF423" s="9">
        <f t="shared" si="200"/>
        <v>789694.71000000008</v>
      </c>
      <c r="AG423" s="50" t="s">
        <v>966</v>
      </c>
      <c r="AH423" s="14" t="s">
        <v>1036</v>
      </c>
      <c r="AI423" s="1">
        <f>78969.47+33506.04+30781.72+5848.53+60387.9+38197.37+82803.77+168161.44-11081.22</f>
        <v>487575.02</v>
      </c>
      <c r="AJ423" s="1">
        <f>6389.76+5870.23+1115.34+11516.25+7284.43+15791.09+32069.22+12946.63</f>
        <v>92982.950000000012</v>
      </c>
    </row>
    <row r="424" spans="1:36" ht="173.25" x14ac:dyDescent="0.25">
      <c r="A424" s="5">
        <f t="shared" si="196"/>
        <v>421</v>
      </c>
      <c r="B424" s="16">
        <v>110709</v>
      </c>
      <c r="C424" s="70">
        <v>313</v>
      </c>
      <c r="D424" s="5" t="s">
        <v>143</v>
      </c>
      <c r="E424" s="18" t="s">
        <v>271</v>
      </c>
      <c r="F424" s="121" t="s">
        <v>660</v>
      </c>
      <c r="G424" s="5" t="s">
        <v>661</v>
      </c>
      <c r="H424" s="5" t="s">
        <v>299</v>
      </c>
      <c r="I424" s="77" t="s">
        <v>662</v>
      </c>
      <c r="J424" s="2">
        <v>43291</v>
      </c>
      <c r="K424" s="2">
        <v>43779</v>
      </c>
      <c r="L424" s="17">
        <f t="shared" si="189"/>
        <v>82.304183081659716</v>
      </c>
      <c r="M424" s="5" t="s">
        <v>273</v>
      </c>
      <c r="N424" s="5" t="s">
        <v>262</v>
      </c>
      <c r="O424" s="5" t="s">
        <v>262</v>
      </c>
      <c r="P424" s="3" t="s">
        <v>275</v>
      </c>
      <c r="Q424" s="5" t="s">
        <v>34</v>
      </c>
      <c r="R424" s="9">
        <f t="shared" si="202"/>
        <v>821857.62999999989</v>
      </c>
      <c r="S424" s="9">
        <v>662756.56999999995</v>
      </c>
      <c r="T424" s="9">
        <v>159101.06</v>
      </c>
      <c r="U424" s="9">
        <f t="shared" si="201"/>
        <v>156732.34</v>
      </c>
      <c r="V424" s="54">
        <v>116957.1</v>
      </c>
      <c r="W424" s="54">
        <v>39775.24</v>
      </c>
      <c r="X424" s="9">
        <f t="shared" si="198"/>
        <v>0</v>
      </c>
      <c r="Y424" s="9">
        <v>0</v>
      </c>
      <c r="Z424" s="9">
        <v>0</v>
      </c>
      <c r="AA424" s="9">
        <f t="shared" si="199"/>
        <v>19971.22</v>
      </c>
      <c r="AB424" s="9">
        <v>15912.5</v>
      </c>
      <c r="AC424" s="9">
        <v>4058.72</v>
      </c>
      <c r="AD424" s="45">
        <f t="shared" si="195"/>
        <v>998561.18999999983</v>
      </c>
      <c r="AE424" s="9">
        <v>576</v>
      </c>
      <c r="AF424" s="9">
        <f t="shared" si="200"/>
        <v>999137.18999999983</v>
      </c>
      <c r="AG424" s="50" t="s">
        <v>966</v>
      </c>
      <c r="AH424" s="14" t="s">
        <v>151</v>
      </c>
      <c r="AI424" s="1">
        <f>489541.18+150804.97+87205.35</f>
        <v>727551.5</v>
      </c>
      <c r="AJ424" s="1">
        <f>93357.95+28759.24+16630.53</f>
        <v>138747.72</v>
      </c>
    </row>
    <row r="425" spans="1:36" ht="378" x14ac:dyDescent="0.25">
      <c r="A425" s="5">
        <f t="shared" si="196"/>
        <v>422</v>
      </c>
      <c r="B425" s="16">
        <v>113039</v>
      </c>
      <c r="C425" s="70">
        <v>200</v>
      </c>
      <c r="D425" s="5" t="s">
        <v>143</v>
      </c>
      <c r="E425" s="18" t="s">
        <v>271</v>
      </c>
      <c r="F425" s="121" t="s">
        <v>669</v>
      </c>
      <c r="G425" s="16" t="s">
        <v>670</v>
      </c>
      <c r="H425" s="5" t="s">
        <v>299</v>
      </c>
      <c r="I425" s="15" t="s">
        <v>671</v>
      </c>
      <c r="J425" s="2">
        <v>43291</v>
      </c>
      <c r="K425" s="2">
        <v>43779</v>
      </c>
      <c r="L425" s="17">
        <f t="shared" si="189"/>
        <v>82.30418382046426</v>
      </c>
      <c r="M425" s="5" t="s">
        <v>273</v>
      </c>
      <c r="N425" s="5" t="s">
        <v>232</v>
      </c>
      <c r="O425" s="5" t="s">
        <v>672</v>
      </c>
      <c r="P425" s="3" t="s">
        <v>275</v>
      </c>
      <c r="Q425" s="5" t="s">
        <v>34</v>
      </c>
      <c r="R425" s="9">
        <f t="shared" si="202"/>
        <v>812437.94000000006</v>
      </c>
      <c r="S425" s="9">
        <v>655160.41</v>
      </c>
      <c r="T425" s="9">
        <v>157277.53</v>
      </c>
      <c r="U425" s="9">
        <f t="shared" si="201"/>
        <v>154935.91999999998</v>
      </c>
      <c r="V425" s="54">
        <v>115616.54</v>
      </c>
      <c r="W425" s="54">
        <v>39319.379999999997</v>
      </c>
      <c r="X425" s="9">
        <f t="shared" si="198"/>
        <v>0</v>
      </c>
      <c r="Y425" s="9">
        <v>0</v>
      </c>
      <c r="Z425" s="9">
        <v>0</v>
      </c>
      <c r="AA425" s="9">
        <f t="shared" si="199"/>
        <v>19742.349999999999</v>
      </c>
      <c r="AB425" s="9">
        <v>15730.16</v>
      </c>
      <c r="AC425" s="9">
        <v>4012.19</v>
      </c>
      <c r="AD425" s="45">
        <f t="shared" si="195"/>
        <v>987116.21000000008</v>
      </c>
      <c r="AE425" s="9">
        <v>0</v>
      </c>
      <c r="AF425" s="9">
        <f t="shared" si="200"/>
        <v>987116.21000000008</v>
      </c>
      <c r="AG425" s="50" t="s">
        <v>966</v>
      </c>
      <c r="AH425" s="14" t="s">
        <v>1537</v>
      </c>
      <c r="AI425" s="1">
        <f>98711.62+82894.54-376.83+73798.02+80976.74+185141.28+260525.68-19533.72</f>
        <v>762137.33000000007</v>
      </c>
      <c r="AJ425" s="1">
        <f>15808.4+376.83+15333.49+13734.08+35307.36+49683.52+15099.61</f>
        <v>145343.28999999998</v>
      </c>
    </row>
    <row r="426" spans="1:36" ht="141.75" x14ac:dyDescent="0.25">
      <c r="A426" s="5">
        <f t="shared" si="196"/>
        <v>423</v>
      </c>
      <c r="B426" s="16">
        <v>113125</v>
      </c>
      <c r="C426" s="70">
        <v>230</v>
      </c>
      <c r="D426" s="5" t="s">
        <v>143</v>
      </c>
      <c r="E426" s="18" t="s">
        <v>271</v>
      </c>
      <c r="F426" s="121" t="s">
        <v>679</v>
      </c>
      <c r="G426" s="5" t="s">
        <v>680</v>
      </c>
      <c r="H426" s="5" t="s">
        <v>299</v>
      </c>
      <c r="I426" s="5" t="s">
        <v>681</v>
      </c>
      <c r="J426" s="2">
        <v>43291</v>
      </c>
      <c r="K426" s="2">
        <v>43718</v>
      </c>
      <c r="L426" s="17">
        <f t="shared" si="189"/>
        <v>82.304188716846156</v>
      </c>
      <c r="M426" s="5" t="s">
        <v>273</v>
      </c>
      <c r="N426" s="5" t="s">
        <v>262</v>
      </c>
      <c r="O426" s="5" t="s">
        <v>262</v>
      </c>
      <c r="P426" s="3" t="s">
        <v>275</v>
      </c>
      <c r="Q426" s="5" t="s">
        <v>34</v>
      </c>
      <c r="R426" s="9">
        <f t="shared" si="202"/>
        <v>736342.77</v>
      </c>
      <c r="S426" s="9">
        <v>593796.28</v>
      </c>
      <c r="T426" s="9">
        <v>142546.49</v>
      </c>
      <c r="U426" s="9">
        <f t="shared" si="201"/>
        <v>140424.16999999998</v>
      </c>
      <c r="V426" s="54">
        <v>104787.58</v>
      </c>
      <c r="W426" s="54">
        <v>35636.589999999997</v>
      </c>
      <c r="X426" s="9">
        <f t="shared" si="198"/>
        <v>0</v>
      </c>
      <c r="Y426" s="9">
        <v>0</v>
      </c>
      <c r="Z426" s="9">
        <v>0</v>
      </c>
      <c r="AA426" s="9">
        <f t="shared" si="199"/>
        <v>17893.2</v>
      </c>
      <c r="AB426" s="9">
        <v>14256.8</v>
      </c>
      <c r="AC426" s="9">
        <v>3636.4</v>
      </c>
      <c r="AD426" s="45">
        <f t="shared" si="195"/>
        <v>894660.1399999999</v>
      </c>
      <c r="AE426" s="9">
        <v>0</v>
      </c>
      <c r="AF426" s="9">
        <f t="shared" si="200"/>
        <v>894660.1399999999</v>
      </c>
      <c r="AG426" s="50" t="s">
        <v>966</v>
      </c>
      <c r="AH426" s="14" t="s">
        <v>362</v>
      </c>
      <c r="AI426" s="1">
        <f>431197.76+67607.74</f>
        <v>498805.5</v>
      </c>
      <c r="AJ426" s="1">
        <f>81263.8+12893.14</f>
        <v>94156.94</v>
      </c>
    </row>
    <row r="427" spans="1:36" ht="189" x14ac:dyDescent="0.25">
      <c r="A427" s="5">
        <f t="shared" si="196"/>
        <v>424</v>
      </c>
      <c r="B427" s="16">
        <v>112435</v>
      </c>
      <c r="C427" s="70">
        <v>323</v>
      </c>
      <c r="D427" s="5" t="s">
        <v>143</v>
      </c>
      <c r="E427" s="18" t="s">
        <v>271</v>
      </c>
      <c r="F427" s="121" t="s">
        <v>682</v>
      </c>
      <c r="G427" s="5" t="s">
        <v>683</v>
      </c>
      <c r="H427" s="5" t="s">
        <v>684</v>
      </c>
      <c r="I427" s="15" t="s">
        <v>685</v>
      </c>
      <c r="J427" s="2">
        <v>43292</v>
      </c>
      <c r="K427" s="2">
        <v>43780</v>
      </c>
      <c r="L427" s="17">
        <f t="shared" si="189"/>
        <v>82.304182891954625</v>
      </c>
      <c r="M427" s="5" t="s">
        <v>273</v>
      </c>
      <c r="N427" s="5" t="s">
        <v>281</v>
      </c>
      <c r="O427" s="5" t="s">
        <v>281</v>
      </c>
      <c r="P427" s="3" t="s">
        <v>275</v>
      </c>
      <c r="Q427" s="5" t="s">
        <v>34</v>
      </c>
      <c r="R427" s="9">
        <f t="shared" si="202"/>
        <v>815316.89</v>
      </c>
      <c r="S427" s="9">
        <v>657481.98</v>
      </c>
      <c r="T427" s="9">
        <v>157834.91</v>
      </c>
      <c r="U427" s="9">
        <f t="shared" si="201"/>
        <v>155484.97999999998</v>
      </c>
      <c r="V427" s="54">
        <v>116026.31</v>
      </c>
      <c r="W427" s="54">
        <v>39458.67</v>
      </c>
      <c r="X427" s="9">
        <f t="shared" si="198"/>
        <v>0</v>
      </c>
      <c r="Y427" s="9">
        <v>0</v>
      </c>
      <c r="Z427" s="9">
        <v>0</v>
      </c>
      <c r="AA427" s="9">
        <f t="shared" si="199"/>
        <v>19812.29</v>
      </c>
      <c r="AB427" s="9">
        <v>15785.9</v>
      </c>
      <c r="AC427" s="9">
        <v>4026.39</v>
      </c>
      <c r="AD427" s="45">
        <f t="shared" si="195"/>
        <v>990614.16</v>
      </c>
      <c r="AE427" s="9"/>
      <c r="AF427" s="9">
        <f t="shared" si="200"/>
        <v>990614.16</v>
      </c>
      <c r="AG427" s="50" t="s">
        <v>966</v>
      </c>
      <c r="AH427" s="14" t="s">
        <v>1338</v>
      </c>
      <c r="AI427" s="1">
        <f>694001.82-8054.22</f>
        <v>685947.6</v>
      </c>
      <c r="AJ427" s="1">
        <f>15703.63+42154.87+5183.15+19792.72+39704.75+8274.46</f>
        <v>130813.57999999999</v>
      </c>
    </row>
    <row r="428" spans="1:36" ht="141.75" x14ac:dyDescent="0.25">
      <c r="A428" s="5">
        <f t="shared" si="196"/>
        <v>425</v>
      </c>
      <c r="B428" s="16">
        <v>110839</v>
      </c>
      <c r="C428" s="70">
        <v>306</v>
      </c>
      <c r="D428" s="5" t="s">
        <v>143</v>
      </c>
      <c r="E428" s="18" t="s">
        <v>271</v>
      </c>
      <c r="F428" s="121" t="s">
        <v>686</v>
      </c>
      <c r="G428" s="5" t="s">
        <v>687</v>
      </c>
      <c r="H428" s="5" t="s">
        <v>689</v>
      </c>
      <c r="I428" s="8" t="s">
        <v>688</v>
      </c>
      <c r="J428" s="2">
        <v>43292</v>
      </c>
      <c r="K428" s="2">
        <v>43993</v>
      </c>
      <c r="L428" s="17">
        <f t="shared" si="189"/>
        <v>82.304186604752402</v>
      </c>
      <c r="M428" s="5" t="s">
        <v>273</v>
      </c>
      <c r="N428" s="5" t="s">
        <v>690</v>
      </c>
      <c r="O428" s="5" t="s">
        <v>690</v>
      </c>
      <c r="P428" s="3" t="s">
        <v>275</v>
      </c>
      <c r="Q428" s="5" t="s">
        <v>34</v>
      </c>
      <c r="R428" s="9">
        <f t="shared" si="202"/>
        <v>800537.35</v>
      </c>
      <c r="S428" s="9">
        <v>645563.62</v>
      </c>
      <c r="T428" s="9">
        <v>154973.73000000001</v>
      </c>
      <c r="U428" s="9">
        <f t="shared" si="201"/>
        <v>152666.38</v>
      </c>
      <c r="V428" s="54">
        <v>113922.98</v>
      </c>
      <c r="W428" s="54">
        <v>38743.4</v>
      </c>
      <c r="X428" s="9">
        <f t="shared" si="198"/>
        <v>0</v>
      </c>
      <c r="Y428" s="9">
        <v>0</v>
      </c>
      <c r="Z428" s="9">
        <v>0</v>
      </c>
      <c r="AA428" s="9">
        <f t="shared" si="199"/>
        <v>19453.169999999998</v>
      </c>
      <c r="AB428" s="9">
        <v>15499.74</v>
      </c>
      <c r="AC428" s="9">
        <v>3953.43</v>
      </c>
      <c r="AD428" s="45">
        <f t="shared" si="195"/>
        <v>972656.9</v>
      </c>
      <c r="AE428" s="9"/>
      <c r="AF428" s="9">
        <f t="shared" si="200"/>
        <v>972656.9</v>
      </c>
      <c r="AG428" s="60" t="s">
        <v>966</v>
      </c>
      <c r="AH428" s="14" t="s">
        <v>1623</v>
      </c>
      <c r="AI428" s="1">
        <f>655019.55+13323.41+14688.82</f>
        <v>683031.78</v>
      </c>
      <c r="AJ428" s="1">
        <f>124915.36+2540.83+2801.24</f>
        <v>130257.43000000001</v>
      </c>
    </row>
    <row r="429" spans="1:36" ht="141.75" x14ac:dyDescent="0.25">
      <c r="A429" s="5">
        <f t="shared" si="196"/>
        <v>426</v>
      </c>
      <c r="B429" s="16">
        <v>115895</v>
      </c>
      <c r="C429" s="70">
        <v>389</v>
      </c>
      <c r="D429" s="30" t="s">
        <v>143</v>
      </c>
      <c r="E429" s="180" t="s">
        <v>385</v>
      </c>
      <c r="F429" s="121" t="s">
        <v>695</v>
      </c>
      <c r="G429" s="128" t="s">
        <v>2072</v>
      </c>
      <c r="H429" s="5" t="s">
        <v>696</v>
      </c>
      <c r="I429" s="15" t="s">
        <v>697</v>
      </c>
      <c r="J429" s="2">
        <v>43293</v>
      </c>
      <c r="K429" s="2">
        <v>44846</v>
      </c>
      <c r="L429" s="17">
        <f t="shared" si="189"/>
        <v>83.983864548494978</v>
      </c>
      <c r="M429" s="5" t="s">
        <v>273</v>
      </c>
      <c r="N429" s="5" t="s">
        <v>262</v>
      </c>
      <c r="O429" s="5" t="s">
        <v>262</v>
      </c>
      <c r="P429" s="3" t="s">
        <v>138</v>
      </c>
      <c r="Q429" s="5" t="s">
        <v>34</v>
      </c>
      <c r="R429" s="9">
        <f t="shared" si="202"/>
        <v>2511117.5499999998</v>
      </c>
      <c r="S429" s="9">
        <v>2024997.51</v>
      </c>
      <c r="T429" s="9">
        <v>486120.04</v>
      </c>
      <c r="U429" s="9">
        <f t="shared" si="201"/>
        <v>0</v>
      </c>
      <c r="V429" s="54"/>
      <c r="W429" s="54"/>
      <c r="X429" s="9">
        <f t="shared" si="198"/>
        <v>478882.44999999995</v>
      </c>
      <c r="Y429" s="9">
        <v>357352.47</v>
      </c>
      <c r="Z429" s="9">
        <v>121529.98</v>
      </c>
      <c r="AA429" s="9">
        <f t="shared" si="199"/>
        <v>0</v>
      </c>
      <c r="AB429" s="9">
        <v>0</v>
      </c>
      <c r="AC429" s="9">
        <v>0</v>
      </c>
      <c r="AD429" s="45">
        <f t="shared" si="195"/>
        <v>2990000</v>
      </c>
      <c r="AE429" s="9">
        <v>0</v>
      </c>
      <c r="AF429" s="9">
        <f t="shared" si="200"/>
        <v>2990000</v>
      </c>
      <c r="AG429" s="60" t="s">
        <v>515</v>
      </c>
      <c r="AH429" s="14" t="s">
        <v>2221</v>
      </c>
      <c r="AI429" s="1">
        <f>1101841.06+308901.88+307109.67+140785.22+76589.93+88067.17</f>
        <v>2023294.9299999997</v>
      </c>
      <c r="AJ429" s="1">
        <v>0</v>
      </c>
    </row>
    <row r="430" spans="1:36" ht="267.75" x14ac:dyDescent="0.25">
      <c r="A430" s="5">
        <f t="shared" si="196"/>
        <v>427</v>
      </c>
      <c r="B430" s="16">
        <v>111830</v>
      </c>
      <c r="C430" s="70">
        <v>377</v>
      </c>
      <c r="D430" s="138" t="s">
        <v>1984</v>
      </c>
      <c r="E430" s="180" t="s">
        <v>565</v>
      </c>
      <c r="F430" s="121" t="s">
        <v>1970</v>
      </c>
      <c r="G430" s="5" t="s">
        <v>698</v>
      </c>
      <c r="H430" s="5" t="s">
        <v>699</v>
      </c>
      <c r="I430" s="15" t="s">
        <v>700</v>
      </c>
      <c r="J430" s="2">
        <v>43297</v>
      </c>
      <c r="K430" s="2">
        <v>43906</v>
      </c>
      <c r="L430" s="17">
        <f t="shared" si="189"/>
        <v>83.143853842955224</v>
      </c>
      <c r="M430" s="5" t="s">
        <v>273</v>
      </c>
      <c r="N430" s="5" t="s">
        <v>262</v>
      </c>
      <c r="O430" s="5" t="s">
        <v>262</v>
      </c>
      <c r="P430" s="3" t="s">
        <v>138</v>
      </c>
      <c r="Q430" s="5" t="s">
        <v>34</v>
      </c>
      <c r="R430" s="9">
        <f t="shared" si="202"/>
        <v>5525318.4299999997</v>
      </c>
      <c r="S430" s="9">
        <v>4455687.8899999997</v>
      </c>
      <c r="T430" s="9">
        <v>1069630.54</v>
      </c>
      <c r="U430" s="9">
        <f t="shared" si="201"/>
        <v>987264.11999999988</v>
      </c>
      <c r="V430" s="54">
        <v>733359.19</v>
      </c>
      <c r="W430" s="54">
        <v>253904.93</v>
      </c>
      <c r="X430" s="9">
        <f t="shared" si="198"/>
        <v>0</v>
      </c>
      <c r="Y430" s="9">
        <v>0</v>
      </c>
      <c r="Z430" s="9">
        <v>0</v>
      </c>
      <c r="AA430" s="9">
        <f t="shared" si="199"/>
        <v>132909.78</v>
      </c>
      <c r="AB430" s="9">
        <v>105898.92</v>
      </c>
      <c r="AC430" s="9">
        <v>27010.86</v>
      </c>
      <c r="AD430" s="45">
        <f t="shared" si="195"/>
        <v>6645492.3300000001</v>
      </c>
      <c r="AE430" s="9">
        <v>0</v>
      </c>
      <c r="AF430" s="9">
        <f t="shared" si="200"/>
        <v>6645492.3300000001</v>
      </c>
      <c r="AG430" s="60" t="s">
        <v>966</v>
      </c>
      <c r="AH430" s="14" t="s">
        <v>1612</v>
      </c>
      <c r="AI430" s="1">
        <v>4546741.8800000018</v>
      </c>
      <c r="AJ430" s="1">
        <v>805170.18000000028</v>
      </c>
    </row>
    <row r="431" spans="1:36" ht="283.5" x14ac:dyDescent="0.25">
      <c r="A431" s="5">
        <f t="shared" si="196"/>
        <v>428</v>
      </c>
      <c r="B431" s="70">
        <v>126528</v>
      </c>
      <c r="C431" s="70">
        <v>496</v>
      </c>
      <c r="D431" s="138" t="s">
        <v>1984</v>
      </c>
      <c r="E431" s="8" t="s">
        <v>1130</v>
      </c>
      <c r="F431" s="56" t="s">
        <v>1180</v>
      </c>
      <c r="G431" s="5" t="s">
        <v>1179</v>
      </c>
      <c r="H431" s="5" t="s">
        <v>1186</v>
      </c>
      <c r="I431" s="177" t="s">
        <v>1183</v>
      </c>
      <c r="J431" s="2">
        <v>43552</v>
      </c>
      <c r="K431" s="2">
        <v>44283</v>
      </c>
      <c r="L431" s="17">
        <f t="shared" si="189"/>
        <v>83.538686217523377</v>
      </c>
      <c r="M431" s="5" t="s">
        <v>1181</v>
      </c>
      <c r="N431" s="5" t="s">
        <v>1182</v>
      </c>
      <c r="O431" s="5" t="s">
        <v>1182</v>
      </c>
      <c r="P431" s="5" t="s">
        <v>275</v>
      </c>
      <c r="Q431" s="5" t="s">
        <v>34</v>
      </c>
      <c r="R431" s="1">
        <f t="shared" si="202"/>
        <v>1949308.98</v>
      </c>
      <c r="S431" s="135">
        <v>1949308.98</v>
      </c>
      <c r="T431" s="55">
        <v>0</v>
      </c>
      <c r="U431" s="1">
        <f t="shared" si="201"/>
        <v>337443.27</v>
      </c>
      <c r="V431" s="74">
        <v>337443.27</v>
      </c>
      <c r="W431" s="74">
        <v>0</v>
      </c>
      <c r="X431" s="1">
        <f t="shared" si="198"/>
        <v>6552.42</v>
      </c>
      <c r="Y431" s="135">
        <v>6552.42</v>
      </c>
      <c r="Z431" s="55">
        <v>0</v>
      </c>
      <c r="AA431" s="9">
        <f t="shared" si="199"/>
        <v>40116.009999999995</v>
      </c>
      <c r="AB431" s="135">
        <f>23632.16+16483.85</f>
        <v>40116.009999999995</v>
      </c>
      <c r="AC431" s="55">
        <v>0</v>
      </c>
      <c r="AD431" s="45">
        <f t="shared" si="195"/>
        <v>2333420.6799999997</v>
      </c>
      <c r="AE431" s="12">
        <v>0</v>
      </c>
      <c r="AF431" s="9">
        <f t="shared" si="200"/>
        <v>2333420.6799999997</v>
      </c>
      <c r="AG431" s="60" t="s">
        <v>966</v>
      </c>
      <c r="AH431" s="12" t="s">
        <v>151</v>
      </c>
      <c r="AI431" s="1">
        <f>1124643.02+142130.56+141973.95+153503.61+152349.68+121455.81-7033.67-26450.13</f>
        <v>1802572.8300000003</v>
      </c>
      <c r="AJ431" s="1">
        <f>154526.42+24578.05+24562.15+26694.06+26553.69+25966.76+30122.6</f>
        <v>313003.73</v>
      </c>
    </row>
    <row r="432" spans="1:36" ht="141.75" x14ac:dyDescent="0.25">
      <c r="A432" s="5">
        <f t="shared" si="196"/>
        <v>429</v>
      </c>
      <c r="B432" s="16">
        <v>109927</v>
      </c>
      <c r="C432" s="70">
        <v>334</v>
      </c>
      <c r="D432" s="5" t="s">
        <v>143</v>
      </c>
      <c r="E432" s="18" t="s">
        <v>271</v>
      </c>
      <c r="F432" s="121" t="s">
        <v>703</v>
      </c>
      <c r="G432" s="5" t="s">
        <v>704</v>
      </c>
      <c r="H432" s="5" t="s">
        <v>296</v>
      </c>
      <c r="I432" s="15" t="s">
        <v>705</v>
      </c>
      <c r="J432" s="2">
        <v>43297</v>
      </c>
      <c r="K432" s="2">
        <v>43785</v>
      </c>
      <c r="L432" s="17">
        <f t="shared" ref="L432:L493" si="203">R432/AD432*100</f>
        <v>82.304185890830638</v>
      </c>
      <c r="M432" s="5" t="s">
        <v>273</v>
      </c>
      <c r="N432" s="5" t="s">
        <v>262</v>
      </c>
      <c r="O432" s="5" t="s">
        <v>262</v>
      </c>
      <c r="P432" s="3" t="s">
        <v>138</v>
      </c>
      <c r="Q432" s="5" t="s">
        <v>34</v>
      </c>
      <c r="R432" s="9">
        <f t="shared" si="202"/>
        <v>793991.64999999991</v>
      </c>
      <c r="S432" s="9">
        <v>640285.07999999996</v>
      </c>
      <c r="T432" s="9">
        <v>153706.57</v>
      </c>
      <c r="U432" s="9">
        <f t="shared" si="201"/>
        <v>151418.12</v>
      </c>
      <c r="V432" s="54">
        <v>112991.49</v>
      </c>
      <c r="W432" s="54">
        <v>38426.629999999997</v>
      </c>
      <c r="X432" s="9">
        <f t="shared" ref="X432:X463" si="204">Y432+Z432</f>
        <v>0</v>
      </c>
      <c r="Y432" s="9">
        <v>0</v>
      </c>
      <c r="Z432" s="9">
        <v>0</v>
      </c>
      <c r="AA432" s="9">
        <f t="shared" ref="AA432:AA463" si="205">AB432+AC432</f>
        <v>19294.080000000002</v>
      </c>
      <c r="AB432" s="9">
        <v>15373</v>
      </c>
      <c r="AC432" s="9">
        <v>3921.08</v>
      </c>
      <c r="AD432" s="45">
        <f t="shared" si="195"/>
        <v>964703.84999999986</v>
      </c>
      <c r="AE432" s="9">
        <v>0</v>
      </c>
      <c r="AF432" s="9">
        <f t="shared" ref="AF432:AF463" si="206">AD432+AE432</f>
        <v>964703.84999999986</v>
      </c>
      <c r="AG432" s="50" t="s">
        <v>966</v>
      </c>
      <c r="AH432" s="14" t="s">
        <v>1559</v>
      </c>
      <c r="AI432" s="1">
        <f>402453.38+117377.22+258590.23+5842.52</f>
        <v>784263.35</v>
      </c>
      <c r="AJ432" s="1">
        <f>14469.9+11972.92+31909.61+40781.81+49314.41+1114.21</f>
        <v>149562.85999999999</v>
      </c>
    </row>
    <row r="433" spans="1:109" ht="189" x14ac:dyDescent="0.25">
      <c r="A433" s="5">
        <f t="shared" si="196"/>
        <v>430</v>
      </c>
      <c r="B433" s="16">
        <v>111446</v>
      </c>
      <c r="C433" s="16">
        <v>161</v>
      </c>
      <c r="D433" s="5" t="s">
        <v>143</v>
      </c>
      <c r="E433" s="18" t="s">
        <v>271</v>
      </c>
      <c r="F433" s="121" t="s">
        <v>706</v>
      </c>
      <c r="G433" s="5" t="s">
        <v>707</v>
      </c>
      <c r="H433" s="5" t="s">
        <v>296</v>
      </c>
      <c r="I433" s="15" t="s">
        <v>708</v>
      </c>
      <c r="J433" s="2">
        <v>43297</v>
      </c>
      <c r="K433" s="2">
        <v>43785</v>
      </c>
      <c r="L433" s="17">
        <f t="shared" si="203"/>
        <v>82.304180439174772</v>
      </c>
      <c r="M433" s="5" t="s">
        <v>273</v>
      </c>
      <c r="N433" s="5" t="s">
        <v>262</v>
      </c>
      <c r="O433" s="5" t="s">
        <v>262</v>
      </c>
      <c r="P433" s="3" t="s">
        <v>275</v>
      </c>
      <c r="Q433" s="5" t="s">
        <v>34</v>
      </c>
      <c r="R433" s="9">
        <f t="shared" si="202"/>
        <v>820476.63</v>
      </c>
      <c r="S433" s="9">
        <v>661642.92000000004</v>
      </c>
      <c r="T433" s="9">
        <v>158833.71</v>
      </c>
      <c r="U433" s="9">
        <f t="shared" si="201"/>
        <v>156469</v>
      </c>
      <c r="V433" s="54">
        <v>116760.53</v>
      </c>
      <c r="W433" s="54">
        <v>39708.47</v>
      </c>
      <c r="X433" s="9">
        <f t="shared" si="204"/>
        <v>0</v>
      </c>
      <c r="Y433" s="9">
        <v>0</v>
      </c>
      <c r="Z433" s="9">
        <v>0</v>
      </c>
      <c r="AA433" s="9">
        <f t="shared" si="205"/>
        <v>19937.669999999998</v>
      </c>
      <c r="AB433" s="9">
        <v>15885.81</v>
      </c>
      <c r="AC433" s="9">
        <v>4051.86</v>
      </c>
      <c r="AD433" s="45">
        <f t="shared" si="195"/>
        <v>996883.3</v>
      </c>
      <c r="AE433" s="9"/>
      <c r="AF433" s="9">
        <f t="shared" si="206"/>
        <v>996883.3</v>
      </c>
      <c r="AG433" s="50" t="s">
        <v>966</v>
      </c>
      <c r="AH433" s="14" t="s">
        <v>296</v>
      </c>
      <c r="AI433" s="1">
        <f>172463.58+91295.09-2619.6+99688.33+6676.64+99688.33+83929.71+100258.16+75790.79</f>
        <v>727171.03</v>
      </c>
      <c r="AJ433" s="1">
        <f>13878.6+17410.43+18511.49+20284.35+16005.79+38130.79+14453.69</f>
        <v>138675.14000000001</v>
      </c>
    </row>
    <row r="434" spans="1:109" ht="141.75" x14ac:dyDescent="0.25">
      <c r="A434" s="5">
        <f t="shared" si="196"/>
        <v>431</v>
      </c>
      <c r="B434" s="16">
        <v>111890</v>
      </c>
      <c r="C434" s="70">
        <v>249</v>
      </c>
      <c r="D434" s="5" t="s">
        <v>143</v>
      </c>
      <c r="E434" s="18" t="s">
        <v>271</v>
      </c>
      <c r="F434" s="121" t="s">
        <v>729</v>
      </c>
      <c r="G434" s="5" t="s">
        <v>730</v>
      </c>
      <c r="H434" s="5" t="s">
        <v>731</v>
      </c>
      <c r="I434" s="42" t="s">
        <v>1602</v>
      </c>
      <c r="J434" s="2">
        <v>43301</v>
      </c>
      <c r="K434" s="2">
        <v>43789</v>
      </c>
      <c r="L434" s="17">
        <f t="shared" si="203"/>
        <v>82.304184196855573</v>
      </c>
      <c r="M434" s="5" t="s">
        <v>273</v>
      </c>
      <c r="N434" s="5" t="s">
        <v>732</v>
      </c>
      <c r="O434" s="5" t="s">
        <v>732</v>
      </c>
      <c r="P434" s="3" t="s">
        <v>275</v>
      </c>
      <c r="Q434" s="5" t="s">
        <v>34</v>
      </c>
      <c r="R434" s="9">
        <f t="shared" si="202"/>
        <v>729395.17</v>
      </c>
      <c r="S434" s="9">
        <v>588193.66</v>
      </c>
      <c r="T434" s="9">
        <v>141201.51</v>
      </c>
      <c r="U434" s="9">
        <f t="shared" si="201"/>
        <v>139099.28</v>
      </c>
      <c r="V434" s="54">
        <v>103798.89</v>
      </c>
      <c r="W434" s="54">
        <v>35300.39</v>
      </c>
      <c r="X434" s="9">
        <f t="shared" si="204"/>
        <v>0</v>
      </c>
      <c r="Y434" s="9">
        <v>0</v>
      </c>
      <c r="Z434" s="9">
        <v>0</v>
      </c>
      <c r="AA434" s="9">
        <f t="shared" si="205"/>
        <v>17724.370000000003</v>
      </c>
      <c r="AB434" s="9">
        <v>14122.29</v>
      </c>
      <c r="AC434" s="9">
        <v>3602.08</v>
      </c>
      <c r="AD434" s="45">
        <f t="shared" si="195"/>
        <v>886218.82000000007</v>
      </c>
      <c r="AE434" s="9">
        <v>0</v>
      </c>
      <c r="AF434" s="9">
        <f t="shared" si="206"/>
        <v>886218.82000000007</v>
      </c>
      <c r="AG434" s="50" t="s">
        <v>966</v>
      </c>
      <c r="AH434" s="14" t="s">
        <v>1506</v>
      </c>
      <c r="AI434" s="1">
        <f>416218.9+121145.8+152202.09-7471.8-36155.33</f>
        <v>645939.66</v>
      </c>
      <c r="AJ434" s="1">
        <f>14022.63+14374.66+9282.27+24787.75+23442.2+29025.69+8248.64</f>
        <v>123183.84</v>
      </c>
    </row>
    <row r="435" spans="1:109" ht="252" x14ac:dyDescent="0.25">
      <c r="A435" s="5">
        <f t="shared" si="196"/>
        <v>432</v>
      </c>
      <c r="B435" s="16">
        <v>126511</v>
      </c>
      <c r="C435" s="16">
        <v>499</v>
      </c>
      <c r="D435" s="138" t="s">
        <v>1984</v>
      </c>
      <c r="E435" s="8" t="s">
        <v>1130</v>
      </c>
      <c r="F435" s="8" t="s">
        <v>1163</v>
      </c>
      <c r="G435" s="5" t="s">
        <v>1164</v>
      </c>
      <c r="H435" s="5" t="s">
        <v>151</v>
      </c>
      <c r="I435" s="77" t="s">
        <v>1167</v>
      </c>
      <c r="J435" s="2">
        <v>43535</v>
      </c>
      <c r="K435" s="2">
        <v>44266</v>
      </c>
      <c r="L435" s="17">
        <f t="shared" si="203"/>
        <v>83.300000000000011</v>
      </c>
      <c r="M435" s="5" t="s">
        <v>1166</v>
      </c>
      <c r="N435" s="5" t="s">
        <v>1165</v>
      </c>
      <c r="O435" s="5" t="s">
        <v>1165</v>
      </c>
      <c r="P435" s="5" t="s">
        <v>275</v>
      </c>
      <c r="Q435" s="5" t="s">
        <v>34</v>
      </c>
      <c r="R435" s="1">
        <f t="shared" si="202"/>
        <v>2060383.85</v>
      </c>
      <c r="S435" s="9">
        <v>2060383.85</v>
      </c>
      <c r="T435" s="9">
        <v>0</v>
      </c>
      <c r="U435" s="1">
        <f t="shared" si="201"/>
        <v>363597.15</v>
      </c>
      <c r="V435" s="54">
        <v>363597.15</v>
      </c>
      <c r="W435" s="54">
        <v>0</v>
      </c>
      <c r="X435" s="1">
        <f t="shared" si="204"/>
        <v>0</v>
      </c>
      <c r="Y435" s="9">
        <v>0</v>
      </c>
      <c r="Z435" s="9">
        <v>0</v>
      </c>
      <c r="AA435" s="9">
        <f t="shared" si="205"/>
        <v>49469</v>
      </c>
      <c r="AB435" s="9">
        <v>49469</v>
      </c>
      <c r="AC435" s="9">
        <v>0</v>
      </c>
      <c r="AD435" s="45">
        <f t="shared" si="195"/>
        <v>2473450</v>
      </c>
      <c r="AE435" s="9">
        <v>0</v>
      </c>
      <c r="AF435" s="9">
        <f t="shared" si="206"/>
        <v>2473450</v>
      </c>
      <c r="AG435" s="60" t="s">
        <v>966</v>
      </c>
      <c r="AH435" s="14" t="s">
        <v>151</v>
      </c>
      <c r="AI435" s="1">
        <f>223418.82+247345-25227.12+247345+167983.62+12080.39+247345+335959.73+30394.68+247345+30380.57+158425.78</f>
        <v>1922796.47</v>
      </c>
      <c r="AJ435" s="1">
        <f>23926.18+54697.96+29644.16+45780.91+59287.01+49012.9+49010.35+27957.48</f>
        <v>339316.95</v>
      </c>
      <c r="AK435" s="75"/>
      <c r="AL435" s="75"/>
      <c r="AM435" s="75"/>
      <c r="AN435" s="75"/>
      <c r="AO435" s="75"/>
      <c r="AP435" s="75"/>
      <c r="AQ435" s="75"/>
      <c r="AR435" s="75"/>
      <c r="AS435" s="75"/>
      <c r="AT435" s="75"/>
      <c r="AU435" s="75"/>
      <c r="AV435" s="75"/>
      <c r="AW435" s="75"/>
      <c r="AX435" s="75"/>
      <c r="AY435" s="75"/>
      <c r="AZ435" s="75"/>
      <c r="BA435" s="75"/>
      <c r="BB435" s="75"/>
      <c r="BC435" s="75"/>
      <c r="BD435" s="75"/>
      <c r="BE435" s="75"/>
      <c r="BF435" s="75"/>
      <c r="BG435" s="75"/>
      <c r="BH435" s="75"/>
      <c r="BI435" s="75"/>
      <c r="BJ435" s="75"/>
      <c r="BK435" s="75"/>
      <c r="BL435" s="75"/>
      <c r="BM435" s="75"/>
      <c r="BN435" s="75"/>
      <c r="BO435" s="75"/>
      <c r="BP435" s="75"/>
      <c r="BQ435" s="75"/>
      <c r="BR435" s="75"/>
      <c r="BS435" s="75"/>
      <c r="BT435" s="75"/>
      <c r="BU435" s="75"/>
      <c r="BV435" s="75"/>
      <c r="BW435" s="75"/>
      <c r="BX435" s="75"/>
      <c r="BY435" s="75"/>
      <c r="BZ435" s="75"/>
      <c r="CA435" s="75"/>
      <c r="CB435" s="75"/>
      <c r="CC435" s="75"/>
      <c r="CD435" s="75"/>
      <c r="CE435" s="75"/>
      <c r="CF435" s="75"/>
      <c r="CG435" s="75"/>
      <c r="CH435" s="75"/>
      <c r="CI435" s="75"/>
      <c r="CJ435" s="75"/>
      <c r="CK435" s="75"/>
      <c r="CL435" s="75"/>
      <c r="CM435" s="75"/>
      <c r="CN435" s="75"/>
      <c r="CO435" s="75"/>
      <c r="CP435" s="75"/>
      <c r="CQ435" s="75"/>
      <c r="CR435" s="75"/>
      <c r="CS435" s="75"/>
      <c r="CT435" s="75"/>
      <c r="CU435" s="75"/>
      <c r="CV435" s="75"/>
      <c r="CW435" s="75"/>
      <c r="CX435" s="75"/>
      <c r="CY435" s="75"/>
      <c r="CZ435" s="75"/>
      <c r="DA435" s="75"/>
      <c r="DB435" s="75"/>
      <c r="DC435" s="75"/>
      <c r="DD435" s="75"/>
      <c r="DE435" s="75"/>
    </row>
    <row r="436" spans="1:109" ht="204.75" x14ac:dyDescent="0.25">
      <c r="A436" s="5">
        <f t="shared" si="196"/>
        <v>433</v>
      </c>
      <c r="B436" s="16">
        <v>113123</v>
      </c>
      <c r="C436" s="70">
        <v>217</v>
      </c>
      <c r="D436" s="5" t="s">
        <v>143</v>
      </c>
      <c r="E436" s="18" t="s">
        <v>271</v>
      </c>
      <c r="F436" s="8" t="s">
        <v>759</v>
      </c>
      <c r="G436" s="5" t="s">
        <v>760</v>
      </c>
      <c r="H436" s="5" t="s">
        <v>362</v>
      </c>
      <c r="I436" s="15" t="s">
        <v>761</v>
      </c>
      <c r="J436" s="2">
        <v>43312</v>
      </c>
      <c r="K436" s="2">
        <v>44012</v>
      </c>
      <c r="L436" s="17">
        <f t="shared" si="203"/>
        <v>82.304192539701532</v>
      </c>
      <c r="M436" s="5" t="s">
        <v>273</v>
      </c>
      <c r="N436" s="5" t="s">
        <v>262</v>
      </c>
      <c r="O436" s="5" t="s">
        <v>262</v>
      </c>
      <c r="P436" s="3" t="s">
        <v>275</v>
      </c>
      <c r="Q436" s="5" t="s">
        <v>34</v>
      </c>
      <c r="R436" s="9">
        <f t="shared" si="202"/>
        <v>457182.16000000003</v>
      </c>
      <c r="S436" s="9">
        <v>368677.58</v>
      </c>
      <c r="T436" s="9">
        <v>88504.58</v>
      </c>
      <c r="U436" s="9">
        <f t="shared" si="201"/>
        <v>87186.86</v>
      </c>
      <c r="V436" s="54">
        <v>65060.76</v>
      </c>
      <c r="W436" s="54">
        <v>22126.1</v>
      </c>
      <c r="X436" s="9">
        <f t="shared" si="204"/>
        <v>0</v>
      </c>
      <c r="Y436" s="9">
        <v>0</v>
      </c>
      <c r="Z436" s="9">
        <v>0</v>
      </c>
      <c r="AA436" s="9">
        <f t="shared" si="205"/>
        <v>11109.56</v>
      </c>
      <c r="AB436" s="9">
        <v>8851.75</v>
      </c>
      <c r="AC436" s="9">
        <v>2257.81</v>
      </c>
      <c r="AD436" s="45">
        <f t="shared" si="195"/>
        <v>555478.58000000007</v>
      </c>
      <c r="AE436" s="9"/>
      <c r="AF436" s="9">
        <f t="shared" si="206"/>
        <v>555478.58000000007</v>
      </c>
      <c r="AG436" s="60" t="s">
        <v>966</v>
      </c>
      <c r="AH436" s="14" t="s">
        <v>1809</v>
      </c>
      <c r="AI436" s="1">
        <f>290762.69+44490.67+37570.73+60763.37-29595.26</f>
        <v>403992.19999999995</v>
      </c>
      <c r="AJ436" s="1">
        <f>7748.65+9425.87-0.12+10127.9+16559.69+16272.7+10964.7+5943.9</f>
        <v>77043.289999999994</v>
      </c>
    </row>
    <row r="437" spans="1:109" ht="141.75" x14ac:dyDescent="0.25">
      <c r="A437" s="5">
        <f t="shared" si="196"/>
        <v>434</v>
      </c>
      <c r="B437" s="16">
        <v>112769</v>
      </c>
      <c r="C437" s="70">
        <v>154</v>
      </c>
      <c r="D437" s="5" t="s">
        <v>143</v>
      </c>
      <c r="E437" s="18" t="s">
        <v>271</v>
      </c>
      <c r="F437" s="8" t="s">
        <v>773</v>
      </c>
      <c r="G437" s="5" t="s">
        <v>774</v>
      </c>
      <c r="H437" s="5" t="s">
        <v>775</v>
      </c>
      <c r="I437" s="15" t="s">
        <v>776</v>
      </c>
      <c r="J437" s="2">
        <v>43312</v>
      </c>
      <c r="K437" s="2">
        <v>43799</v>
      </c>
      <c r="L437" s="17">
        <f t="shared" si="203"/>
        <v>82.304193908401487</v>
      </c>
      <c r="M437" s="5" t="s">
        <v>273</v>
      </c>
      <c r="N437" s="5" t="s">
        <v>262</v>
      </c>
      <c r="O437" s="5" t="s">
        <v>262</v>
      </c>
      <c r="P437" s="3" t="s">
        <v>275</v>
      </c>
      <c r="Q437" s="5" t="s">
        <v>34</v>
      </c>
      <c r="R437" s="9">
        <f t="shared" si="202"/>
        <v>810553.29</v>
      </c>
      <c r="S437" s="9">
        <v>653640.61</v>
      </c>
      <c r="T437" s="9">
        <v>156912.68</v>
      </c>
      <c r="U437" s="9">
        <f t="shared" si="201"/>
        <v>154576.41999999998</v>
      </c>
      <c r="V437" s="54">
        <v>115348.29</v>
      </c>
      <c r="W437" s="54">
        <v>39228.129999999997</v>
      </c>
      <c r="X437" s="9">
        <f t="shared" si="204"/>
        <v>0</v>
      </c>
      <c r="Y437" s="9">
        <v>0</v>
      </c>
      <c r="Z437" s="9">
        <v>0</v>
      </c>
      <c r="AA437" s="9">
        <f t="shared" si="205"/>
        <v>19696.52</v>
      </c>
      <c r="AB437" s="9">
        <v>15693.62</v>
      </c>
      <c r="AC437" s="9">
        <v>4002.9</v>
      </c>
      <c r="AD437" s="45">
        <f t="shared" si="195"/>
        <v>984826.23</v>
      </c>
      <c r="AE437" s="9"/>
      <c r="AF437" s="9">
        <f t="shared" si="206"/>
        <v>984826.23</v>
      </c>
      <c r="AG437" s="50" t="s">
        <v>966</v>
      </c>
      <c r="AH437" s="14" t="s">
        <v>151</v>
      </c>
      <c r="AI437" s="1">
        <f>505319.03+215529.97-3637.72</f>
        <v>717211.28</v>
      </c>
      <c r="AJ437" s="1">
        <f>15061.09+3.81+17176.67+17183.59+29510.05+41102.63+16737.76</f>
        <v>136775.6</v>
      </c>
    </row>
    <row r="438" spans="1:109" ht="162.75" customHeight="1" x14ac:dyDescent="0.25">
      <c r="A438" s="5">
        <f t="shared" si="196"/>
        <v>435</v>
      </c>
      <c r="B438" s="16">
        <v>118824</v>
      </c>
      <c r="C438" s="70">
        <v>451</v>
      </c>
      <c r="D438" s="8" t="s">
        <v>1982</v>
      </c>
      <c r="E438" s="18" t="s">
        <v>560</v>
      </c>
      <c r="F438" s="32" t="s">
        <v>779</v>
      </c>
      <c r="G438" s="5" t="s">
        <v>780</v>
      </c>
      <c r="H438" s="5" t="s">
        <v>781</v>
      </c>
      <c r="I438" s="8" t="s">
        <v>936</v>
      </c>
      <c r="J438" s="2">
        <v>43311</v>
      </c>
      <c r="K438" s="2">
        <v>44228</v>
      </c>
      <c r="L438" s="17">
        <f t="shared" si="203"/>
        <v>83.245540797683958</v>
      </c>
      <c r="M438" s="5" t="s">
        <v>273</v>
      </c>
      <c r="N438" s="5" t="s">
        <v>262</v>
      </c>
      <c r="O438" s="5" t="s">
        <v>262</v>
      </c>
      <c r="P438" s="3" t="s">
        <v>138</v>
      </c>
      <c r="Q438" s="5" t="s">
        <v>34</v>
      </c>
      <c r="R438" s="9">
        <f t="shared" si="202"/>
        <v>3071406.8699999992</v>
      </c>
      <c r="S438" s="9">
        <v>2476821.9799999991</v>
      </c>
      <c r="T438" s="9">
        <v>594584.89000000013</v>
      </c>
      <c r="U438" s="9">
        <f t="shared" si="201"/>
        <v>254554.26</v>
      </c>
      <c r="V438" s="54">
        <v>189953.91</v>
      </c>
      <c r="W438" s="54">
        <v>64600.35</v>
      </c>
      <c r="X438" s="9">
        <f t="shared" si="204"/>
        <v>331178.18</v>
      </c>
      <c r="Y438" s="9">
        <v>247132.34</v>
      </c>
      <c r="Z438" s="9">
        <v>84045.84</v>
      </c>
      <c r="AA438" s="9">
        <f t="shared" si="205"/>
        <v>32435.940000000002</v>
      </c>
      <c r="AB438" s="9">
        <v>25844.11</v>
      </c>
      <c r="AC438" s="9">
        <v>6591.83</v>
      </c>
      <c r="AD438" s="45">
        <f t="shared" si="195"/>
        <v>3689575.2499999991</v>
      </c>
      <c r="AE438" s="9"/>
      <c r="AF438" s="9">
        <f t="shared" si="206"/>
        <v>3689575.2499999991</v>
      </c>
      <c r="AG438" s="60" t="s">
        <v>966</v>
      </c>
      <c r="AH438" s="198" t="s">
        <v>1922</v>
      </c>
      <c r="AI438" s="1">
        <f>1525625.11+35665.38+461250.33+93312.31+190744.71+123191.32+39619.9+58518.28+50395.7-17494.62</f>
        <v>2560828.4199999995</v>
      </c>
      <c r="AJ438" s="1">
        <f>127973.9+32924.82+17795.12+23493.19+12881.11+5976.01</f>
        <v>221044.15000000002</v>
      </c>
    </row>
    <row r="439" spans="1:109" ht="189" x14ac:dyDescent="0.25">
      <c r="A439" s="5">
        <f t="shared" si="196"/>
        <v>436</v>
      </c>
      <c r="B439" s="16">
        <v>113009</v>
      </c>
      <c r="C439" s="70">
        <v>296</v>
      </c>
      <c r="D439" s="5" t="s">
        <v>143</v>
      </c>
      <c r="E439" s="18" t="s">
        <v>271</v>
      </c>
      <c r="F439" s="8" t="s">
        <v>788</v>
      </c>
      <c r="G439" s="5" t="s">
        <v>789</v>
      </c>
      <c r="H439" s="5" t="s">
        <v>790</v>
      </c>
      <c r="I439" s="15" t="s">
        <v>791</v>
      </c>
      <c r="J439" s="2">
        <v>43318</v>
      </c>
      <c r="K439" s="2">
        <v>43775</v>
      </c>
      <c r="L439" s="17">
        <f t="shared" si="203"/>
        <v>82.304184738955826</v>
      </c>
      <c r="M439" s="5" t="s">
        <v>273</v>
      </c>
      <c r="N439" s="5" t="s">
        <v>792</v>
      </c>
      <c r="O439" s="5" t="s">
        <v>793</v>
      </c>
      <c r="P439" s="3" t="s">
        <v>275</v>
      </c>
      <c r="Q439" s="5" t="s">
        <v>34</v>
      </c>
      <c r="R439" s="9">
        <f t="shared" si="202"/>
        <v>819749.67999999993</v>
      </c>
      <c r="S439" s="9">
        <v>661056.71</v>
      </c>
      <c r="T439" s="9">
        <v>158692.97</v>
      </c>
      <c r="U439" s="9">
        <f t="shared" si="201"/>
        <v>156330.31</v>
      </c>
      <c r="V439" s="54">
        <v>116657.06</v>
      </c>
      <c r="W439" s="54">
        <v>39673.25</v>
      </c>
      <c r="X439" s="9">
        <f t="shared" si="204"/>
        <v>0</v>
      </c>
      <c r="Y439" s="9">
        <v>0</v>
      </c>
      <c r="Z439" s="9">
        <v>0</v>
      </c>
      <c r="AA439" s="9">
        <f t="shared" si="205"/>
        <v>19920.010000000002</v>
      </c>
      <c r="AB439" s="9">
        <v>15871.7</v>
      </c>
      <c r="AC439" s="9">
        <v>4048.31</v>
      </c>
      <c r="AD439" s="45">
        <f t="shared" si="195"/>
        <v>996000</v>
      </c>
      <c r="AE439" s="9"/>
      <c r="AF439" s="9">
        <f t="shared" si="206"/>
        <v>996000</v>
      </c>
      <c r="AG439" s="50" t="s">
        <v>966</v>
      </c>
      <c r="AH439" s="14" t="s">
        <v>1421</v>
      </c>
      <c r="AI439" s="1">
        <f>11711.89+112463.33+73006.84+70941.22+395259.82+67590.34</f>
        <v>730973.44000000006</v>
      </c>
      <c r="AJ439" s="1">
        <f>2233.51+2453.09+13922.77+13528.85+75378+31884.01</f>
        <v>139400.23000000001</v>
      </c>
    </row>
    <row r="440" spans="1:109" ht="141.75" x14ac:dyDescent="0.25">
      <c r="A440" s="5">
        <f t="shared" si="196"/>
        <v>437</v>
      </c>
      <c r="B440" s="16">
        <v>112982</v>
      </c>
      <c r="C440" s="70">
        <v>297</v>
      </c>
      <c r="D440" s="5" t="s">
        <v>143</v>
      </c>
      <c r="E440" s="18" t="s">
        <v>271</v>
      </c>
      <c r="F440" s="121" t="s">
        <v>794</v>
      </c>
      <c r="G440" s="5" t="s">
        <v>795</v>
      </c>
      <c r="H440" s="5" t="s">
        <v>796</v>
      </c>
      <c r="I440" s="15" t="s">
        <v>797</v>
      </c>
      <c r="J440" s="2">
        <v>43318</v>
      </c>
      <c r="K440" s="2">
        <v>43683</v>
      </c>
      <c r="L440" s="17">
        <f t="shared" si="203"/>
        <v>82.304142421748935</v>
      </c>
      <c r="M440" s="5" t="s">
        <v>273</v>
      </c>
      <c r="N440" s="5" t="s">
        <v>765</v>
      </c>
      <c r="O440" s="5" t="s">
        <v>798</v>
      </c>
      <c r="P440" s="3" t="s">
        <v>275</v>
      </c>
      <c r="Q440" s="5" t="s">
        <v>34</v>
      </c>
      <c r="R440" s="9">
        <f t="shared" si="202"/>
        <v>819220.94</v>
      </c>
      <c r="S440" s="9">
        <f>660630.34</f>
        <v>660630.34</v>
      </c>
      <c r="T440" s="9">
        <f>158590.6</f>
        <v>158590.6</v>
      </c>
      <c r="U440" s="9">
        <f t="shared" ref="U440:U471" si="207">V440+W440</f>
        <v>156229.57</v>
      </c>
      <c r="V440" s="54">
        <f>116581.85</f>
        <v>116581.85</v>
      </c>
      <c r="W440" s="54">
        <f>39647.72</f>
        <v>39647.72</v>
      </c>
      <c r="X440" s="9">
        <f t="shared" si="204"/>
        <v>0</v>
      </c>
      <c r="Y440" s="9">
        <v>0</v>
      </c>
      <c r="Z440" s="9">
        <v>0</v>
      </c>
      <c r="AA440" s="9">
        <f t="shared" si="205"/>
        <v>19907.580000000002</v>
      </c>
      <c r="AB440" s="9">
        <f>15861.83</f>
        <v>15861.83</v>
      </c>
      <c r="AC440" s="9">
        <f>4045.75</f>
        <v>4045.75</v>
      </c>
      <c r="AD440" s="45">
        <f t="shared" si="195"/>
        <v>995358.09</v>
      </c>
      <c r="AE440" s="9"/>
      <c r="AF440" s="9">
        <f t="shared" si="206"/>
        <v>995358.09</v>
      </c>
      <c r="AG440" s="50" t="s">
        <v>966</v>
      </c>
      <c r="AH440" s="14"/>
      <c r="AI440" s="1">
        <f>764833.39+7900.03</f>
        <v>772733.42</v>
      </c>
      <c r="AJ440" s="1">
        <f>145857.5+1506.57</f>
        <v>147364.07</v>
      </c>
    </row>
    <row r="441" spans="1:109" ht="141.75" x14ac:dyDescent="0.25">
      <c r="A441" s="5">
        <f t="shared" si="196"/>
        <v>438</v>
      </c>
      <c r="B441" s="16">
        <v>110476</v>
      </c>
      <c r="C441" s="70">
        <v>203</v>
      </c>
      <c r="D441" s="5" t="s">
        <v>143</v>
      </c>
      <c r="E441" s="18" t="s">
        <v>271</v>
      </c>
      <c r="F441" s="121" t="s">
        <v>812</v>
      </c>
      <c r="G441" s="5" t="s">
        <v>811</v>
      </c>
      <c r="H441" s="5" t="s">
        <v>813</v>
      </c>
      <c r="I441" s="15" t="s">
        <v>814</v>
      </c>
      <c r="J441" s="2">
        <v>43321</v>
      </c>
      <c r="K441" s="2">
        <v>43808</v>
      </c>
      <c r="L441" s="17">
        <f t="shared" si="203"/>
        <v>82.304185104915661</v>
      </c>
      <c r="M441" s="5" t="s">
        <v>273</v>
      </c>
      <c r="N441" s="5" t="s">
        <v>292</v>
      </c>
      <c r="O441" s="5" t="s">
        <v>292</v>
      </c>
      <c r="P441" s="3" t="s">
        <v>275</v>
      </c>
      <c r="Q441" s="5" t="s">
        <v>34</v>
      </c>
      <c r="R441" s="9">
        <f t="shared" si="202"/>
        <v>792472.48</v>
      </c>
      <c r="S441" s="9">
        <v>639060</v>
      </c>
      <c r="T441" s="9">
        <v>153412.48000000001</v>
      </c>
      <c r="U441" s="9">
        <f t="shared" si="207"/>
        <v>151128.4</v>
      </c>
      <c r="V441" s="54">
        <v>112775.26</v>
      </c>
      <c r="W441" s="54">
        <v>38353.14</v>
      </c>
      <c r="X441" s="9">
        <f t="shared" si="204"/>
        <v>0</v>
      </c>
      <c r="Y441" s="9">
        <v>0</v>
      </c>
      <c r="Z441" s="9">
        <v>0</v>
      </c>
      <c r="AA441" s="9">
        <f t="shared" si="205"/>
        <v>19257.18</v>
      </c>
      <c r="AB441" s="9">
        <v>15343.63</v>
      </c>
      <c r="AC441" s="9">
        <v>3913.55</v>
      </c>
      <c r="AD441" s="45">
        <f t="shared" si="195"/>
        <v>962858.06</v>
      </c>
      <c r="AE441" s="9"/>
      <c r="AF441" s="9">
        <f t="shared" si="206"/>
        <v>962858.06</v>
      </c>
      <c r="AG441" s="50" t="s">
        <v>966</v>
      </c>
      <c r="AH441" s="14" t="s">
        <v>1460</v>
      </c>
      <c r="AI441" s="1">
        <f>428320.62+93776.01+55027.39+139592.25</f>
        <v>716716.27</v>
      </c>
      <c r="AJ441" s="1">
        <f>81204.25+10493.99+44983.15</f>
        <v>136681.39000000001</v>
      </c>
    </row>
    <row r="442" spans="1:109" ht="141.75" x14ac:dyDescent="0.25">
      <c r="A442" s="5">
        <f t="shared" si="196"/>
        <v>439</v>
      </c>
      <c r="B442" s="16">
        <v>111413</v>
      </c>
      <c r="C442" s="70">
        <v>245</v>
      </c>
      <c r="D442" s="5" t="s">
        <v>143</v>
      </c>
      <c r="E442" s="18" t="s">
        <v>271</v>
      </c>
      <c r="F442" s="121" t="s">
        <v>819</v>
      </c>
      <c r="G442" s="5" t="s">
        <v>820</v>
      </c>
      <c r="H442" s="5" t="s">
        <v>821</v>
      </c>
      <c r="I442" s="15" t="s">
        <v>822</v>
      </c>
      <c r="J442" s="2">
        <v>43325</v>
      </c>
      <c r="K442" s="2">
        <v>43812</v>
      </c>
      <c r="L442" s="17">
        <f t="shared" si="203"/>
        <v>82.510189524515496</v>
      </c>
      <c r="M442" s="5" t="s">
        <v>273</v>
      </c>
      <c r="N442" s="5" t="s">
        <v>262</v>
      </c>
      <c r="O442" s="5" t="s">
        <v>262</v>
      </c>
      <c r="P442" s="3" t="s">
        <v>275</v>
      </c>
      <c r="Q442" s="5" t="s">
        <v>34</v>
      </c>
      <c r="R442" s="9">
        <f t="shared" si="202"/>
        <v>805149.57</v>
      </c>
      <c r="S442" s="9">
        <v>649282.97</v>
      </c>
      <c r="T442" s="9">
        <v>155866.6</v>
      </c>
      <c r="U442" s="9">
        <f t="shared" si="207"/>
        <v>134378</v>
      </c>
      <c r="V442" s="54">
        <v>100275.78</v>
      </c>
      <c r="W442" s="54">
        <v>34102.22</v>
      </c>
      <c r="X442" s="9">
        <f t="shared" si="204"/>
        <v>19168</v>
      </c>
      <c r="Y442" s="9">
        <v>14303.59</v>
      </c>
      <c r="Z442" s="9">
        <v>4864.41</v>
      </c>
      <c r="AA442" s="9">
        <f t="shared" si="205"/>
        <v>17122.78</v>
      </c>
      <c r="AB442" s="9">
        <v>13642.95</v>
      </c>
      <c r="AC442" s="9">
        <v>3479.83</v>
      </c>
      <c r="AD442" s="45">
        <f t="shared" si="195"/>
        <v>975818.35</v>
      </c>
      <c r="AE442" s="9">
        <v>0</v>
      </c>
      <c r="AF442" s="9">
        <f t="shared" si="206"/>
        <v>975818.35</v>
      </c>
      <c r="AG442" s="50" t="s">
        <v>966</v>
      </c>
      <c r="AH442" s="14" t="s">
        <v>296</v>
      </c>
      <c r="AI442" s="1">
        <f>85600-10278.92+91440.93+64880.29+85600+67989.89+122279.98+103700.71+78599.18+1013.75+8269.89</f>
        <v>699095.70000000007</v>
      </c>
      <c r="AJ442" s="1">
        <f>10278.92+5199.07+27998.08+12966.01+23319.38+19776.21+14989.25+14467.31</f>
        <v>128994.23000000001</v>
      </c>
    </row>
    <row r="443" spans="1:109" ht="58.5" customHeight="1" x14ac:dyDescent="0.25">
      <c r="A443" s="5">
        <f t="shared" si="196"/>
        <v>440</v>
      </c>
      <c r="B443" s="16">
        <v>112299</v>
      </c>
      <c r="C443" s="70">
        <v>370</v>
      </c>
      <c r="D443" s="138" t="s">
        <v>1984</v>
      </c>
      <c r="E443" s="18" t="s">
        <v>565</v>
      </c>
      <c r="F443" s="121" t="s">
        <v>829</v>
      </c>
      <c r="G443" s="5" t="s">
        <v>830</v>
      </c>
      <c r="H443" s="5" t="s">
        <v>151</v>
      </c>
      <c r="I443" s="121" t="s">
        <v>831</v>
      </c>
      <c r="J443" s="2">
        <v>43322</v>
      </c>
      <c r="K443" s="2">
        <v>44206</v>
      </c>
      <c r="L443" s="17">
        <f t="shared" si="203"/>
        <v>82.304185787048553</v>
      </c>
      <c r="M443" s="5" t="s">
        <v>273</v>
      </c>
      <c r="N443" s="5" t="s">
        <v>262</v>
      </c>
      <c r="O443" s="5" t="s">
        <v>262</v>
      </c>
      <c r="P443" s="3" t="s">
        <v>275</v>
      </c>
      <c r="Q443" s="5" t="s">
        <v>34</v>
      </c>
      <c r="R443" s="9">
        <f t="shared" si="202"/>
        <v>5950616.5499999998</v>
      </c>
      <c r="S443" s="9">
        <v>4798653.8499999996</v>
      </c>
      <c r="T443" s="9">
        <v>1151962.7</v>
      </c>
      <c r="U443" s="9">
        <f t="shared" si="207"/>
        <v>1134811.9099999999</v>
      </c>
      <c r="V443" s="54">
        <v>846821.21</v>
      </c>
      <c r="W443" s="54">
        <v>287990.7</v>
      </c>
      <c r="X443" s="9">
        <f t="shared" si="204"/>
        <v>0</v>
      </c>
      <c r="Y443" s="9">
        <v>0</v>
      </c>
      <c r="Z443" s="9">
        <v>0</v>
      </c>
      <c r="AA443" s="9">
        <f t="shared" si="205"/>
        <v>144600.6</v>
      </c>
      <c r="AB443" s="9">
        <v>115213.75999999999</v>
      </c>
      <c r="AC443" s="9">
        <v>29386.84</v>
      </c>
      <c r="AD443" s="45">
        <f t="shared" si="195"/>
        <v>7230029.0599999996</v>
      </c>
      <c r="AE443" s="9">
        <v>125283.56</v>
      </c>
      <c r="AF443" s="9">
        <f t="shared" si="206"/>
        <v>7355312.6199999992</v>
      </c>
      <c r="AG443" s="60" t="s">
        <v>966</v>
      </c>
      <c r="AH443" s="14" t="s">
        <v>1718</v>
      </c>
      <c r="AI443" s="1">
        <f>2989084.5+138744.31+504052.17+175482.8+697385.83+985436.75-18731.85+479161.34-42061.19-32073.11-30697.52</f>
        <v>5845784.0299999993</v>
      </c>
      <c r="AJ443" s="1">
        <f>432152.92+26459.23+96125.26+71707.5+132994.92+240620.64+18731.85+23268.78+42061.19+30697.52</f>
        <v>1114819.81</v>
      </c>
    </row>
    <row r="444" spans="1:109" ht="119.25" customHeight="1" x14ac:dyDescent="0.25">
      <c r="A444" s="5">
        <f t="shared" si="196"/>
        <v>441</v>
      </c>
      <c r="B444" s="16">
        <v>112241</v>
      </c>
      <c r="C444" s="70">
        <v>291</v>
      </c>
      <c r="D444" s="5" t="s">
        <v>143</v>
      </c>
      <c r="E444" s="18" t="s">
        <v>271</v>
      </c>
      <c r="F444" s="121" t="s">
        <v>843</v>
      </c>
      <c r="G444" s="5" t="s">
        <v>844</v>
      </c>
      <c r="H444" s="5" t="s">
        <v>845</v>
      </c>
      <c r="I444" s="15" t="s">
        <v>846</v>
      </c>
      <c r="J444" s="2">
        <v>43332</v>
      </c>
      <c r="K444" s="2">
        <v>43819</v>
      </c>
      <c r="L444" s="17">
        <f t="shared" si="203"/>
        <v>82.583882850083839</v>
      </c>
      <c r="M444" s="3" t="s">
        <v>136</v>
      </c>
      <c r="N444" s="5" t="s">
        <v>638</v>
      </c>
      <c r="O444" s="5" t="s">
        <v>628</v>
      </c>
      <c r="P444" s="3" t="s">
        <v>275</v>
      </c>
      <c r="Q444" s="19" t="s">
        <v>34</v>
      </c>
      <c r="R444" s="9">
        <f t="shared" si="202"/>
        <v>824427.28</v>
      </c>
      <c r="S444" s="9">
        <v>664828.78</v>
      </c>
      <c r="T444" s="9">
        <v>159598.5</v>
      </c>
      <c r="U444" s="9">
        <f t="shared" si="207"/>
        <v>130597.97</v>
      </c>
      <c r="V444" s="54">
        <v>97455.03</v>
      </c>
      <c r="W444" s="54">
        <v>33142.94</v>
      </c>
      <c r="X444" s="9">
        <f t="shared" si="204"/>
        <v>26624.399999999998</v>
      </c>
      <c r="Y444" s="9">
        <v>19867.71</v>
      </c>
      <c r="Z444" s="9">
        <v>6756.69</v>
      </c>
      <c r="AA444" s="9">
        <f t="shared" si="205"/>
        <v>16641.12</v>
      </c>
      <c r="AB444" s="9">
        <v>13259.17</v>
      </c>
      <c r="AC444" s="9">
        <v>3381.95</v>
      </c>
      <c r="AD444" s="45">
        <f t="shared" si="195"/>
        <v>998290.77</v>
      </c>
      <c r="AE444" s="9"/>
      <c r="AF444" s="9">
        <f t="shared" si="206"/>
        <v>998290.77</v>
      </c>
      <c r="AG444" s="60" t="s">
        <v>966</v>
      </c>
      <c r="AH444" s="14"/>
      <c r="AI444" s="1">
        <f>750146.64-1652.46</f>
        <v>748494.18</v>
      </c>
      <c r="AJ444" s="1">
        <f>119349.39+1652.46</f>
        <v>121001.85</v>
      </c>
    </row>
    <row r="445" spans="1:109" ht="270" customHeight="1" x14ac:dyDescent="0.25">
      <c r="A445" s="5">
        <f t="shared" si="196"/>
        <v>442</v>
      </c>
      <c r="B445" s="16">
        <v>111881</v>
      </c>
      <c r="C445" s="70">
        <v>222</v>
      </c>
      <c r="D445" s="5" t="s">
        <v>143</v>
      </c>
      <c r="E445" s="18" t="s">
        <v>271</v>
      </c>
      <c r="F445" s="147" t="s">
        <v>847</v>
      </c>
      <c r="G445" s="3" t="s">
        <v>848</v>
      </c>
      <c r="H445" s="5" t="s">
        <v>849</v>
      </c>
      <c r="I445" s="42" t="s">
        <v>850</v>
      </c>
      <c r="J445" s="2">
        <v>43332</v>
      </c>
      <c r="K445" s="2">
        <v>43819</v>
      </c>
      <c r="L445" s="17">
        <f t="shared" si="203"/>
        <v>82.304193109047048</v>
      </c>
      <c r="M445" s="3" t="s">
        <v>136</v>
      </c>
      <c r="N445" s="5" t="s">
        <v>262</v>
      </c>
      <c r="O445" s="5" t="s">
        <v>262</v>
      </c>
      <c r="P445" s="3" t="s">
        <v>275</v>
      </c>
      <c r="Q445" s="5" t="s">
        <v>34</v>
      </c>
      <c r="R445" s="9">
        <f t="shared" si="202"/>
        <v>817219.92999999993</v>
      </c>
      <c r="S445" s="9">
        <v>659016.73</v>
      </c>
      <c r="T445" s="9">
        <v>158203.20000000001</v>
      </c>
      <c r="U445" s="9">
        <f t="shared" si="207"/>
        <v>155847.79</v>
      </c>
      <c r="V445" s="54">
        <v>116297.02</v>
      </c>
      <c r="W445" s="54">
        <v>39550.769999999997</v>
      </c>
      <c r="X445" s="9">
        <f t="shared" si="204"/>
        <v>19858.52</v>
      </c>
      <c r="Y445" s="9">
        <v>15822.64</v>
      </c>
      <c r="Z445" s="9">
        <v>4035.88</v>
      </c>
      <c r="AA445" s="9">
        <f t="shared" si="205"/>
        <v>0</v>
      </c>
      <c r="AB445" s="9">
        <v>0</v>
      </c>
      <c r="AC445" s="9">
        <v>0</v>
      </c>
      <c r="AD445" s="45">
        <f t="shared" si="195"/>
        <v>992926.24</v>
      </c>
      <c r="AE445" s="9"/>
      <c r="AF445" s="9">
        <f t="shared" si="206"/>
        <v>992926.24</v>
      </c>
      <c r="AG445" s="60" t="s">
        <v>966</v>
      </c>
      <c r="AH445" s="14" t="s">
        <v>1097</v>
      </c>
      <c r="AI445" s="1">
        <f>99292.62-14519.17+90653.42-15093.22+94237.53+80664.42-14592.29+91109.94+330680.29</f>
        <v>742433.54</v>
      </c>
      <c r="AJ445" s="1">
        <f>14519.17+15093.22+15383.12+14592.29+81997.93</f>
        <v>141585.72999999998</v>
      </c>
    </row>
    <row r="446" spans="1:109" ht="252" x14ac:dyDescent="0.25">
      <c r="A446" s="5">
        <f t="shared" si="196"/>
        <v>443</v>
      </c>
      <c r="B446" s="16">
        <v>111434</v>
      </c>
      <c r="C446" s="70">
        <v>141</v>
      </c>
      <c r="D446" s="5" t="s">
        <v>143</v>
      </c>
      <c r="E446" s="18" t="s">
        <v>271</v>
      </c>
      <c r="F446" s="121" t="s">
        <v>855</v>
      </c>
      <c r="G446" s="5" t="s">
        <v>856</v>
      </c>
      <c r="H446" s="5" t="s">
        <v>857</v>
      </c>
      <c r="I446" s="15" t="s">
        <v>921</v>
      </c>
      <c r="J446" s="2">
        <v>43332</v>
      </c>
      <c r="K446" s="2">
        <v>43881</v>
      </c>
      <c r="L446" s="17">
        <f t="shared" si="203"/>
        <v>82.30418537074344</v>
      </c>
      <c r="M446" s="5" t="s">
        <v>273</v>
      </c>
      <c r="N446" s="5" t="s">
        <v>262</v>
      </c>
      <c r="O446" s="5" t="s">
        <v>262</v>
      </c>
      <c r="P446" s="3" t="s">
        <v>275</v>
      </c>
      <c r="Q446" s="19" t="s">
        <v>34</v>
      </c>
      <c r="R446" s="9">
        <f t="shared" si="202"/>
        <v>822576.44</v>
      </c>
      <c r="S446" s="9">
        <v>663336.19999999995</v>
      </c>
      <c r="T446" s="9">
        <v>159240.24</v>
      </c>
      <c r="U446" s="9">
        <f t="shared" si="207"/>
        <v>156869.40000000002</v>
      </c>
      <c r="V446" s="54">
        <v>117059.35</v>
      </c>
      <c r="W446" s="54">
        <v>39810.050000000003</v>
      </c>
      <c r="X446" s="9">
        <f t="shared" si="204"/>
        <v>19988.68</v>
      </c>
      <c r="Y446" s="9">
        <v>15926.46</v>
      </c>
      <c r="Z446" s="9">
        <v>4062.22</v>
      </c>
      <c r="AA446" s="9">
        <f t="shared" si="205"/>
        <v>0</v>
      </c>
      <c r="AB446" s="9">
        <v>0</v>
      </c>
      <c r="AC446" s="9">
        <v>0</v>
      </c>
      <c r="AD446" s="45">
        <f t="shared" si="195"/>
        <v>999434.52</v>
      </c>
      <c r="AE446" s="9"/>
      <c r="AF446" s="9">
        <f t="shared" si="206"/>
        <v>999434.52</v>
      </c>
      <c r="AG446" s="60" t="s">
        <v>1685</v>
      </c>
      <c r="AH446" s="14" t="s">
        <v>1622</v>
      </c>
      <c r="AI446" s="1">
        <f>49971.72+83543.84+96913+21111.43+81377.76+128016.73+84993.07+90341.92+71327.12</f>
        <v>707596.59000000008</v>
      </c>
      <c r="AJ446" s="1">
        <f>24884.17+21127.4+22831.19+16208.59+25868.4+24022.36</f>
        <v>134942.10999999999</v>
      </c>
    </row>
    <row r="447" spans="1:109" ht="174" customHeight="1" x14ac:dyDescent="0.25">
      <c r="A447" s="5">
        <f t="shared" si="196"/>
        <v>444</v>
      </c>
      <c r="B447" s="16">
        <v>112374</v>
      </c>
      <c r="C447" s="70">
        <v>142</v>
      </c>
      <c r="D447" s="5" t="s">
        <v>143</v>
      </c>
      <c r="E447" s="18" t="s">
        <v>271</v>
      </c>
      <c r="F447" s="121" t="s">
        <v>860</v>
      </c>
      <c r="G447" s="5" t="s">
        <v>861</v>
      </c>
      <c r="H447" s="5" t="s">
        <v>299</v>
      </c>
      <c r="I447" s="15" t="s">
        <v>862</v>
      </c>
      <c r="J447" s="2">
        <v>43333</v>
      </c>
      <c r="K447" s="2">
        <v>43911</v>
      </c>
      <c r="L447" s="17">
        <f t="shared" si="203"/>
        <v>82.304182898535288</v>
      </c>
      <c r="M447" s="5" t="s">
        <v>273</v>
      </c>
      <c r="N447" s="5" t="s">
        <v>262</v>
      </c>
      <c r="O447" s="5" t="s">
        <v>262</v>
      </c>
      <c r="P447" s="3" t="s">
        <v>275</v>
      </c>
      <c r="Q447" s="5" t="s">
        <v>34</v>
      </c>
      <c r="R447" s="9">
        <f t="shared" si="202"/>
        <v>776266.51</v>
      </c>
      <c r="S447" s="9">
        <v>625991.30000000005</v>
      </c>
      <c r="T447" s="9">
        <v>150275.21</v>
      </c>
      <c r="U447" s="9">
        <f t="shared" si="207"/>
        <v>148037.87</v>
      </c>
      <c r="V447" s="54">
        <v>110469.08</v>
      </c>
      <c r="W447" s="54">
        <v>37568.79</v>
      </c>
      <c r="X447" s="9">
        <f t="shared" si="204"/>
        <v>0</v>
      </c>
      <c r="Y447" s="9">
        <v>0</v>
      </c>
      <c r="Z447" s="9">
        <v>0</v>
      </c>
      <c r="AA447" s="9">
        <f t="shared" si="205"/>
        <v>18863.37</v>
      </c>
      <c r="AB447" s="9">
        <v>15029.81</v>
      </c>
      <c r="AC447" s="9">
        <v>3833.56</v>
      </c>
      <c r="AD447" s="45">
        <f t="shared" si="195"/>
        <v>943167.75</v>
      </c>
      <c r="AE447" s="9">
        <v>0</v>
      </c>
      <c r="AF447" s="9">
        <f t="shared" si="206"/>
        <v>943167.75</v>
      </c>
      <c r="AG447" s="60" t="s">
        <v>966</v>
      </c>
      <c r="AH447" s="14" t="s">
        <v>1659</v>
      </c>
      <c r="AI447" s="1">
        <v>678261.97000000009</v>
      </c>
      <c r="AJ447" s="1">
        <v>129347.91000000002</v>
      </c>
    </row>
    <row r="448" spans="1:109" ht="189" x14ac:dyDescent="0.25">
      <c r="A448" s="5">
        <f t="shared" si="196"/>
        <v>445</v>
      </c>
      <c r="B448" s="16">
        <v>111379</v>
      </c>
      <c r="C448" s="70">
        <v>228</v>
      </c>
      <c r="D448" s="5" t="s">
        <v>143</v>
      </c>
      <c r="E448" s="18" t="s">
        <v>271</v>
      </c>
      <c r="F448" s="76" t="s">
        <v>863</v>
      </c>
      <c r="G448" s="33" t="s">
        <v>864</v>
      </c>
      <c r="H448" s="5" t="s">
        <v>865</v>
      </c>
      <c r="I448" s="15" t="s">
        <v>866</v>
      </c>
      <c r="J448" s="2">
        <v>43333</v>
      </c>
      <c r="K448" s="2">
        <v>43820</v>
      </c>
      <c r="L448" s="17">
        <f t="shared" si="203"/>
        <v>82.304192034439112</v>
      </c>
      <c r="M448" s="5" t="s">
        <v>273</v>
      </c>
      <c r="N448" s="5" t="s">
        <v>262</v>
      </c>
      <c r="O448" s="5" t="s">
        <v>262</v>
      </c>
      <c r="P448" s="3" t="s">
        <v>275</v>
      </c>
      <c r="Q448" s="5" t="s">
        <v>34</v>
      </c>
      <c r="R448" s="9">
        <f t="shared" si="202"/>
        <v>811155.73</v>
      </c>
      <c r="S448" s="9">
        <v>654126.39</v>
      </c>
      <c r="T448" s="9">
        <v>157029.34</v>
      </c>
      <c r="U448" s="9">
        <f t="shared" si="207"/>
        <v>154691.31</v>
      </c>
      <c r="V448" s="54">
        <v>115434</v>
      </c>
      <c r="W448" s="54">
        <v>39257.31</v>
      </c>
      <c r="X448" s="9">
        <f t="shared" si="204"/>
        <v>19711.18</v>
      </c>
      <c r="Y448" s="9">
        <v>15705.37</v>
      </c>
      <c r="Z448" s="9">
        <v>4005.81</v>
      </c>
      <c r="AA448" s="9">
        <f t="shared" si="205"/>
        <v>0</v>
      </c>
      <c r="AB448" s="9">
        <v>0</v>
      </c>
      <c r="AC448" s="9">
        <v>0</v>
      </c>
      <c r="AD448" s="45">
        <f t="shared" si="195"/>
        <v>985558.22000000009</v>
      </c>
      <c r="AE448" s="9"/>
      <c r="AF448" s="9">
        <f t="shared" si="206"/>
        <v>985558.22000000009</v>
      </c>
      <c r="AG448" s="60" t="s">
        <v>966</v>
      </c>
      <c r="AH448" s="14" t="s">
        <v>1518</v>
      </c>
      <c r="AI448" s="1">
        <f>91009.38-9270.26+57880.76-12678.05+33855.88+91009.38+115144.49+303539.89+74137.89</f>
        <v>744629.36</v>
      </c>
      <c r="AJ448" s="1">
        <f>9270.26+12678.05+8716.65+21958.63+75242.46+14138.42</f>
        <v>142004.47</v>
      </c>
    </row>
    <row r="449" spans="1:109" ht="264.75" customHeight="1" x14ac:dyDescent="0.25">
      <c r="A449" s="5">
        <f t="shared" si="196"/>
        <v>446</v>
      </c>
      <c r="B449" s="16">
        <v>112711</v>
      </c>
      <c r="C449" s="70">
        <v>209</v>
      </c>
      <c r="D449" s="104" t="s">
        <v>143</v>
      </c>
      <c r="E449" s="18" t="s">
        <v>271</v>
      </c>
      <c r="F449" s="121" t="s">
        <v>872</v>
      </c>
      <c r="G449" s="5" t="s">
        <v>873</v>
      </c>
      <c r="H449" s="104" t="s">
        <v>874</v>
      </c>
      <c r="I449" s="42" t="s">
        <v>875</v>
      </c>
      <c r="J449" s="2">
        <v>43335</v>
      </c>
      <c r="K449" s="2">
        <v>43822</v>
      </c>
      <c r="L449" s="17">
        <f t="shared" si="203"/>
        <v>82.640124999999998</v>
      </c>
      <c r="M449" s="5" t="s">
        <v>273</v>
      </c>
      <c r="N449" s="5" t="s">
        <v>262</v>
      </c>
      <c r="O449" s="5" t="s">
        <v>262</v>
      </c>
      <c r="P449" s="3" t="s">
        <v>275</v>
      </c>
      <c r="Q449" s="5" t="s">
        <v>34</v>
      </c>
      <c r="R449" s="9">
        <f t="shared" si="202"/>
        <v>826401.25</v>
      </c>
      <c r="S449" s="9">
        <v>666420.59</v>
      </c>
      <c r="T449" s="9">
        <v>159980.66</v>
      </c>
      <c r="U449" s="9">
        <f t="shared" si="207"/>
        <v>153598.75</v>
      </c>
      <c r="V449" s="54">
        <v>114416.53</v>
      </c>
      <c r="W449" s="54">
        <v>39182.22</v>
      </c>
      <c r="X449" s="9">
        <f t="shared" si="204"/>
        <v>20000</v>
      </c>
      <c r="Y449" s="9">
        <v>15935.46</v>
      </c>
      <c r="Z449" s="9">
        <v>4064.54</v>
      </c>
      <c r="AA449" s="9">
        <f t="shared" si="205"/>
        <v>0</v>
      </c>
      <c r="AB449" s="9">
        <v>0</v>
      </c>
      <c r="AC449" s="9">
        <v>0</v>
      </c>
      <c r="AD449" s="45">
        <f t="shared" si="195"/>
        <v>1000000</v>
      </c>
      <c r="AE449" s="9"/>
      <c r="AF449" s="9">
        <f t="shared" si="206"/>
        <v>1000000</v>
      </c>
      <c r="AG449" s="60" t="s">
        <v>966</v>
      </c>
      <c r="AH449" s="14" t="s">
        <v>849</v>
      </c>
      <c r="AI449" s="1">
        <f>98952.8+38728.19+96005.78+68225.96+103165.27+4938.26+145762.12+161102.5+9031.2+61138.02</f>
        <v>787050.1</v>
      </c>
      <c r="AJ449" s="1">
        <f>24992.94+30773.35+1365.53+941.74+26883.3+29808.77+1722.28+29615.87</f>
        <v>146103.78</v>
      </c>
    </row>
    <row r="450" spans="1:109" ht="146.25" customHeight="1" x14ac:dyDescent="0.25">
      <c r="A450" s="5">
        <f t="shared" si="196"/>
        <v>447</v>
      </c>
      <c r="B450" s="16">
        <v>112827</v>
      </c>
      <c r="C450" s="70">
        <v>305</v>
      </c>
      <c r="D450" s="5" t="s">
        <v>143</v>
      </c>
      <c r="E450" s="18" t="s">
        <v>271</v>
      </c>
      <c r="F450" s="121" t="s">
        <v>881</v>
      </c>
      <c r="G450" s="32" t="s">
        <v>880</v>
      </c>
      <c r="H450" s="5" t="s">
        <v>882</v>
      </c>
      <c r="I450" s="15" t="s">
        <v>883</v>
      </c>
      <c r="J450" s="2">
        <v>43325</v>
      </c>
      <c r="K450" s="2">
        <v>43812</v>
      </c>
      <c r="L450" s="17">
        <f t="shared" si="203"/>
        <v>82.304185909112974</v>
      </c>
      <c r="M450" s="5" t="s">
        <v>273</v>
      </c>
      <c r="N450" s="5" t="s">
        <v>264</v>
      </c>
      <c r="O450" s="5" t="s">
        <v>884</v>
      </c>
      <c r="P450" s="3" t="s">
        <v>275</v>
      </c>
      <c r="Q450" s="5" t="s">
        <v>34</v>
      </c>
      <c r="R450" s="9">
        <f t="shared" si="202"/>
        <v>819344.36</v>
      </c>
      <c r="S450" s="9">
        <v>660729.87</v>
      </c>
      <c r="T450" s="9">
        <v>158614.49</v>
      </c>
      <c r="U450" s="9">
        <f t="shared" si="207"/>
        <v>156253</v>
      </c>
      <c r="V450" s="54">
        <v>116599.38</v>
      </c>
      <c r="W450" s="54">
        <v>39653.620000000003</v>
      </c>
      <c r="X450" s="9">
        <f t="shared" si="204"/>
        <v>0</v>
      </c>
      <c r="Y450" s="9">
        <v>0</v>
      </c>
      <c r="Z450" s="9">
        <v>0</v>
      </c>
      <c r="AA450" s="9">
        <f t="shared" si="205"/>
        <v>19910.16</v>
      </c>
      <c r="AB450" s="9">
        <v>15863.84</v>
      </c>
      <c r="AC450" s="9">
        <v>4046.32</v>
      </c>
      <c r="AD450" s="45">
        <f t="shared" si="195"/>
        <v>995507.52</v>
      </c>
      <c r="AE450" s="9"/>
      <c r="AF450" s="9">
        <f t="shared" si="206"/>
        <v>995507.52</v>
      </c>
      <c r="AG450" s="50" t="s">
        <v>966</v>
      </c>
      <c r="AH450" s="14" t="s">
        <v>1553</v>
      </c>
      <c r="AI450" s="1">
        <f>165274.95+38664.92+10408+235707.44+78966.94+38496.07-3710.24+4162.74</f>
        <v>567970.81999999995</v>
      </c>
      <c r="AJ450" s="1">
        <f>22672.13+60694.84+16616.38+7341.42+990.1</f>
        <v>108314.87000000001</v>
      </c>
    </row>
    <row r="451" spans="1:109" ht="141.75" x14ac:dyDescent="0.25">
      <c r="A451" s="5">
        <f t="shared" si="196"/>
        <v>448</v>
      </c>
      <c r="B451" s="16">
        <v>112220</v>
      </c>
      <c r="C451" s="70">
        <v>239</v>
      </c>
      <c r="D451" s="104" t="s">
        <v>143</v>
      </c>
      <c r="E451" s="18" t="s">
        <v>271</v>
      </c>
      <c r="F451" s="8" t="s">
        <v>893</v>
      </c>
      <c r="G451" s="5" t="s">
        <v>1412</v>
      </c>
      <c r="H451" s="5" t="s">
        <v>894</v>
      </c>
      <c r="I451" s="15" t="s">
        <v>896</v>
      </c>
      <c r="J451" s="2">
        <v>43346</v>
      </c>
      <c r="K451" s="2">
        <v>43772</v>
      </c>
      <c r="L451" s="17">
        <f t="shared" si="203"/>
        <v>82.53761528755669</v>
      </c>
      <c r="M451" s="5" t="s">
        <v>273</v>
      </c>
      <c r="N451" s="5" t="s">
        <v>182</v>
      </c>
      <c r="O451" s="5" t="s">
        <v>895</v>
      </c>
      <c r="P451" s="3" t="s">
        <v>275</v>
      </c>
      <c r="Q451" s="5" t="s">
        <v>34</v>
      </c>
      <c r="R451" s="9">
        <f t="shared" si="202"/>
        <v>770988.47</v>
      </c>
      <c r="S451" s="9">
        <v>621735</v>
      </c>
      <c r="T451" s="9">
        <v>149253.47</v>
      </c>
      <c r="U451" s="9">
        <f t="shared" si="207"/>
        <v>126240.19</v>
      </c>
      <c r="V451" s="54">
        <v>94203.17</v>
      </c>
      <c r="W451" s="54">
        <v>32037.02</v>
      </c>
      <c r="X451" s="9">
        <f t="shared" si="204"/>
        <v>20791.07</v>
      </c>
      <c r="Y451" s="9">
        <v>15514.77</v>
      </c>
      <c r="Z451" s="9">
        <v>5276.3</v>
      </c>
      <c r="AA451" s="9">
        <f t="shared" si="205"/>
        <v>16085.85</v>
      </c>
      <c r="AB451" s="9">
        <v>12816.75</v>
      </c>
      <c r="AC451" s="9">
        <v>3269.1</v>
      </c>
      <c r="AD451" s="45">
        <f t="shared" si="195"/>
        <v>934105.57999999984</v>
      </c>
      <c r="AE451" s="9"/>
      <c r="AF451" s="9">
        <f t="shared" si="206"/>
        <v>934105.57999999984</v>
      </c>
      <c r="AG451" s="50" t="s">
        <v>966</v>
      </c>
      <c r="AH451" s="14" t="s">
        <v>296</v>
      </c>
      <c r="AI451" s="1">
        <f>539565.25+96369.35+53688.91+16794.02</f>
        <v>706417.53</v>
      </c>
      <c r="AJ451" s="1">
        <f>81386.87+28616.84+7174.44</f>
        <v>117178.15</v>
      </c>
    </row>
    <row r="452" spans="1:109" ht="141.75" x14ac:dyDescent="0.25">
      <c r="A452" s="5">
        <f t="shared" si="196"/>
        <v>449</v>
      </c>
      <c r="B452" s="16">
        <v>111775</v>
      </c>
      <c r="C452" s="70">
        <v>364</v>
      </c>
      <c r="D452" s="104" t="s">
        <v>143</v>
      </c>
      <c r="E452" s="18" t="s">
        <v>271</v>
      </c>
      <c r="F452" s="202" t="s">
        <v>897</v>
      </c>
      <c r="G452" s="34" t="s">
        <v>898</v>
      </c>
      <c r="H452" s="5" t="s">
        <v>899</v>
      </c>
      <c r="I452" s="15" t="s">
        <v>900</v>
      </c>
      <c r="J452" s="2">
        <v>43346</v>
      </c>
      <c r="K452" s="2">
        <v>43833</v>
      </c>
      <c r="L452" s="17">
        <f t="shared" si="203"/>
        <v>82.30418188922819</v>
      </c>
      <c r="M452" s="5" t="s">
        <v>273</v>
      </c>
      <c r="N452" s="5" t="s">
        <v>182</v>
      </c>
      <c r="O452" s="5" t="s">
        <v>406</v>
      </c>
      <c r="P452" s="3" t="s">
        <v>275</v>
      </c>
      <c r="Q452" s="5" t="s">
        <v>34</v>
      </c>
      <c r="R452" s="9">
        <f t="shared" ref="R452:R482" si="208">S452+T452</f>
        <v>779789.21</v>
      </c>
      <c r="S452" s="9">
        <v>628832.06999999995</v>
      </c>
      <c r="T452" s="9">
        <v>150957.14000000001</v>
      </c>
      <c r="U452" s="9">
        <f t="shared" si="207"/>
        <v>148709.68</v>
      </c>
      <c r="V452" s="54">
        <v>110970.39</v>
      </c>
      <c r="W452" s="54">
        <v>37739.29</v>
      </c>
      <c r="X452" s="9">
        <f t="shared" si="204"/>
        <v>0</v>
      </c>
      <c r="Y452" s="9">
        <v>0</v>
      </c>
      <c r="Z452" s="9">
        <v>0</v>
      </c>
      <c r="AA452" s="9">
        <f t="shared" si="205"/>
        <v>18948.97</v>
      </c>
      <c r="AB452" s="9">
        <v>15098.01</v>
      </c>
      <c r="AC452" s="9">
        <v>3850.96</v>
      </c>
      <c r="AD452" s="45">
        <f t="shared" si="195"/>
        <v>947447.85999999987</v>
      </c>
      <c r="AE452" s="9">
        <v>0</v>
      </c>
      <c r="AF452" s="9">
        <f t="shared" si="206"/>
        <v>947447.85999999987</v>
      </c>
      <c r="AG452" s="60" t="s">
        <v>966</v>
      </c>
      <c r="AH452" s="14" t="s">
        <v>296</v>
      </c>
      <c r="AI452" s="1">
        <f>94744.78+10125.98+94121.04-10122.56+91207.91+17880.02+109270.79+147206.72+63316.18</f>
        <v>617750.8600000001</v>
      </c>
      <c r="AJ452" s="1">
        <f>7252.41+12628.02+15463.44+21478.12+20838.49+28073.09+12074.67</f>
        <v>117808.24</v>
      </c>
    </row>
    <row r="453" spans="1:109" ht="141.75" x14ac:dyDescent="0.25">
      <c r="A453" s="5">
        <f t="shared" si="196"/>
        <v>450</v>
      </c>
      <c r="B453" s="16">
        <v>112027</v>
      </c>
      <c r="C453" s="70">
        <v>290</v>
      </c>
      <c r="D453" s="104" t="s">
        <v>143</v>
      </c>
      <c r="E453" s="18" t="s">
        <v>271</v>
      </c>
      <c r="F453" s="204" t="s">
        <v>904</v>
      </c>
      <c r="G453" s="21" t="s">
        <v>905</v>
      </c>
      <c r="H453" s="21" t="s">
        <v>299</v>
      </c>
      <c r="I453" s="15" t="s">
        <v>906</v>
      </c>
      <c r="J453" s="2">
        <v>43346</v>
      </c>
      <c r="K453" s="2">
        <v>43833</v>
      </c>
      <c r="L453" s="17">
        <f t="shared" si="203"/>
        <v>82.30418483269878</v>
      </c>
      <c r="M453" s="5" t="s">
        <v>273</v>
      </c>
      <c r="N453" s="5" t="s">
        <v>262</v>
      </c>
      <c r="O453" s="5" t="s">
        <v>262</v>
      </c>
      <c r="P453" s="3" t="s">
        <v>275</v>
      </c>
      <c r="Q453" s="5" t="s">
        <v>34</v>
      </c>
      <c r="R453" s="9">
        <f t="shared" si="208"/>
        <v>765927.6</v>
      </c>
      <c r="S453" s="9">
        <v>617653.87</v>
      </c>
      <c r="T453" s="9">
        <v>148273.73000000001</v>
      </c>
      <c r="U453" s="9">
        <f t="shared" si="207"/>
        <v>146066.19</v>
      </c>
      <c r="V453" s="54">
        <v>108997.75999999999</v>
      </c>
      <c r="W453" s="54">
        <v>37068.43</v>
      </c>
      <c r="X453" s="9">
        <f t="shared" si="204"/>
        <v>0</v>
      </c>
      <c r="Y453" s="9">
        <v>0</v>
      </c>
      <c r="Z453" s="9">
        <v>0</v>
      </c>
      <c r="AA453" s="9">
        <f t="shared" si="205"/>
        <v>18612.11</v>
      </c>
      <c r="AB453" s="9">
        <v>14829.62</v>
      </c>
      <c r="AC453" s="9">
        <v>3782.49</v>
      </c>
      <c r="AD453" s="45">
        <f t="shared" ref="AD453:AD516" si="209">R453+U453+X453+AA453</f>
        <v>930605.9</v>
      </c>
      <c r="AE453" s="9"/>
      <c r="AF453" s="9">
        <f t="shared" si="206"/>
        <v>930605.9</v>
      </c>
      <c r="AG453" s="60" t="s">
        <v>966</v>
      </c>
      <c r="AH453" s="14" t="s">
        <v>1248</v>
      </c>
      <c r="AI453" s="1">
        <f>459559.75+93000+163179.08+18037.22</f>
        <v>733776.04999999993</v>
      </c>
      <c r="AJ453" s="1">
        <f>87640.32+31119.04+21175.37</f>
        <v>139934.73000000001</v>
      </c>
    </row>
    <row r="454" spans="1:109" ht="141.75" x14ac:dyDescent="0.25">
      <c r="A454" s="5">
        <f t="shared" ref="A454:A517" si="210">A453+1</f>
        <v>451</v>
      </c>
      <c r="B454" s="16">
        <v>112733</v>
      </c>
      <c r="C454" s="70">
        <v>146</v>
      </c>
      <c r="D454" s="104" t="s">
        <v>143</v>
      </c>
      <c r="E454" s="18" t="s">
        <v>271</v>
      </c>
      <c r="F454" s="121" t="s">
        <v>910</v>
      </c>
      <c r="G454" s="5" t="s">
        <v>911</v>
      </c>
      <c r="H454" s="5" t="s">
        <v>912</v>
      </c>
      <c r="I454" s="15" t="s">
        <v>913</v>
      </c>
      <c r="J454" s="2">
        <v>43349</v>
      </c>
      <c r="K454" s="2">
        <v>43836</v>
      </c>
      <c r="L454" s="17">
        <f t="shared" si="203"/>
        <v>82.53318349196968</v>
      </c>
      <c r="M454" s="5" t="s">
        <v>273</v>
      </c>
      <c r="N454" s="5" t="s">
        <v>137</v>
      </c>
      <c r="O454" s="5" t="s">
        <v>137</v>
      </c>
      <c r="P454" s="3" t="s">
        <v>275</v>
      </c>
      <c r="Q454" s="5" t="s">
        <v>34</v>
      </c>
      <c r="R454" s="9">
        <f t="shared" si="208"/>
        <v>819750.19</v>
      </c>
      <c r="S454" s="9">
        <v>661057.13</v>
      </c>
      <c r="T454" s="9">
        <v>158693.06</v>
      </c>
      <c r="U454" s="9">
        <f t="shared" si="207"/>
        <v>134642.41999999998</v>
      </c>
      <c r="V454" s="54">
        <v>100473.09</v>
      </c>
      <c r="W454" s="54">
        <v>34169.33</v>
      </c>
      <c r="X454" s="9">
        <f t="shared" si="204"/>
        <v>21688.010000000002</v>
      </c>
      <c r="Y454" s="9">
        <v>16184.04</v>
      </c>
      <c r="Z454" s="9">
        <v>5503.97</v>
      </c>
      <c r="AA454" s="9">
        <f t="shared" si="205"/>
        <v>17156.47</v>
      </c>
      <c r="AB454" s="9">
        <v>13669.8</v>
      </c>
      <c r="AC454" s="9">
        <v>3486.67</v>
      </c>
      <c r="AD454" s="45">
        <f t="shared" si="209"/>
        <v>993237.08999999985</v>
      </c>
      <c r="AE454" s="9"/>
      <c r="AF454" s="9">
        <f t="shared" si="206"/>
        <v>993237.08999999985</v>
      </c>
      <c r="AG454" s="60" t="s">
        <v>966</v>
      </c>
      <c r="AH454" s="14" t="s">
        <v>296</v>
      </c>
      <c r="AI454" s="1">
        <f>85782.36-3113.23+78199.1+6754.09+75351.32+67788.76+80934.28+47367.75+243835.23+7975.27+6575.1</f>
        <v>697450.03</v>
      </c>
      <c r="AJ454" s="1">
        <f>12524.47+12068.37+12962.55+11810.14+16080.76+46500.56+1520.93</f>
        <v>113467.78</v>
      </c>
    </row>
    <row r="455" spans="1:109" ht="155.25" customHeight="1" x14ac:dyDescent="0.25">
      <c r="A455" s="5">
        <f t="shared" si="210"/>
        <v>452</v>
      </c>
      <c r="B455" s="16">
        <v>111432</v>
      </c>
      <c r="C455" s="70">
        <v>277</v>
      </c>
      <c r="D455" s="104" t="s">
        <v>143</v>
      </c>
      <c r="E455" s="18" t="s">
        <v>271</v>
      </c>
      <c r="F455" s="18" t="s">
        <v>915</v>
      </c>
      <c r="G455" s="5" t="s">
        <v>914</v>
      </c>
      <c r="H455" s="5" t="s">
        <v>916</v>
      </c>
      <c r="I455" s="42" t="s">
        <v>917</v>
      </c>
      <c r="J455" s="2">
        <v>43349</v>
      </c>
      <c r="K455" s="2">
        <v>43836</v>
      </c>
      <c r="L455" s="17">
        <f t="shared" si="203"/>
        <v>82.304186591731991</v>
      </c>
      <c r="M455" s="5" t="s">
        <v>273</v>
      </c>
      <c r="N455" s="5" t="s">
        <v>137</v>
      </c>
      <c r="O455" s="5" t="s">
        <v>137</v>
      </c>
      <c r="P455" s="3" t="s">
        <v>275</v>
      </c>
      <c r="Q455" s="5" t="s">
        <v>34</v>
      </c>
      <c r="R455" s="9">
        <f t="shared" si="208"/>
        <v>811369.98</v>
      </c>
      <c r="S455" s="9">
        <v>654299.23</v>
      </c>
      <c r="T455" s="9">
        <v>157070.75</v>
      </c>
      <c r="U455" s="9">
        <f t="shared" si="207"/>
        <v>154732.24</v>
      </c>
      <c r="V455" s="54">
        <v>115464.54</v>
      </c>
      <c r="W455" s="54">
        <v>39267.699999999997</v>
      </c>
      <c r="X455" s="9">
        <f t="shared" si="204"/>
        <v>0</v>
      </c>
      <c r="Y455" s="9">
        <v>0</v>
      </c>
      <c r="Z455" s="9">
        <v>0</v>
      </c>
      <c r="AA455" s="9">
        <f t="shared" si="205"/>
        <v>19716.38</v>
      </c>
      <c r="AB455" s="9">
        <v>15709.45</v>
      </c>
      <c r="AC455" s="9">
        <v>4006.93</v>
      </c>
      <c r="AD455" s="45">
        <f t="shared" si="209"/>
        <v>985818.6</v>
      </c>
      <c r="AE455" s="9">
        <v>0</v>
      </c>
      <c r="AF455" s="9">
        <f t="shared" si="206"/>
        <v>985818.6</v>
      </c>
      <c r="AG455" s="60" t="s">
        <v>966</v>
      </c>
      <c r="AH455" s="14" t="s">
        <v>1630</v>
      </c>
      <c r="AI455" s="1">
        <f>98500+28477.95+215174.75+92328.2+224990.6+149766.49-5027.14-10718.19</f>
        <v>793492.66</v>
      </c>
      <c r="AJ455" s="1">
        <f>23037.95+41034.92+43208.62+30634.3+13407.25</f>
        <v>151323.03999999998</v>
      </c>
    </row>
    <row r="456" spans="1:109" ht="330.75" x14ac:dyDescent="0.25">
      <c r="A456" s="5">
        <f t="shared" si="210"/>
        <v>453</v>
      </c>
      <c r="B456" s="16">
        <v>112592</v>
      </c>
      <c r="C456" s="16">
        <v>144</v>
      </c>
      <c r="D456" s="5" t="s">
        <v>143</v>
      </c>
      <c r="E456" s="18" t="s">
        <v>271</v>
      </c>
      <c r="F456" s="18" t="s">
        <v>918</v>
      </c>
      <c r="G456" s="5" t="s">
        <v>919</v>
      </c>
      <c r="H456" s="5" t="s">
        <v>296</v>
      </c>
      <c r="I456" s="15" t="s">
        <v>920</v>
      </c>
      <c r="J456" s="2">
        <v>43349</v>
      </c>
      <c r="K456" s="2">
        <v>43836</v>
      </c>
      <c r="L456" s="17">
        <f t="shared" si="203"/>
        <v>82.304195666897996</v>
      </c>
      <c r="M456" s="5" t="s">
        <v>273</v>
      </c>
      <c r="N456" s="5" t="s">
        <v>262</v>
      </c>
      <c r="O456" s="5" t="s">
        <v>262</v>
      </c>
      <c r="P456" s="3" t="s">
        <v>275</v>
      </c>
      <c r="Q456" s="19" t="s">
        <v>34</v>
      </c>
      <c r="R456" s="9">
        <f t="shared" si="208"/>
        <v>809057.98</v>
      </c>
      <c r="S456" s="9">
        <v>652434.75</v>
      </c>
      <c r="T456" s="9">
        <v>156623.23000000001</v>
      </c>
      <c r="U456" s="9">
        <f t="shared" si="207"/>
        <v>154291.24</v>
      </c>
      <c r="V456" s="54">
        <v>115135.49</v>
      </c>
      <c r="W456" s="54">
        <v>39155.75</v>
      </c>
      <c r="X456" s="9">
        <f t="shared" si="204"/>
        <v>0</v>
      </c>
      <c r="Y456" s="9">
        <v>0</v>
      </c>
      <c r="Z456" s="9">
        <v>0</v>
      </c>
      <c r="AA456" s="9">
        <f t="shared" si="205"/>
        <v>19660.18</v>
      </c>
      <c r="AB456" s="9">
        <v>15664.68</v>
      </c>
      <c r="AC456" s="9">
        <v>3995.5</v>
      </c>
      <c r="AD456" s="45">
        <f t="shared" si="209"/>
        <v>983009.4</v>
      </c>
      <c r="AE456" s="9">
        <v>0</v>
      </c>
      <c r="AF456" s="9">
        <f t="shared" si="206"/>
        <v>983009.4</v>
      </c>
      <c r="AG456" s="60" t="s">
        <v>966</v>
      </c>
      <c r="AH456" s="14" t="s">
        <v>296</v>
      </c>
      <c r="AI456" s="1">
        <f>409932.52+98300+186513.93+69525</f>
        <v>764271.45</v>
      </c>
      <c r="AJ456" s="1">
        <f>78176.15+54315.44+13258.71</f>
        <v>145750.29999999999</v>
      </c>
    </row>
    <row r="457" spans="1:109" ht="267.75" x14ac:dyDescent="0.25">
      <c r="A457" s="5">
        <f t="shared" si="210"/>
        <v>454</v>
      </c>
      <c r="B457" s="16">
        <v>111141</v>
      </c>
      <c r="C457" s="16">
        <v>312</v>
      </c>
      <c r="D457" s="5" t="s">
        <v>143</v>
      </c>
      <c r="E457" s="18" t="s">
        <v>271</v>
      </c>
      <c r="F457" s="18" t="s">
        <v>927</v>
      </c>
      <c r="G457" s="5" t="s">
        <v>928</v>
      </c>
      <c r="H457" s="5" t="s">
        <v>929</v>
      </c>
      <c r="I457" s="15" t="s">
        <v>930</v>
      </c>
      <c r="J457" s="2">
        <v>43349</v>
      </c>
      <c r="K457" s="2">
        <v>43836</v>
      </c>
      <c r="L457" s="17">
        <f t="shared" si="203"/>
        <v>82.8034002708998</v>
      </c>
      <c r="M457" s="5" t="s">
        <v>273</v>
      </c>
      <c r="N457" s="5" t="s">
        <v>262</v>
      </c>
      <c r="O457" s="5" t="s">
        <v>262</v>
      </c>
      <c r="P457" s="3" t="s">
        <v>275</v>
      </c>
      <c r="Q457" s="19" t="s">
        <v>34</v>
      </c>
      <c r="R457" s="9">
        <f t="shared" si="208"/>
        <v>826298.46000000008</v>
      </c>
      <c r="S457" s="9">
        <v>666337.68000000005</v>
      </c>
      <c r="T457" s="9">
        <v>159960.78</v>
      </c>
      <c r="U457" s="9">
        <f t="shared" si="207"/>
        <v>151647.47000000003</v>
      </c>
      <c r="V457" s="54">
        <v>112862.79000000001</v>
      </c>
      <c r="W457" s="54">
        <v>38784.680000000008</v>
      </c>
      <c r="X457" s="9">
        <f t="shared" si="204"/>
        <v>0</v>
      </c>
      <c r="Y457" s="9">
        <v>0</v>
      </c>
      <c r="Z457" s="9">
        <v>0</v>
      </c>
      <c r="AA457" s="9">
        <f t="shared" si="205"/>
        <v>19958.09</v>
      </c>
      <c r="AB457" s="9">
        <v>15902.08</v>
      </c>
      <c r="AC457" s="9">
        <v>4056.01</v>
      </c>
      <c r="AD457" s="45">
        <f t="shared" si="209"/>
        <v>997904.02000000014</v>
      </c>
      <c r="AE457" s="9">
        <v>0</v>
      </c>
      <c r="AF457" s="9">
        <f t="shared" si="206"/>
        <v>997904.02000000014</v>
      </c>
      <c r="AG457" s="60" t="s">
        <v>966</v>
      </c>
      <c r="AH457" s="14"/>
      <c r="AI457" s="1">
        <f>632254.35-10189.51+33087.89+85540.85+35748.72</f>
        <v>776442.29999999993</v>
      </c>
      <c r="AJ457" s="1">
        <f>11343.79+2719.14+19935.24+14501.99+9712.84+39877.8+10189.51+12230.9+14249.55+7931</f>
        <v>142691.75999999998</v>
      </c>
    </row>
    <row r="458" spans="1:109" ht="346.5" x14ac:dyDescent="0.25">
      <c r="A458" s="5">
        <f t="shared" si="210"/>
        <v>455</v>
      </c>
      <c r="B458" s="16">
        <v>110676</v>
      </c>
      <c r="C458" s="70">
        <v>129</v>
      </c>
      <c r="D458" s="5" t="s">
        <v>143</v>
      </c>
      <c r="E458" s="18" t="s">
        <v>271</v>
      </c>
      <c r="F458" s="8" t="s">
        <v>931</v>
      </c>
      <c r="G458" s="5" t="s">
        <v>932</v>
      </c>
      <c r="H458" s="5"/>
      <c r="I458" s="15" t="s">
        <v>933</v>
      </c>
      <c r="J458" s="2">
        <v>43350</v>
      </c>
      <c r="K458" s="2">
        <v>43715</v>
      </c>
      <c r="L458" s="17">
        <f t="shared" si="203"/>
        <v>82.304181371109394</v>
      </c>
      <c r="M458" s="5" t="s">
        <v>273</v>
      </c>
      <c r="N458" s="5" t="s">
        <v>262</v>
      </c>
      <c r="O458" s="5" t="s">
        <v>262</v>
      </c>
      <c r="P458" s="3" t="s">
        <v>275</v>
      </c>
      <c r="Q458" s="19" t="s">
        <v>34</v>
      </c>
      <c r="R458" s="9">
        <f t="shared" si="208"/>
        <v>815129.60000000009</v>
      </c>
      <c r="S458" s="9">
        <v>657331.03</v>
      </c>
      <c r="T458" s="9">
        <v>157798.57</v>
      </c>
      <c r="U458" s="9">
        <f t="shared" si="207"/>
        <v>155449.32</v>
      </c>
      <c r="V458" s="54">
        <v>115999.63</v>
      </c>
      <c r="W458" s="54">
        <v>39449.69</v>
      </c>
      <c r="X458" s="9">
        <f t="shared" si="204"/>
        <v>0</v>
      </c>
      <c r="Y458" s="9">
        <v>0</v>
      </c>
      <c r="Z458" s="9">
        <v>0</v>
      </c>
      <c r="AA458" s="9">
        <f t="shared" si="205"/>
        <v>19807.7</v>
      </c>
      <c r="AB458" s="9">
        <v>15782.23</v>
      </c>
      <c r="AC458" s="9">
        <v>4025.47</v>
      </c>
      <c r="AD458" s="45">
        <f t="shared" si="209"/>
        <v>990386.62000000011</v>
      </c>
      <c r="AE458" s="9">
        <v>0</v>
      </c>
      <c r="AF458" s="9">
        <f t="shared" si="206"/>
        <v>990386.62000000011</v>
      </c>
      <c r="AG458" s="50" t="s">
        <v>966</v>
      </c>
      <c r="AH458" s="14" t="s">
        <v>1124</v>
      </c>
      <c r="AI458" s="1">
        <f>743622.47+43643.44+7380.99</f>
        <v>794646.89999999991</v>
      </c>
      <c r="AJ458" s="1">
        <f>123314.06+26821.35+1407.6</f>
        <v>151543.01</v>
      </c>
    </row>
    <row r="459" spans="1:109" ht="189" x14ac:dyDescent="0.25">
      <c r="A459" s="5">
        <f t="shared" si="210"/>
        <v>456</v>
      </c>
      <c r="B459" s="16">
        <v>111475</v>
      </c>
      <c r="C459" s="70">
        <v>168</v>
      </c>
      <c r="D459" s="5" t="s">
        <v>143</v>
      </c>
      <c r="E459" s="18" t="s">
        <v>271</v>
      </c>
      <c r="F459" s="18" t="s">
        <v>938</v>
      </c>
      <c r="G459" s="5" t="s">
        <v>939</v>
      </c>
      <c r="H459" s="5"/>
      <c r="I459" s="15" t="s">
        <v>940</v>
      </c>
      <c r="J459" s="2">
        <v>43353</v>
      </c>
      <c r="K459" s="2">
        <v>44022</v>
      </c>
      <c r="L459" s="17">
        <f t="shared" si="203"/>
        <v>82.304183420576962</v>
      </c>
      <c r="M459" s="5" t="s">
        <v>273</v>
      </c>
      <c r="N459" s="5" t="s">
        <v>262</v>
      </c>
      <c r="O459" s="5" t="s">
        <v>262</v>
      </c>
      <c r="P459" s="3" t="s">
        <v>275</v>
      </c>
      <c r="Q459" s="19" t="s">
        <v>34</v>
      </c>
      <c r="R459" s="9">
        <f t="shared" si="208"/>
        <v>771409.35000000009</v>
      </c>
      <c r="S459" s="9">
        <v>622074.41</v>
      </c>
      <c r="T459" s="9">
        <v>149334.94</v>
      </c>
      <c r="U459" s="9">
        <f t="shared" si="207"/>
        <v>147111.59</v>
      </c>
      <c r="V459" s="54">
        <v>109777.84</v>
      </c>
      <c r="W459" s="54">
        <v>37333.75</v>
      </c>
      <c r="X459" s="9">
        <f t="shared" si="204"/>
        <v>0</v>
      </c>
      <c r="Y459" s="9">
        <v>0</v>
      </c>
      <c r="Z459" s="9">
        <v>0</v>
      </c>
      <c r="AA459" s="9">
        <f t="shared" si="205"/>
        <v>18745.329999999998</v>
      </c>
      <c r="AB459" s="9">
        <v>14935.8</v>
      </c>
      <c r="AC459" s="9">
        <v>3809.53</v>
      </c>
      <c r="AD459" s="45">
        <f t="shared" si="209"/>
        <v>937266.27</v>
      </c>
      <c r="AE459" s="9">
        <v>0</v>
      </c>
      <c r="AF459" s="9">
        <f t="shared" si="206"/>
        <v>937266.27</v>
      </c>
      <c r="AG459" s="50" t="s">
        <v>966</v>
      </c>
      <c r="AH459" s="14" t="s">
        <v>1538</v>
      </c>
      <c r="AI459" s="1">
        <f>588678.78+85709.9-9801.35</f>
        <v>664587.33000000007</v>
      </c>
      <c r="AJ459" s="1">
        <f>94389.89+16345.34+16004.96</f>
        <v>126740.19</v>
      </c>
    </row>
    <row r="460" spans="1:109" ht="173.25" x14ac:dyDescent="0.25">
      <c r="A460" s="5">
        <f t="shared" si="210"/>
        <v>457</v>
      </c>
      <c r="B460" s="28">
        <v>118813</v>
      </c>
      <c r="C460" s="34">
        <v>449</v>
      </c>
      <c r="D460" s="8" t="s">
        <v>1982</v>
      </c>
      <c r="E460" s="18" t="s">
        <v>560</v>
      </c>
      <c r="F460" s="3" t="s">
        <v>935</v>
      </c>
      <c r="G460" s="5" t="s">
        <v>2090</v>
      </c>
      <c r="H460" s="3" t="s">
        <v>1593</v>
      </c>
      <c r="I460" s="205" t="s">
        <v>937</v>
      </c>
      <c r="J460" s="2">
        <v>43350</v>
      </c>
      <c r="K460" s="2">
        <v>44537</v>
      </c>
      <c r="L460" s="17">
        <f t="shared" si="203"/>
        <v>83.983861774070718</v>
      </c>
      <c r="M460" s="5" t="s">
        <v>273</v>
      </c>
      <c r="N460" s="5" t="s">
        <v>262</v>
      </c>
      <c r="O460" s="5" t="s">
        <v>262</v>
      </c>
      <c r="P460" s="3" t="s">
        <v>138</v>
      </c>
      <c r="Q460" s="19" t="s">
        <v>34</v>
      </c>
      <c r="R460" s="9">
        <f t="shared" si="208"/>
        <v>4791834.12</v>
      </c>
      <c r="S460" s="9">
        <v>3864196.71</v>
      </c>
      <c r="T460" s="9">
        <v>927637.41</v>
      </c>
      <c r="U460" s="9">
        <f t="shared" si="207"/>
        <v>0</v>
      </c>
      <c r="V460" s="54">
        <v>0</v>
      </c>
      <c r="W460" s="54">
        <v>0</v>
      </c>
      <c r="X460" s="9">
        <f t="shared" si="204"/>
        <v>913826.49</v>
      </c>
      <c r="Y460" s="9">
        <v>681917.14</v>
      </c>
      <c r="Z460" s="9">
        <v>231909.35</v>
      </c>
      <c r="AA460" s="9">
        <f t="shared" si="205"/>
        <v>0</v>
      </c>
      <c r="AB460" s="9">
        <v>0</v>
      </c>
      <c r="AC460" s="9">
        <v>0</v>
      </c>
      <c r="AD460" s="45">
        <f t="shared" si="209"/>
        <v>5705660.6100000003</v>
      </c>
      <c r="AE460" s="9">
        <v>0</v>
      </c>
      <c r="AF460" s="9">
        <f t="shared" si="206"/>
        <v>5705660.6100000003</v>
      </c>
      <c r="AG460" s="60" t="s">
        <v>515</v>
      </c>
      <c r="AH460" s="198" t="s">
        <v>2042</v>
      </c>
      <c r="AI460" s="1">
        <f>15282.4+285261.79+452078.97</f>
        <v>752623.15999999992</v>
      </c>
      <c r="AJ460" s="1">
        <v>0</v>
      </c>
    </row>
    <row r="461" spans="1:109" ht="236.25" x14ac:dyDescent="0.25">
      <c r="A461" s="5">
        <f t="shared" si="210"/>
        <v>458</v>
      </c>
      <c r="B461" s="16">
        <v>126532</v>
      </c>
      <c r="C461" s="16">
        <v>500</v>
      </c>
      <c r="D461" s="138" t="s">
        <v>1984</v>
      </c>
      <c r="E461" s="8" t="s">
        <v>1130</v>
      </c>
      <c r="F461" s="8" t="s">
        <v>1134</v>
      </c>
      <c r="G461" s="5" t="s">
        <v>1133</v>
      </c>
      <c r="H461" s="5" t="s">
        <v>151</v>
      </c>
      <c r="I461" s="77" t="s">
        <v>1135</v>
      </c>
      <c r="J461" s="2">
        <v>43516</v>
      </c>
      <c r="K461" s="2">
        <v>44336</v>
      </c>
      <c r="L461" s="17">
        <f t="shared" si="203"/>
        <v>83.299999838210468</v>
      </c>
      <c r="M461" s="5" t="s">
        <v>1136</v>
      </c>
      <c r="N461" s="5" t="s">
        <v>1137</v>
      </c>
      <c r="O461" s="5" t="s">
        <v>1137</v>
      </c>
      <c r="P461" s="5" t="s">
        <v>275</v>
      </c>
      <c r="Q461" s="5" t="s">
        <v>34</v>
      </c>
      <c r="R461" s="1">
        <f t="shared" si="208"/>
        <v>2059465.88</v>
      </c>
      <c r="S461" s="9">
        <v>2059465.88</v>
      </c>
      <c r="T461" s="9">
        <v>0</v>
      </c>
      <c r="U461" s="1">
        <f t="shared" si="207"/>
        <v>363435.16</v>
      </c>
      <c r="V461" s="54">
        <v>363435.16</v>
      </c>
      <c r="W461" s="54">
        <v>0</v>
      </c>
      <c r="X461" s="1">
        <f t="shared" si="204"/>
        <v>0</v>
      </c>
      <c r="Y461" s="9">
        <v>0</v>
      </c>
      <c r="Z461" s="9">
        <v>0</v>
      </c>
      <c r="AA461" s="9">
        <f t="shared" si="205"/>
        <v>49446.96</v>
      </c>
      <c r="AB461" s="9">
        <v>49446.96</v>
      </c>
      <c r="AC461" s="9">
        <v>0</v>
      </c>
      <c r="AD461" s="45">
        <f t="shared" si="209"/>
        <v>2472348</v>
      </c>
      <c r="AE461" s="9">
        <v>0</v>
      </c>
      <c r="AF461" s="9">
        <f t="shared" si="206"/>
        <v>2472348</v>
      </c>
      <c r="AG461" s="60" t="s">
        <v>966</v>
      </c>
      <c r="AH461" s="14" t="s">
        <v>2105</v>
      </c>
      <c r="AI461" s="1">
        <f>1040799.12+310822.29+233529.06-13700.94+290881.93</f>
        <v>1862331.46</v>
      </c>
      <c r="AJ461" s="1">
        <f>140041.6+54850.99+41211+41211+51332.11</f>
        <v>328646.69999999995</v>
      </c>
      <c r="AK461" s="75"/>
      <c r="AL461" s="75"/>
      <c r="AM461" s="75"/>
      <c r="AN461" s="75"/>
      <c r="AO461" s="75"/>
      <c r="AP461" s="75"/>
      <c r="AQ461" s="75"/>
      <c r="AR461" s="75"/>
      <c r="AS461" s="75"/>
      <c r="AT461" s="75"/>
      <c r="AU461" s="75"/>
      <c r="AV461" s="75"/>
      <c r="AW461" s="75"/>
      <c r="AX461" s="75"/>
      <c r="AY461" s="75"/>
      <c r="AZ461" s="75"/>
      <c r="BA461" s="75"/>
      <c r="BB461" s="75"/>
      <c r="BC461" s="75"/>
      <c r="BD461" s="75"/>
      <c r="BE461" s="75"/>
      <c r="BF461" s="75"/>
      <c r="BG461" s="75"/>
      <c r="BH461" s="75"/>
      <c r="BI461" s="75"/>
      <c r="BJ461" s="75"/>
      <c r="BK461" s="75"/>
      <c r="BL461" s="75"/>
      <c r="BM461" s="75"/>
      <c r="BN461" s="75"/>
      <c r="BO461" s="75"/>
      <c r="BP461" s="75"/>
      <c r="BQ461" s="75"/>
      <c r="BR461" s="75"/>
      <c r="BS461" s="75"/>
      <c r="BT461" s="75"/>
      <c r="BU461" s="75"/>
      <c r="BV461" s="75"/>
      <c r="BW461" s="75"/>
      <c r="BX461" s="75"/>
      <c r="BY461" s="75"/>
      <c r="BZ461" s="75"/>
      <c r="CA461" s="75"/>
      <c r="CB461" s="75"/>
      <c r="CC461" s="75"/>
      <c r="CD461" s="75"/>
      <c r="CE461" s="75"/>
      <c r="CF461" s="75"/>
      <c r="CG461" s="75"/>
      <c r="CH461" s="75"/>
      <c r="CI461" s="75"/>
      <c r="CJ461" s="75"/>
      <c r="CK461" s="75"/>
      <c r="CL461" s="75"/>
      <c r="CM461" s="75"/>
      <c r="CN461" s="75"/>
      <c r="CO461" s="75"/>
      <c r="CP461" s="75"/>
      <c r="CQ461" s="75"/>
      <c r="CR461" s="75"/>
      <c r="CS461" s="75"/>
      <c r="CT461" s="75"/>
      <c r="CU461" s="75"/>
      <c r="CV461" s="75"/>
      <c r="CW461" s="75"/>
      <c r="CX461" s="75"/>
      <c r="CY461" s="75"/>
      <c r="CZ461" s="75"/>
      <c r="DA461" s="75"/>
      <c r="DB461" s="75"/>
      <c r="DC461" s="75"/>
      <c r="DD461" s="75"/>
      <c r="DE461" s="75"/>
    </row>
    <row r="462" spans="1:109" ht="189" x14ac:dyDescent="0.25">
      <c r="A462" s="5">
        <f t="shared" si="210"/>
        <v>459</v>
      </c>
      <c r="B462" s="16">
        <v>112820</v>
      </c>
      <c r="C462" s="70">
        <v>158</v>
      </c>
      <c r="D462" s="5" t="s">
        <v>143</v>
      </c>
      <c r="E462" s="18" t="s">
        <v>271</v>
      </c>
      <c r="F462" s="3" t="s">
        <v>945</v>
      </c>
      <c r="G462" s="3" t="s">
        <v>946</v>
      </c>
      <c r="H462" s="5" t="s">
        <v>296</v>
      </c>
      <c r="I462" s="15" t="s">
        <v>947</v>
      </c>
      <c r="J462" s="2">
        <v>43361</v>
      </c>
      <c r="K462" s="2">
        <v>43848</v>
      </c>
      <c r="L462" s="17">
        <f t="shared" si="203"/>
        <v>82.304187792803134</v>
      </c>
      <c r="M462" s="5" t="s">
        <v>273</v>
      </c>
      <c r="N462" s="5" t="s">
        <v>189</v>
      </c>
      <c r="O462" s="5" t="s">
        <v>948</v>
      </c>
      <c r="P462" s="3" t="s">
        <v>275</v>
      </c>
      <c r="Q462" s="19" t="s">
        <v>34</v>
      </c>
      <c r="R462" s="9">
        <f t="shared" si="208"/>
        <v>812316.49</v>
      </c>
      <c r="S462" s="9">
        <v>655062.44999999995</v>
      </c>
      <c r="T462" s="9">
        <v>157254.04</v>
      </c>
      <c r="U462" s="9">
        <f t="shared" si="207"/>
        <v>154912.73000000001</v>
      </c>
      <c r="V462" s="54">
        <v>115599.25</v>
      </c>
      <c r="W462" s="54">
        <v>39313.480000000003</v>
      </c>
      <c r="X462" s="9">
        <f t="shared" si="204"/>
        <v>0</v>
      </c>
      <c r="Y462" s="9">
        <v>0</v>
      </c>
      <c r="Z462" s="9">
        <v>0</v>
      </c>
      <c r="AA462" s="9">
        <f t="shared" si="205"/>
        <v>19739.38</v>
      </c>
      <c r="AB462" s="9">
        <v>15727.81</v>
      </c>
      <c r="AC462" s="9">
        <v>4011.57</v>
      </c>
      <c r="AD462" s="45">
        <f t="shared" si="209"/>
        <v>986968.6</v>
      </c>
      <c r="AE462" s="9"/>
      <c r="AF462" s="9">
        <f t="shared" si="206"/>
        <v>986968.6</v>
      </c>
      <c r="AG462" s="60" t="s">
        <v>966</v>
      </c>
      <c r="AH462" s="14"/>
      <c r="AI462" s="1">
        <f>385890.19+98696.6+156767.33+71161.76+44833.4</f>
        <v>757349.28</v>
      </c>
      <c r="AJ462" s="1">
        <f>73591.17+48718.2+13570.88+8549.93</f>
        <v>144430.18</v>
      </c>
    </row>
    <row r="463" spans="1:109" ht="204.75" x14ac:dyDescent="0.25">
      <c r="A463" s="5">
        <f t="shared" si="210"/>
        <v>460</v>
      </c>
      <c r="B463" s="16">
        <v>111916</v>
      </c>
      <c r="C463" s="70">
        <v>145</v>
      </c>
      <c r="D463" s="5" t="s">
        <v>143</v>
      </c>
      <c r="E463" s="18" t="s">
        <v>271</v>
      </c>
      <c r="F463" s="3" t="s">
        <v>949</v>
      </c>
      <c r="G463" s="3" t="s">
        <v>950</v>
      </c>
      <c r="H463" s="5" t="s">
        <v>296</v>
      </c>
      <c r="I463" s="15" t="s">
        <v>951</v>
      </c>
      <c r="J463" s="2">
        <v>43361</v>
      </c>
      <c r="K463" s="2">
        <v>43848</v>
      </c>
      <c r="L463" s="17">
        <f t="shared" si="203"/>
        <v>82.304185955094169</v>
      </c>
      <c r="M463" s="5" t="s">
        <v>273</v>
      </c>
      <c r="N463" s="5" t="s">
        <v>853</v>
      </c>
      <c r="O463" s="5" t="s">
        <v>853</v>
      </c>
      <c r="P463" s="3" t="s">
        <v>275</v>
      </c>
      <c r="Q463" s="19" t="s">
        <v>34</v>
      </c>
      <c r="R463" s="9">
        <f t="shared" si="208"/>
        <v>810699.03</v>
      </c>
      <c r="S463" s="9">
        <v>653758.11</v>
      </c>
      <c r="T463" s="9">
        <v>156940.92000000001</v>
      </c>
      <c r="U463" s="9">
        <f t="shared" si="207"/>
        <v>154604.29</v>
      </c>
      <c r="V463" s="54">
        <v>115369.07</v>
      </c>
      <c r="W463" s="54">
        <v>39235.22</v>
      </c>
      <c r="X463" s="9">
        <f t="shared" si="204"/>
        <v>0</v>
      </c>
      <c r="Y463" s="9">
        <v>0</v>
      </c>
      <c r="Z463" s="9">
        <v>0</v>
      </c>
      <c r="AA463" s="9">
        <f t="shared" si="205"/>
        <v>19700.080000000002</v>
      </c>
      <c r="AB463" s="9">
        <v>15696.51</v>
      </c>
      <c r="AC463" s="9">
        <v>4003.57</v>
      </c>
      <c r="AD463" s="45">
        <f t="shared" si="209"/>
        <v>985003.4</v>
      </c>
      <c r="AE463" s="9"/>
      <c r="AF463" s="9">
        <f t="shared" si="206"/>
        <v>985003.4</v>
      </c>
      <c r="AG463" s="60" t="s">
        <v>966</v>
      </c>
      <c r="AH463" s="14"/>
      <c r="AI463" s="1">
        <f>98000+15936.3+98000+14229.11+98000+184958.55+34915.59+218662.58+34786.69</f>
        <v>797488.81999999983</v>
      </c>
      <c r="AJ463" s="1">
        <f>21728.22+21402.65+35272.51+25347.65+41700.04+6633.99</f>
        <v>152085.06</v>
      </c>
    </row>
    <row r="464" spans="1:109" ht="96" customHeight="1" x14ac:dyDescent="0.25">
      <c r="A464" s="5">
        <f t="shared" si="210"/>
        <v>461</v>
      </c>
      <c r="B464" s="16">
        <v>116156</v>
      </c>
      <c r="C464" s="16">
        <v>392</v>
      </c>
      <c r="D464" s="5" t="s">
        <v>143</v>
      </c>
      <c r="E464" s="18" t="s">
        <v>385</v>
      </c>
      <c r="F464" s="32" t="s">
        <v>952</v>
      </c>
      <c r="G464" s="63" t="s">
        <v>2200</v>
      </c>
      <c r="H464" s="5" t="s">
        <v>953</v>
      </c>
      <c r="I464" s="8" t="s">
        <v>1911</v>
      </c>
      <c r="J464" s="2">
        <v>43356</v>
      </c>
      <c r="K464" s="2">
        <v>44452</v>
      </c>
      <c r="L464" s="17">
        <f t="shared" si="203"/>
        <v>83.98386240618575</v>
      </c>
      <c r="M464" s="5" t="s">
        <v>273</v>
      </c>
      <c r="N464" s="5" t="s">
        <v>262</v>
      </c>
      <c r="O464" s="5" t="s">
        <v>262</v>
      </c>
      <c r="P464" s="3" t="s">
        <v>138</v>
      </c>
      <c r="Q464" s="5" t="s">
        <v>34</v>
      </c>
      <c r="R464" s="9">
        <f t="shared" si="208"/>
        <v>2443303.91</v>
      </c>
      <c r="S464" s="9">
        <v>1970311.71</v>
      </c>
      <c r="T464" s="9">
        <v>472992.2</v>
      </c>
      <c r="U464" s="9">
        <f t="shared" si="207"/>
        <v>0</v>
      </c>
      <c r="V464" s="54">
        <v>0</v>
      </c>
      <c r="W464" s="54">
        <v>0</v>
      </c>
      <c r="X464" s="9">
        <f t="shared" ref="X464:X480" si="211">Y464+Z464</f>
        <v>465950.13</v>
      </c>
      <c r="Y464" s="9">
        <v>347702.1</v>
      </c>
      <c r="Z464" s="9">
        <v>118248.03</v>
      </c>
      <c r="AA464" s="9">
        <f t="shared" ref="AA464:AA487" si="212">AB464+AC464</f>
        <v>0</v>
      </c>
      <c r="AB464" s="9">
        <v>0</v>
      </c>
      <c r="AC464" s="9">
        <v>0</v>
      </c>
      <c r="AD464" s="45">
        <f t="shared" si="209"/>
        <v>2909254.04</v>
      </c>
      <c r="AE464" s="9"/>
      <c r="AF464" s="9">
        <f t="shared" ref="AF464:AF493" si="213">AD464+AE464</f>
        <v>2909254.04</v>
      </c>
      <c r="AG464" s="60" t="s">
        <v>1667</v>
      </c>
      <c r="AH464" s="14" t="s">
        <v>1985</v>
      </c>
      <c r="AI464" s="1">
        <f>194922.68+48813.95+146150.63+39090.27+127031.01+26684.2+32010.45+45499.94</f>
        <v>660203.12999999989</v>
      </c>
      <c r="AJ464" s="1">
        <v>0</v>
      </c>
    </row>
    <row r="465" spans="1:36" ht="141.75" x14ac:dyDescent="0.25">
      <c r="A465" s="5">
        <f t="shared" si="210"/>
        <v>462</v>
      </c>
      <c r="B465" s="16">
        <v>109770</v>
      </c>
      <c r="C465" s="70">
        <v>300</v>
      </c>
      <c r="D465" s="5" t="s">
        <v>143</v>
      </c>
      <c r="E465" s="18" t="s">
        <v>271</v>
      </c>
      <c r="F465" s="7" t="s">
        <v>1675</v>
      </c>
      <c r="G465" s="5" t="s">
        <v>954</v>
      </c>
      <c r="H465" s="5" t="s">
        <v>296</v>
      </c>
      <c r="I465" s="15" t="s">
        <v>955</v>
      </c>
      <c r="J465" s="2">
        <v>43362</v>
      </c>
      <c r="K465" s="2">
        <v>43849</v>
      </c>
      <c r="L465" s="17">
        <f t="shared" si="203"/>
        <v>82.304184197970017</v>
      </c>
      <c r="M465" s="5" t="s">
        <v>273</v>
      </c>
      <c r="N465" s="5" t="s">
        <v>262</v>
      </c>
      <c r="O465" s="5" t="s">
        <v>262</v>
      </c>
      <c r="P465" s="3" t="s">
        <v>275</v>
      </c>
      <c r="Q465" s="5" t="s">
        <v>34</v>
      </c>
      <c r="R465" s="9">
        <f t="shared" si="208"/>
        <v>786369.83000000007</v>
      </c>
      <c r="S465" s="9">
        <v>634138.80000000005</v>
      </c>
      <c r="T465" s="9">
        <v>152231.03</v>
      </c>
      <c r="U465" s="9">
        <f t="shared" si="207"/>
        <v>149964.62</v>
      </c>
      <c r="V465" s="54">
        <v>111906.86</v>
      </c>
      <c r="W465" s="54">
        <v>38057.760000000002</v>
      </c>
      <c r="X465" s="9">
        <f t="shared" si="211"/>
        <v>0</v>
      </c>
      <c r="Y465" s="9">
        <v>0</v>
      </c>
      <c r="Z465" s="9">
        <v>0</v>
      </c>
      <c r="AA465" s="9">
        <f t="shared" si="212"/>
        <v>19108.870000000003</v>
      </c>
      <c r="AB465" s="9">
        <v>15225.37</v>
      </c>
      <c r="AC465" s="9">
        <v>3883.5</v>
      </c>
      <c r="AD465" s="45">
        <f t="shared" si="209"/>
        <v>955443.32000000007</v>
      </c>
      <c r="AE465" s="9"/>
      <c r="AF465" s="9">
        <f t="shared" si="213"/>
        <v>955443.32000000007</v>
      </c>
      <c r="AG465" s="60" t="s">
        <v>966</v>
      </c>
      <c r="AH465" s="14"/>
      <c r="AI465" s="1">
        <f>495588.73+36434.18+37098.36+130866.04+63944.95-22724.91</f>
        <v>741207.35</v>
      </c>
      <c r="AJ465" s="1">
        <f>13512.19+19201.01+11646.04+10486.67+21444.53+15302.78+16400.64+17142.5+2328.48+13886.98</f>
        <v>141351.82</v>
      </c>
    </row>
    <row r="466" spans="1:36" ht="141.75" x14ac:dyDescent="0.25">
      <c r="A466" s="5">
        <f t="shared" si="210"/>
        <v>463</v>
      </c>
      <c r="B466" s="16">
        <v>112155</v>
      </c>
      <c r="C466" s="70">
        <v>224</v>
      </c>
      <c r="D466" s="5" t="s">
        <v>143</v>
      </c>
      <c r="E466" s="18" t="s">
        <v>271</v>
      </c>
      <c r="F466" s="32" t="s">
        <v>956</v>
      </c>
      <c r="G466" s="5" t="s">
        <v>1571</v>
      </c>
      <c r="H466" s="5" t="s">
        <v>957</v>
      </c>
      <c r="I466" s="15" t="s">
        <v>958</v>
      </c>
      <c r="J466" s="2">
        <v>43362</v>
      </c>
      <c r="K466" s="2">
        <v>44031</v>
      </c>
      <c r="L466" s="17">
        <f t="shared" si="203"/>
        <v>82.838167350644355</v>
      </c>
      <c r="M466" s="5" t="s">
        <v>273</v>
      </c>
      <c r="N466" s="5" t="s">
        <v>853</v>
      </c>
      <c r="O466" s="5" t="s">
        <v>853</v>
      </c>
      <c r="P466" s="3" t="s">
        <v>275</v>
      </c>
      <c r="Q466" s="5" t="s">
        <v>34</v>
      </c>
      <c r="R466" s="9">
        <f t="shared" si="208"/>
        <v>821979.65</v>
      </c>
      <c r="S466" s="9">
        <v>662854.93000000005</v>
      </c>
      <c r="T466" s="9">
        <v>159124.72</v>
      </c>
      <c r="U466" s="9">
        <f t="shared" si="207"/>
        <v>150446.54</v>
      </c>
      <c r="V466" s="54">
        <v>111947.56</v>
      </c>
      <c r="W466" s="54">
        <v>38498.980000000003</v>
      </c>
      <c r="X466" s="9">
        <f t="shared" si="211"/>
        <v>6308.99</v>
      </c>
      <c r="Y466" s="9">
        <v>5026.84</v>
      </c>
      <c r="Z466" s="9">
        <v>1282.1500000000001</v>
      </c>
      <c r="AA466" s="9">
        <f t="shared" si="212"/>
        <v>13536.47</v>
      </c>
      <c r="AB466" s="9">
        <v>10785.49</v>
      </c>
      <c r="AC466" s="9">
        <v>2750.98</v>
      </c>
      <c r="AD466" s="45">
        <f t="shared" si="209"/>
        <v>992271.65</v>
      </c>
      <c r="AE466" s="9"/>
      <c r="AF466" s="9">
        <f t="shared" si="213"/>
        <v>992271.65</v>
      </c>
      <c r="AG466" s="60" t="s">
        <v>966</v>
      </c>
      <c r="AH466" s="14" t="s">
        <v>1904</v>
      </c>
      <c r="AI466" s="1">
        <f>680682.08+95992.86</f>
        <v>776674.94</v>
      </c>
      <c r="AJ466" s="1">
        <f>124682.16+17920.66</f>
        <v>142602.82</v>
      </c>
    </row>
    <row r="467" spans="1:36" ht="267.75" x14ac:dyDescent="0.25">
      <c r="A467" s="5">
        <f t="shared" si="210"/>
        <v>464</v>
      </c>
      <c r="B467" s="16">
        <v>111612</v>
      </c>
      <c r="C467" s="70">
        <v>153</v>
      </c>
      <c r="D467" s="5" t="s">
        <v>143</v>
      </c>
      <c r="E467" s="18" t="s">
        <v>271</v>
      </c>
      <c r="F467" s="8" t="s">
        <v>962</v>
      </c>
      <c r="G467" s="5" t="s">
        <v>963</v>
      </c>
      <c r="H467" s="5" t="s">
        <v>964</v>
      </c>
      <c r="I467" s="15" t="s">
        <v>965</v>
      </c>
      <c r="J467" s="2">
        <v>43371</v>
      </c>
      <c r="K467" s="2">
        <v>43889</v>
      </c>
      <c r="L467" s="17">
        <f t="shared" si="203"/>
        <v>82.304183068176116</v>
      </c>
      <c r="M467" s="5" t="s">
        <v>273</v>
      </c>
      <c r="N467" s="5" t="s">
        <v>262</v>
      </c>
      <c r="O467" s="5" t="s">
        <v>262</v>
      </c>
      <c r="P467" s="3" t="s">
        <v>275</v>
      </c>
      <c r="Q467" s="5" t="s">
        <v>34</v>
      </c>
      <c r="R467" s="9">
        <f t="shared" si="208"/>
        <v>719578.88</v>
      </c>
      <c r="S467" s="9">
        <v>580277.67000000004</v>
      </c>
      <c r="T467" s="9">
        <v>139301.21</v>
      </c>
      <c r="U467" s="9">
        <f t="shared" si="207"/>
        <v>137227.27000000002</v>
      </c>
      <c r="V467" s="54">
        <v>102401.97</v>
      </c>
      <c r="W467" s="54">
        <v>34825.300000000003</v>
      </c>
      <c r="X467" s="9">
        <f t="shared" si="211"/>
        <v>0</v>
      </c>
      <c r="Y467" s="9">
        <v>0</v>
      </c>
      <c r="Z467" s="9">
        <v>0</v>
      </c>
      <c r="AA467" s="9">
        <f t="shared" si="212"/>
        <v>17485.84</v>
      </c>
      <c r="AB467" s="9">
        <v>13932.24</v>
      </c>
      <c r="AC467" s="9">
        <v>3553.6</v>
      </c>
      <c r="AD467" s="45">
        <f t="shared" si="209"/>
        <v>874291.99</v>
      </c>
      <c r="AE467" s="9"/>
      <c r="AF467" s="9">
        <f t="shared" si="213"/>
        <v>874291.99</v>
      </c>
      <c r="AG467" s="60" t="s">
        <v>1685</v>
      </c>
      <c r="AH467" s="14"/>
      <c r="AI467" s="1">
        <v>557994.05000000005</v>
      </c>
      <c r="AJ467" s="1">
        <v>106412.25</v>
      </c>
    </row>
    <row r="468" spans="1:36" ht="390" customHeight="1" x14ac:dyDescent="0.25">
      <c r="A468" s="5">
        <f t="shared" si="210"/>
        <v>465</v>
      </c>
      <c r="B468" s="16">
        <v>110058</v>
      </c>
      <c r="C468" s="70">
        <v>302</v>
      </c>
      <c r="D468" s="5" t="s">
        <v>143</v>
      </c>
      <c r="E468" s="18" t="s">
        <v>271</v>
      </c>
      <c r="F468" s="32" t="s">
        <v>967</v>
      </c>
      <c r="G468" s="5" t="s">
        <v>968</v>
      </c>
      <c r="H468" s="5" t="s">
        <v>969</v>
      </c>
      <c r="I468" s="42" t="s">
        <v>970</v>
      </c>
      <c r="J468" s="2">
        <v>43370</v>
      </c>
      <c r="K468" s="2">
        <v>43857</v>
      </c>
      <c r="L468" s="17">
        <f t="shared" si="203"/>
        <v>82.767157561916832</v>
      </c>
      <c r="M468" s="5" t="s">
        <v>273</v>
      </c>
      <c r="N468" s="5" t="s">
        <v>262</v>
      </c>
      <c r="O468" s="5" t="s">
        <v>262</v>
      </c>
      <c r="P468" s="3" t="s">
        <v>275</v>
      </c>
      <c r="Q468" s="5" t="s">
        <v>34</v>
      </c>
      <c r="R468" s="9">
        <f t="shared" si="208"/>
        <v>803873.75</v>
      </c>
      <c r="S468" s="9">
        <v>648254.14</v>
      </c>
      <c r="T468" s="9">
        <v>155619.60999999999</v>
      </c>
      <c r="U468" s="9">
        <f t="shared" si="207"/>
        <v>147948.57</v>
      </c>
      <c r="V468" s="54">
        <v>110131.78</v>
      </c>
      <c r="W468" s="54">
        <v>37816.79</v>
      </c>
      <c r="X468" s="9">
        <f t="shared" si="211"/>
        <v>0</v>
      </c>
      <c r="Y468" s="9">
        <v>0</v>
      </c>
      <c r="Z468" s="9">
        <v>0</v>
      </c>
      <c r="AA468" s="9">
        <f t="shared" si="212"/>
        <v>19424.939999999999</v>
      </c>
      <c r="AB468" s="9">
        <v>15477.26</v>
      </c>
      <c r="AC468" s="9">
        <v>3947.68</v>
      </c>
      <c r="AD468" s="45">
        <f t="shared" si="209"/>
        <v>971247.26</v>
      </c>
      <c r="AE468" s="11"/>
      <c r="AF468" s="9">
        <f t="shared" si="213"/>
        <v>971247.26</v>
      </c>
      <c r="AG468" s="60" t="s">
        <v>966</v>
      </c>
      <c r="AH468" s="14"/>
      <c r="AI468" s="1">
        <v>445374.68</v>
      </c>
      <c r="AJ468" s="1">
        <v>64020.07</v>
      </c>
    </row>
    <row r="469" spans="1:36" ht="390" customHeight="1" x14ac:dyDescent="0.25">
      <c r="A469" s="5">
        <f t="shared" si="210"/>
        <v>466</v>
      </c>
      <c r="B469" s="16">
        <v>111482</v>
      </c>
      <c r="C469" s="70">
        <v>133</v>
      </c>
      <c r="D469" s="5" t="s">
        <v>143</v>
      </c>
      <c r="E469" s="18" t="s">
        <v>271</v>
      </c>
      <c r="F469" s="8" t="s">
        <v>974</v>
      </c>
      <c r="G469" s="5" t="s">
        <v>973</v>
      </c>
      <c r="H469" s="5" t="s">
        <v>975</v>
      </c>
      <c r="I469" s="42" t="s">
        <v>976</v>
      </c>
      <c r="J469" s="2">
        <v>43376</v>
      </c>
      <c r="K469" s="2">
        <v>43864</v>
      </c>
      <c r="L469" s="17">
        <f t="shared" si="203"/>
        <v>82.928005929547282</v>
      </c>
      <c r="M469" s="5" t="s">
        <v>273</v>
      </c>
      <c r="N469" s="5" t="s">
        <v>255</v>
      </c>
      <c r="O469" s="5" t="s">
        <v>977</v>
      </c>
      <c r="P469" s="3" t="s">
        <v>275</v>
      </c>
      <c r="Q469" s="5" t="s">
        <v>34</v>
      </c>
      <c r="R469" s="9">
        <f t="shared" si="208"/>
        <v>795878.74</v>
      </c>
      <c r="S469" s="9">
        <v>641806.86</v>
      </c>
      <c r="T469" s="9">
        <v>154071.88</v>
      </c>
      <c r="U469" s="9">
        <f t="shared" si="207"/>
        <v>144649.33000000002</v>
      </c>
      <c r="V469" s="54">
        <v>107580.1</v>
      </c>
      <c r="W469" s="54">
        <v>37069.230000000003</v>
      </c>
      <c r="X469" s="9">
        <f t="shared" si="211"/>
        <v>0</v>
      </c>
      <c r="Y469" s="9">
        <v>0</v>
      </c>
      <c r="Z469" s="9">
        <v>0</v>
      </c>
      <c r="AA469" s="9">
        <f t="shared" si="212"/>
        <v>19194.440000000002</v>
      </c>
      <c r="AB469" s="9">
        <v>15293.61</v>
      </c>
      <c r="AC469" s="9">
        <v>3900.83</v>
      </c>
      <c r="AD469" s="45">
        <f t="shared" si="209"/>
        <v>959722.51</v>
      </c>
      <c r="AE469" s="11"/>
      <c r="AF469" s="9">
        <f t="shared" si="213"/>
        <v>959722.51</v>
      </c>
      <c r="AG469" s="60" t="s">
        <v>1685</v>
      </c>
      <c r="AH469" s="14"/>
      <c r="AI469" s="1">
        <f>452366.02+99602.01+111344.12+21724.75+63905.55-5611.91+3477.02</f>
        <v>746807.56</v>
      </c>
      <c r="AJ469" s="1">
        <f>80055.29+4398.75+19458.27+15146.77+4830.12+12009.98</f>
        <v>135899.18</v>
      </c>
    </row>
    <row r="470" spans="1:36" ht="390" customHeight="1" x14ac:dyDescent="0.25">
      <c r="A470" s="5">
        <f t="shared" si="210"/>
        <v>467</v>
      </c>
      <c r="B470" s="16">
        <v>112266</v>
      </c>
      <c r="C470" s="70">
        <v>310</v>
      </c>
      <c r="D470" s="5" t="s">
        <v>143</v>
      </c>
      <c r="E470" s="18" t="s">
        <v>271</v>
      </c>
      <c r="F470" s="8" t="s">
        <v>978</v>
      </c>
      <c r="G470" s="5" t="s">
        <v>979</v>
      </c>
      <c r="H470" s="5" t="s">
        <v>980</v>
      </c>
      <c r="I470" s="42" t="s">
        <v>981</v>
      </c>
      <c r="J470" s="2">
        <v>43376</v>
      </c>
      <c r="K470" s="2">
        <v>43802</v>
      </c>
      <c r="L470" s="17">
        <f t="shared" si="203"/>
        <v>83.010839519489394</v>
      </c>
      <c r="M470" s="5" t="s">
        <v>273</v>
      </c>
      <c r="N470" s="5" t="s">
        <v>262</v>
      </c>
      <c r="O470" s="5" t="s">
        <v>262</v>
      </c>
      <c r="P470" s="3" t="s">
        <v>138</v>
      </c>
      <c r="Q470" s="5" t="s">
        <v>34</v>
      </c>
      <c r="R470" s="9">
        <f t="shared" si="208"/>
        <v>830076.27</v>
      </c>
      <c r="S470" s="9">
        <v>669384.21</v>
      </c>
      <c r="T470" s="9">
        <v>160692.06</v>
      </c>
      <c r="U470" s="9">
        <f t="shared" si="207"/>
        <v>149885.79999999999</v>
      </c>
      <c r="V470" s="54">
        <v>111422.7</v>
      </c>
      <c r="W470" s="54">
        <v>38463.1</v>
      </c>
      <c r="X470" s="9">
        <f t="shared" si="211"/>
        <v>0</v>
      </c>
      <c r="Y470" s="9">
        <v>0</v>
      </c>
      <c r="Z470" s="9">
        <v>0</v>
      </c>
      <c r="AA470" s="9">
        <f t="shared" si="212"/>
        <v>19999.23</v>
      </c>
      <c r="AB470" s="9">
        <v>15934.82</v>
      </c>
      <c r="AC470" s="9">
        <v>4064.41</v>
      </c>
      <c r="AD470" s="45">
        <f t="shared" si="209"/>
        <v>999961.3</v>
      </c>
      <c r="AE470" s="11"/>
      <c r="AF470" s="9">
        <f t="shared" si="213"/>
        <v>999961.3</v>
      </c>
      <c r="AG470" s="50" t="s">
        <v>966</v>
      </c>
      <c r="AH470" s="14"/>
      <c r="AI470" s="1">
        <f>469376.77+159988.61+70050.81+33529.44+16757.29</f>
        <v>749702.91999999993</v>
      </c>
      <c r="AJ470" s="1">
        <f>66498.13+28816.19+19174.69+12319.23+7898.78</f>
        <v>134707.02000000002</v>
      </c>
    </row>
    <row r="471" spans="1:36" ht="390" customHeight="1" x14ac:dyDescent="0.25">
      <c r="A471" s="5">
        <f t="shared" si="210"/>
        <v>468</v>
      </c>
      <c r="B471" s="16">
        <v>118704</v>
      </c>
      <c r="C471" s="70">
        <v>434</v>
      </c>
      <c r="D471" s="8" t="s">
        <v>1982</v>
      </c>
      <c r="E471" s="18" t="s">
        <v>560</v>
      </c>
      <c r="F471" s="32" t="s">
        <v>982</v>
      </c>
      <c r="G471" s="5" t="s">
        <v>983</v>
      </c>
      <c r="H471" s="5" t="s">
        <v>299</v>
      </c>
      <c r="I471" s="42" t="s">
        <v>984</v>
      </c>
      <c r="J471" s="2">
        <v>43389</v>
      </c>
      <c r="K471" s="2">
        <v>43906</v>
      </c>
      <c r="L471" s="17">
        <f t="shared" si="203"/>
        <v>83.983864465105967</v>
      </c>
      <c r="M471" s="5" t="s">
        <v>273</v>
      </c>
      <c r="N471" s="5" t="s">
        <v>262</v>
      </c>
      <c r="O471" s="5" t="s">
        <v>262</v>
      </c>
      <c r="P471" s="3" t="s">
        <v>138</v>
      </c>
      <c r="Q471" s="19" t="s">
        <v>34</v>
      </c>
      <c r="R471" s="9">
        <f t="shared" si="208"/>
        <v>1448623.93</v>
      </c>
      <c r="S471" s="9">
        <v>1168188.98</v>
      </c>
      <c r="T471" s="9">
        <v>280434.95</v>
      </c>
      <c r="U471" s="9">
        <f t="shared" si="207"/>
        <v>0</v>
      </c>
      <c r="V471" s="54">
        <v>0</v>
      </c>
      <c r="W471" s="54">
        <v>0</v>
      </c>
      <c r="X471" s="9">
        <f t="shared" si="211"/>
        <v>0</v>
      </c>
      <c r="Y471" s="9">
        <v>0</v>
      </c>
      <c r="Z471" s="9">
        <v>0</v>
      </c>
      <c r="AA471" s="9">
        <f t="shared" si="212"/>
        <v>276259.7</v>
      </c>
      <c r="AB471" s="9">
        <v>206150.98</v>
      </c>
      <c r="AC471" s="9">
        <v>70108.72</v>
      </c>
      <c r="AD471" s="45">
        <f t="shared" si="209"/>
        <v>1724883.63</v>
      </c>
      <c r="AE471" s="11">
        <v>442846.63</v>
      </c>
      <c r="AF471" s="9">
        <f t="shared" si="213"/>
        <v>2167730.2599999998</v>
      </c>
      <c r="AG471" s="60" t="s">
        <v>966</v>
      </c>
      <c r="AH471" s="14" t="s">
        <v>1641</v>
      </c>
      <c r="AI471" s="1">
        <v>1389240.11</v>
      </c>
      <c r="AJ471" s="1">
        <v>0</v>
      </c>
    </row>
    <row r="472" spans="1:36" ht="288.75" customHeight="1" x14ac:dyDescent="0.25">
      <c r="A472" s="5">
        <f t="shared" si="210"/>
        <v>469</v>
      </c>
      <c r="B472" s="16">
        <v>111265</v>
      </c>
      <c r="C472" s="70">
        <v>156</v>
      </c>
      <c r="D472" s="5" t="s">
        <v>143</v>
      </c>
      <c r="E472" s="18" t="s">
        <v>271</v>
      </c>
      <c r="F472" s="32" t="s">
        <v>989</v>
      </c>
      <c r="G472" s="5" t="s">
        <v>1014</v>
      </c>
      <c r="H472" s="5" t="s">
        <v>990</v>
      </c>
      <c r="I472" s="42" t="s">
        <v>991</v>
      </c>
      <c r="J472" s="2">
        <v>43390</v>
      </c>
      <c r="K472" s="2">
        <v>44029</v>
      </c>
      <c r="L472" s="17">
        <f t="shared" si="203"/>
        <v>82.304182001288282</v>
      </c>
      <c r="M472" s="5" t="s">
        <v>273</v>
      </c>
      <c r="N472" s="5" t="s">
        <v>227</v>
      </c>
      <c r="O472" s="5" t="s">
        <v>227</v>
      </c>
      <c r="P472" s="3" t="s">
        <v>275</v>
      </c>
      <c r="Q472" s="5" t="s">
        <v>34</v>
      </c>
      <c r="R472" s="9">
        <f t="shared" si="208"/>
        <v>800497.47</v>
      </c>
      <c r="S472" s="9">
        <v>645531.5</v>
      </c>
      <c r="T472" s="9">
        <v>154965.97</v>
      </c>
      <c r="U472" s="9">
        <f>V472+W472</f>
        <v>152658.85</v>
      </c>
      <c r="V472" s="54">
        <v>113917.34</v>
      </c>
      <c r="W472" s="54">
        <v>38741.51</v>
      </c>
      <c r="X472" s="9">
        <f t="shared" si="211"/>
        <v>0</v>
      </c>
      <c r="Y472" s="9">
        <v>0</v>
      </c>
      <c r="Z472" s="9">
        <v>0</v>
      </c>
      <c r="AA472" s="9">
        <f t="shared" si="212"/>
        <v>19452.18</v>
      </c>
      <c r="AB472" s="9">
        <v>15498.93</v>
      </c>
      <c r="AC472" s="9">
        <v>3953.25</v>
      </c>
      <c r="AD472" s="45">
        <f t="shared" si="209"/>
        <v>972608.5</v>
      </c>
      <c r="AE472" s="11"/>
      <c r="AF472" s="9">
        <f t="shared" si="213"/>
        <v>972608.5</v>
      </c>
      <c r="AG472" s="60" t="s">
        <v>966</v>
      </c>
      <c r="AH472" s="14" t="s">
        <v>1906</v>
      </c>
      <c r="AI472" s="1">
        <f>699788.34+65000-20399.56</f>
        <v>744388.77999999991</v>
      </c>
      <c r="AJ472" s="1">
        <f>130435.52+11523.1</f>
        <v>141958.62</v>
      </c>
    </row>
    <row r="473" spans="1:36" ht="390" customHeight="1" x14ac:dyDescent="0.25">
      <c r="A473" s="5">
        <f t="shared" si="210"/>
        <v>470</v>
      </c>
      <c r="B473" s="16">
        <v>112719</v>
      </c>
      <c r="C473" s="70">
        <v>287</v>
      </c>
      <c r="D473" s="5" t="s">
        <v>143</v>
      </c>
      <c r="E473" s="18" t="s">
        <v>271</v>
      </c>
      <c r="F473" s="32" t="s">
        <v>1000</v>
      </c>
      <c r="G473" s="5" t="s">
        <v>1001</v>
      </c>
      <c r="H473" s="5" t="s">
        <v>1002</v>
      </c>
      <c r="I473" s="42" t="s">
        <v>1003</v>
      </c>
      <c r="J473" s="2">
        <v>43399</v>
      </c>
      <c r="K473" s="2">
        <v>43887</v>
      </c>
      <c r="L473" s="17">
        <f t="shared" si="203"/>
        <v>82.304184463081299</v>
      </c>
      <c r="M473" s="5" t="s">
        <v>273</v>
      </c>
      <c r="N473" s="5" t="s">
        <v>137</v>
      </c>
      <c r="O473" s="5" t="s">
        <v>137</v>
      </c>
      <c r="P473" s="3" t="s">
        <v>275</v>
      </c>
      <c r="Q473" s="5" t="s">
        <v>34</v>
      </c>
      <c r="R473" s="9">
        <f t="shared" si="208"/>
        <v>780735</v>
      </c>
      <c r="S473" s="9">
        <v>629594.75</v>
      </c>
      <c r="T473" s="9">
        <v>151140.25</v>
      </c>
      <c r="U473" s="9">
        <f t="shared" ref="U473:U499" si="214">V473+W473</f>
        <v>148890.03999999998</v>
      </c>
      <c r="V473" s="54">
        <v>111105.01</v>
      </c>
      <c r="W473" s="54">
        <v>37785.03</v>
      </c>
      <c r="X473" s="9">
        <f t="shared" si="211"/>
        <v>0</v>
      </c>
      <c r="Y473" s="9">
        <v>0</v>
      </c>
      <c r="Z473" s="9">
        <v>0</v>
      </c>
      <c r="AA473" s="9">
        <f t="shared" si="212"/>
        <v>18971.93</v>
      </c>
      <c r="AB473" s="9">
        <v>15116.28</v>
      </c>
      <c r="AC473" s="9">
        <v>3855.65</v>
      </c>
      <c r="AD473" s="45">
        <f t="shared" si="209"/>
        <v>948596.97000000009</v>
      </c>
      <c r="AE473" s="11"/>
      <c r="AF473" s="9">
        <f t="shared" si="213"/>
        <v>948596.97000000009</v>
      </c>
      <c r="AG473" s="60" t="s">
        <v>966</v>
      </c>
      <c r="AH473" s="14"/>
      <c r="AI473" s="1">
        <v>771851.04999999993</v>
      </c>
      <c r="AJ473" s="1">
        <v>147195.82</v>
      </c>
    </row>
    <row r="474" spans="1:36" ht="390" customHeight="1" x14ac:dyDescent="0.25">
      <c r="A474" s="5">
        <f t="shared" si="210"/>
        <v>471</v>
      </c>
      <c r="B474" s="16">
        <v>112591</v>
      </c>
      <c r="C474" s="70">
        <v>205</v>
      </c>
      <c r="D474" s="5" t="s">
        <v>143</v>
      </c>
      <c r="E474" s="18" t="s">
        <v>271</v>
      </c>
      <c r="F474" s="32" t="s">
        <v>1004</v>
      </c>
      <c r="G474" s="5" t="s">
        <v>1005</v>
      </c>
      <c r="H474" s="5" t="s">
        <v>1007</v>
      </c>
      <c r="I474" s="42" t="s">
        <v>1006</v>
      </c>
      <c r="J474" s="2">
        <v>43404</v>
      </c>
      <c r="K474" s="2">
        <v>44043</v>
      </c>
      <c r="L474" s="17">
        <f t="shared" si="203"/>
        <v>82.304185509371194</v>
      </c>
      <c r="M474" s="5" t="s">
        <v>273</v>
      </c>
      <c r="N474" s="5" t="s">
        <v>262</v>
      </c>
      <c r="O474" s="5" t="s">
        <v>262</v>
      </c>
      <c r="P474" s="3" t="s">
        <v>275</v>
      </c>
      <c r="Q474" s="5" t="s">
        <v>34</v>
      </c>
      <c r="R474" s="9">
        <f t="shared" si="208"/>
        <v>767059.33000000007</v>
      </c>
      <c r="S474" s="9">
        <v>618566.54</v>
      </c>
      <c r="T474" s="9">
        <v>148492.79</v>
      </c>
      <c r="U474" s="9">
        <f t="shared" si="214"/>
        <v>146282</v>
      </c>
      <c r="V474" s="54">
        <v>109158.78</v>
      </c>
      <c r="W474" s="54">
        <v>37123.22</v>
      </c>
      <c r="X474" s="9">
        <f t="shared" si="211"/>
        <v>0</v>
      </c>
      <c r="Y474" s="9">
        <v>0</v>
      </c>
      <c r="Z474" s="9">
        <v>0</v>
      </c>
      <c r="AA474" s="9">
        <f t="shared" si="212"/>
        <v>18639.620000000003</v>
      </c>
      <c r="AB474" s="9">
        <v>14851.53</v>
      </c>
      <c r="AC474" s="9">
        <v>3788.09</v>
      </c>
      <c r="AD474" s="45">
        <f t="shared" si="209"/>
        <v>931980.95000000007</v>
      </c>
      <c r="AE474" s="11"/>
      <c r="AF474" s="9">
        <f t="shared" si="213"/>
        <v>931980.95000000007</v>
      </c>
      <c r="AG474" s="60" t="s">
        <v>966</v>
      </c>
      <c r="AH474" s="14" t="s">
        <v>1690</v>
      </c>
      <c r="AI474" s="1">
        <f>666492.64+22146.42-19754.94</f>
        <v>668884.12000000011</v>
      </c>
      <c r="AJ474" s="1">
        <f>109685.73+4223.42+13650.28</f>
        <v>127559.43</v>
      </c>
    </row>
    <row r="475" spans="1:36" ht="390" customHeight="1" x14ac:dyDescent="0.25">
      <c r="A475" s="5">
        <f t="shared" si="210"/>
        <v>472</v>
      </c>
      <c r="B475" s="16">
        <v>109897</v>
      </c>
      <c r="C475" s="70">
        <v>159</v>
      </c>
      <c r="D475" s="5" t="s">
        <v>143</v>
      </c>
      <c r="E475" s="18" t="s">
        <v>271</v>
      </c>
      <c r="F475" s="32" t="s">
        <v>1012</v>
      </c>
      <c r="G475" s="5" t="s">
        <v>1013</v>
      </c>
      <c r="H475" s="5" t="s">
        <v>296</v>
      </c>
      <c r="I475" s="42" t="s">
        <v>1603</v>
      </c>
      <c r="J475" s="2">
        <v>43418</v>
      </c>
      <c r="K475" s="2">
        <v>44179</v>
      </c>
      <c r="L475" s="17">
        <f t="shared" si="203"/>
        <v>82.304185631079861</v>
      </c>
      <c r="M475" s="5" t="s">
        <v>273</v>
      </c>
      <c r="N475" s="5" t="s">
        <v>262</v>
      </c>
      <c r="O475" s="5" t="s">
        <v>137</v>
      </c>
      <c r="P475" s="3" t="s">
        <v>275</v>
      </c>
      <c r="Q475" s="5" t="s">
        <v>34</v>
      </c>
      <c r="R475" s="9">
        <f t="shared" si="208"/>
        <v>763718.81</v>
      </c>
      <c r="S475" s="9">
        <v>615872.68000000005</v>
      </c>
      <c r="T475" s="9">
        <v>147846.13</v>
      </c>
      <c r="U475" s="9">
        <f t="shared" si="214"/>
        <v>145644.94</v>
      </c>
      <c r="V475" s="54">
        <v>108683.39</v>
      </c>
      <c r="W475" s="54">
        <v>36961.550000000003</v>
      </c>
      <c r="X475" s="9">
        <f t="shared" si="211"/>
        <v>0</v>
      </c>
      <c r="Y475" s="9">
        <v>0</v>
      </c>
      <c r="Z475" s="9">
        <v>0</v>
      </c>
      <c r="AA475" s="9">
        <f t="shared" si="212"/>
        <v>18558.45</v>
      </c>
      <c r="AB475" s="9">
        <v>14786.89</v>
      </c>
      <c r="AC475" s="9">
        <v>3771.56</v>
      </c>
      <c r="AD475" s="45">
        <f t="shared" si="209"/>
        <v>927922.2</v>
      </c>
      <c r="AE475" s="11"/>
      <c r="AF475" s="9">
        <f t="shared" si="213"/>
        <v>927922.2</v>
      </c>
      <c r="AG475" s="60" t="s">
        <v>966</v>
      </c>
      <c r="AH475" s="14" t="s">
        <v>2015</v>
      </c>
      <c r="AI475" s="1">
        <f>574601.53+25027.07+25599.89+28316.77+19320.08</f>
        <v>672865.34</v>
      </c>
      <c r="AJ475" s="1">
        <f>109579.31+4772.77+4882.03+5400.13+3684.44</f>
        <v>128318.68000000001</v>
      </c>
    </row>
    <row r="476" spans="1:36" ht="141.75" x14ac:dyDescent="0.25">
      <c r="A476" s="5">
        <f t="shared" si="210"/>
        <v>473</v>
      </c>
      <c r="B476" s="16">
        <v>127778</v>
      </c>
      <c r="C476" s="70">
        <v>580</v>
      </c>
      <c r="D476" s="5" t="s">
        <v>143</v>
      </c>
      <c r="E476" s="18" t="s">
        <v>1125</v>
      </c>
      <c r="F476" s="32" t="s">
        <v>1061</v>
      </c>
      <c r="G476" s="3" t="s">
        <v>2124</v>
      </c>
      <c r="H476" s="5" t="s">
        <v>296</v>
      </c>
      <c r="I476" s="42" t="s">
        <v>1062</v>
      </c>
      <c r="J476" s="2">
        <v>43447</v>
      </c>
      <c r="K476" s="2">
        <v>44543</v>
      </c>
      <c r="L476" s="17">
        <f t="shared" si="203"/>
        <v>83.983863103096297</v>
      </c>
      <c r="M476" s="5" t="s">
        <v>273</v>
      </c>
      <c r="N476" s="5" t="s">
        <v>262</v>
      </c>
      <c r="O476" s="5" t="s">
        <v>262</v>
      </c>
      <c r="P476" s="3" t="s">
        <v>138</v>
      </c>
      <c r="Q476" s="5" t="s">
        <v>34</v>
      </c>
      <c r="R476" s="9">
        <f t="shared" si="208"/>
        <v>10837735.809999999</v>
      </c>
      <c r="S476" s="9">
        <v>8739689.6799999997</v>
      </c>
      <c r="T476" s="9">
        <v>2098046.13</v>
      </c>
      <c r="U476" s="9">
        <f t="shared" si="214"/>
        <v>0</v>
      </c>
      <c r="V476" s="54">
        <v>0</v>
      </c>
      <c r="W476" s="54">
        <v>0</v>
      </c>
      <c r="X476" s="9">
        <f t="shared" si="211"/>
        <v>2066809.67</v>
      </c>
      <c r="Y476" s="9">
        <v>1542298.16</v>
      </c>
      <c r="Z476" s="9">
        <v>524511.51</v>
      </c>
      <c r="AA476" s="9">
        <f t="shared" si="212"/>
        <v>0</v>
      </c>
      <c r="AB476" s="9">
        <v>0</v>
      </c>
      <c r="AC476" s="9">
        <v>0</v>
      </c>
      <c r="AD476" s="45">
        <f t="shared" si="209"/>
        <v>12904545.479999999</v>
      </c>
      <c r="AE476" s="11">
        <v>0</v>
      </c>
      <c r="AF476" s="9">
        <f t="shared" si="213"/>
        <v>12904545.479999999</v>
      </c>
      <c r="AG476" s="60" t="s">
        <v>515</v>
      </c>
      <c r="AH476" s="14" t="s">
        <v>296</v>
      </c>
      <c r="AI476" s="1">
        <f>4431509.92+140328.64</f>
        <v>4571838.5599999996</v>
      </c>
      <c r="AJ476" s="1">
        <v>0</v>
      </c>
    </row>
    <row r="477" spans="1:36" ht="173.25" x14ac:dyDescent="0.25">
      <c r="A477" s="5">
        <f t="shared" si="210"/>
        <v>474</v>
      </c>
      <c r="B477" s="16">
        <v>127575</v>
      </c>
      <c r="C477" s="70">
        <v>604</v>
      </c>
      <c r="D477" s="5" t="s">
        <v>143</v>
      </c>
      <c r="E477" s="18" t="s">
        <v>1125</v>
      </c>
      <c r="F477" s="32" t="s">
        <v>1074</v>
      </c>
      <c r="G477" s="5" t="s">
        <v>83</v>
      </c>
      <c r="H477" s="5" t="s">
        <v>296</v>
      </c>
      <c r="I477" s="42" t="s">
        <v>1077</v>
      </c>
      <c r="J477" s="2">
        <v>43448</v>
      </c>
      <c r="K477" s="2">
        <v>44606</v>
      </c>
      <c r="L477" s="17">
        <f t="shared" si="203"/>
        <v>83.983862818828996</v>
      </c>
      <c r="M477" s="5" t="s">
        <v>273</v>
      </c>
      <c r="N477" s="5" t="s">
        <v>262</v>
      </c>
      <c r="O477" s="5" t="s">
        <v>262</v>
      </c>
      <c r="P477" s="3" t="s">
        <v>138</v>
      </c>
      <c r="Q477" s="5" t="s">
        <v>34</v>
      </c>
      <c r="R477" s="9">
        <f t="shared" si="208"/>
        <v>71134346.109999999</v>
      </c>
      <c r="S477" s="9">
        <v>57363652.549999997</v>
      </c>
      <c r="T477" s="9">
        <v>13770693.560000001</v>
      </c>
      <c r="U477" s="9">
        <f t="shared" si="214"/>
        <v>0</v>
      </c>
      <c r="V477" s="54">
        <v>0</v>
      </c>
      <c r="W477" s="54">
        <v>0</v>
      </c>
      <c r="X477" s="9">
        <f t="shared" si="211"/>
        <v>13565670.92</v>
      </c>
      <c r="Y477" s="9">
        <v>10122997.52</v>
      </c>
      <c r="Z477" s="9">
        <v>3442673.4</v>
      </c>
      <c r="AA477" s="9">
        <f t="shared" si="212"/>
        <v>0</v>
      </c>
      <c r="AB477" s="9">
        <v>0</v>
      </c>
      <c r="AC477" s="9">
        <v>0</v>
      </c>
      <c r="AD477" s="45">
        <f t="shared" si="209"/>
        <v>84700017.030000001</v>
      </c>
      <c r="AE477" s="11">
        <v>0</v>
      </c>
      <c r="AF477" s="9">
        <f t="shared" si="213"/>
        <v>84700017.030000001</v>
      </c>
      <c r="AG477" s="60" t="s">
        <v>515</v>
      </c>
      <c r="AH477" s="14" t="s">
        <v>2010</v>
      </c>
      <c r="AI477" s="1">
        <f>64822540.56+76490.69</f>
        <v>64899031.25</v>
      </c>
      <c r="AJ477" s="1">
        <v>0</v>
      </c>
    </row>
    <row r="478" spans="1:36" ht="141.75" x14ac:dyDescent="0.25">
      <c r="A478" s="5">
        <f t="shared" si="210"/>
        <v>475</v>
      </c>
      <c r="B478" s="16">
        <v>116834</v>
      </c>
      <c r="C478" s="16">
        <v>397</v>
      </c>
      <c r="D478" s="5" t="s">
        <v>143</v>
      </c>
      <c r="E478" s="18" t="s">
        <v>385</v>
      </c>
      <c r="F478" s="32" t="s">
        <v>1091</v>
      </c>
      <c r="G478" s="5" t="s">
        <v>2193</v>
      </c>
      <c r="H478" s="5" t="s">
        <v>2224</v>
      </c>
      <c r="I478" s="61" t="s">
        <v>1093</v>
      </c>
      <c r="J478" s="2">
        <v>43462</v>
      </c>
      <c r="K478" s="2">
        <v>44679</v>
      </c>
      <c r="L478" s="17">
        <f t="shared" si="203"/>
        <v>83.93957004115002</v>
      </c>
      <c r="M478" s="5" t="s">
        <v>273</v>
      </c>
      <c r="N478" s="5" t="s">
        <v>262</v>
      </c>
      <c r="O478" s="5" t="s">
        <v>262</v>
      </c>
      <c r="P478" s="3" t="s">
        <v>138</v>
      </c>
      <c r="Q478" s="5" t="s">
        <v>34</v>
      </c>
      <c r="R478" s="9">
        <f t="shared" si="208"/>
        <v>2763768.69</v>
      </c>
      <c r="S478" s="9">
        <v>2228738.67</v>
      </c>
      <c r="T478" s="9">
        <v>535030.02</v>
      </c>
      <c r="U478" s="9">
        <f t="shared" si="214"/>
        <v>13627.730000000001</v>
      </c>
      <c r="V478" s="54">
        <v>10169.310000000001</v>
      </c>
      <c r="W478" s="54">
        <v>3458.4199999999996</v>
      </c>
      <c r="X478" s="9">
        <f t="shared" si="211"/>
        <v>515173.09</v>
      </c>
      <c r="Y478" s="9">
        <v>384521.09</v>
      </c>
      <c r="Z478" s="9">
        <v>130652</v>
      </c>
      <c r="AA478" s="9">
        <f t="shared" si="212"/>
        <v>0</v>
      </c>
      <c r="AB478" s="9">
        <v>0</v>
      </c>
      <c r="AC478" s="9">
        <v>0</v>
      </c>
      <c r="AD478" s="45">
        <f t="shared" si="209"/>
        <v>3292569.51</v>
      </c>
      <c r="AE478" s="11">
        <v>0</v>
      </c>
      <c r="AF478" s="9">
        <f t="shared" si="213"/>
        <v>3292569.51</v>
      </c>
      <c r="AG478" s="60" t="s">
        <v>515</v>
      </c>
      <c r="AH478" s="14" t="s">
        <v>2225</v>
      </c>
      <c r="AI478" s="1">
        <f>300519.38+28866.82+79839.52</f>
        <v>409225.72000000003</v>
      </c>
      <c r="AJ478" s="1">
        <v>13627.73</v>
      </c>
    </row>
    <row r="479" spans="1:36" ht="204.75" x14ac:dyDescent="0.25">
      <c r="A479" s="5">
        <f t="shared" si="210"/>
        <v>476</v>
      </c>
      <c r="B479" s="16">
        <v>116793</v>
      </c>
      <c r="C479" s="16">
        <v>398</v>
      </c>
      <c r="D479" s="5" t="s">
        <v>143</v>
      </c>
      <c r="E479" s="18" t="s">
        <v>385</v>
      </c>
      <c r="F479" s="32" t="s">
        <v>1094</v>
      </c>
      <c r="G479" s="5" t="s">
        <v>2193</v>
      </c>
      <c r="H479" s="8" t="s">
        <v>2192</v>
      </c>
      <c r="I479" s="61" t="s">
        <v>1095</v>
      </c>
      <c r="J479" s="2">
        <v>43462</v>
      </c>
      <c r="K479" s="2">
        <v>44558</v>
      </c>
      <c r="L479" s="17">
        <f t="shared" si="203"/>
        <v>83.876279331844373</v>
      </c>
      <c r="M479" s="5" t="s">
        <v>273</v>
      </c>
      <c r="N479" s="5" t="s">
        <v>262</v>
      </c>
      <c r="O479" s="5" t="s">
        <v>262</v>
      </c>
      <c r="P479" s="3" t="s">
        <v>138</v>
      </c>
      <c r="Q479" s="5" t="s">
        <v>34</v>
      </c>
      <c r="R479" s="9">
        <f>S479+T479</f>
        <v>2294555.4300000002</v>
      </c>
      <c r="S479" s="9">
        <v>1850358.99</v>
      </c>
      <c r="T479" s="9">
        <v>444196.44</v>
      </c>
      <c r="U479" s="9">
        <f>V479+W479</f>
        <v>121410.03</v>
      </c>
      <c r="V479" s="54">
        <v>89921.42</v>
      </c>
      <c r="W479" s="54">
        <v>31488.610000000008</v>
      </c>
      <c r="X479" s="9">
        <f>Y479+Z479</f>
        <v>319677.38</v>
      </c>
      <c r="Y479" s="9">
        <v>239404.76</v>
      </c>
      <c r="Z479" s="9">
        <v>80272.62</v>
      </c>
      <c r="AA479" s="9">
        <f>AB479+AC479</f>
        <v>0</v>
      </c>
      <c r="AB479" s="9">
        <v>0</v>
      </c>
      <c r="AC479" s="9">
        <v>0</v>
      </c>
      <c r="AD479" s="45">
        <f t="shared" si="209"/>
        <v>2735642.84</v>
      </c>
      <c r="AE479" s="11"/>
      <c r="AF479" s="9">
        <f>AD479+AE479</f>
        <v>2735642.84</v>
      </c>
      <c r="AG479" s="60" t="s">
        <v>515</v>
      </c>
      <c r="AH479" s="14" t="s">
        <v>2194</v>
      </c>
      <c r="AI479" s="1">
        <f>747588.05+119267.92+123350.9+38783.99+46531.38+20689.06+20035.23</f>
        <v>1116246.53</v>
      </c>
      <c r="AJ479" s="1">
        <f>58485.17+21100.17+23112.49+11901.81+748.32</f>
        <v>115347.96</v>
      </c>
    </row>
    <row r="480" spans="1:36" ht="172.5" customHeight="1" x14ac:dyDescent="0.25">
      <c r="A480" s="5">
        <f t="shared" si="210"/>
        <v>477</v>
      </c>
      <c r="B480" s="16">
        <v>127534</v>
      </c>
      <c r="C480" s="16">
        <v>619</v>
      </c>
      <c r="D480" s="5" t="s">
        <v>143</v>
      </c>
      <c r="E480" s="18" t="s">
        <v>1125</v>
      </c>
      <c r="F480" s="32" t="s">
        <v>1108</v>
      </c>
      <c r="G480" s="3" t="s">
        <v>2189</v>
      </c>
      <c r="H480" s="5" t="s">
        <v>362</v>
      </c>
      <c r="I480" s="42" t="s">
        <v>1109</v>
      </c>
      <c r="J480" s="2">
        <v>43490</v>
      </c>
      <c r="K480" s="2">
        <v>44890</v>
      </c>
      <c r="L480" s="17">
        <f t="shared" si="203"/>
        <v>83.983862982309589</v>
      </c>
      <c r="M480" s="5" t="s">
        <v>273</v>
      </c>
      <c r="N480" s="5" t="s">
        <v>262</v>
      </c>
      <c r="O480" s="5" t="s">
        <v>262</v>
      </c>
      <c r="P480" s="3" t="s">
        <v>138</v>
      </c>
      <c r="Q480" s="5" t="s">
        <v>34</v>
      </c>
      <c r="R480" s="9">
        <f t="shared" si="208"/>
        <v>8137225.4000000022</v>
      </c>
      <c r="S480" s="9">
        <v>6561963.3800000027</v>
      </c>
      <c r="T480" s="9">
        <v>1575262.0199999993</v>
      </c>
      <c r="U480" s="9">
        <f t="shared" si="214"/>
        <v>0</v>
      </c>
      <c r="V480" s="54">
        <v>0</v>
      </c>
      <c r="W480" s="54">
        <v>0</v>
      </c>
      <c r="X480" s="9">
        <f t="shared" si="211"/>
        <v>1551809.03</v>
      </c>
      <c r="Y480" s="9">
        <v>1157993.46</v>
      </c>
      <c r="Z480" s="9">
        <v>393815.57</v>
      </c>
      <c r="AA480" s="9">
        <f t="shared" si="212"/>
        <v>0</v>
      </c>
      <c r="AB480" s="9">
        <v>0</v>
      </c>
      <c r="AC480" s="9">
        <v>0</v>
      </c>
      <c r="AD480" s="45">
        <f t="shared" si="209"/>
        <v>9689034.4300000016</v>
      </c>
      <c r="AE480" s="11">
        <v>0</v>
      </c>
      <c r="AF480" s="9">
        <f t="shared" si="213"/>
        <v>9689034.4300000016</v>
      </c>
      <c r="AG480" s="60" t="s">
        <v>515</v>
      </c>
      <c r="AH480" s="14" t="s">
        <v>2190</v>
      </c>
      <c r="AI480" s="1">
        <f>1463301.67+53394.41+40843.87+3495745.94+550641.88+46927.65</f>
        <v>5650855.4199999999</v>
      </c>
      <c r="AJ480" s="1">
        <v>0</v>
      </c>
    </row>
    <row r="481" spans="1:36" ht="189" x14ac:dyDescent="0.25">
      <c r="A481" s="5">
        <f t="shared" si="210"/>
        <v>478</v>
      </c>
      <c r="B481" s="16">
        <v>111384</v>
      </c>
      <c r="C481" s="16">
        <v>166</v>
      </c>
      <c r="D481" s="5" t="s">
        <v>143</v>
      </c>
      <c r="E481" s="18" t="s">
        <v>271</v>
      </c>
      <c r="F481" s="32" t="s">
        <v>1115</v>
      </c>
      <c r="G481" s="5" t="s">
        <v>1116</v>
      </c>
      <c r="H481" s="5" t="s">
        <v>362</v>
      </c>
      <c r="I481" s="42" t="s">
        <v>1117</v>
      </c>
      <c r="J481" s="2">
        <v>43497</v>
      </c>
      <c r="K481" s="2">
        <v>43983</v>
      </c>
      <c r="L481" s="17">
        <f t="shared" si="203"/>
        <v>82.304190607330156</v>
      </c>
      <c r="M481" s="5" t="s">
        <v>273</v>
      </c>
      <c r="N481" s="5" t="s">
        <v>186</v>
      </c>
      <c r="O481" s="5" t="s">
        <v>186</v>
      </c>
      <c r="P481" s="3" t="s">
        <v>275</v>
      </c>
      <c r="Q481" s="5" t="s">
        <v>34</v>
      </c>
      <c r="R481" s="9">
        <f t="shared" si="208"/>
        <v>765704.55999999994</v>
      </c>
      <c r="S481" s="9">
        <v>617473.98</v>
      </c>
      <c r="T481" s="9">
        <v>148230.57999999999</v>
      </c>
      <c r="U481" s="9">
        <f t="shared" si="214"/>
        <v>146023.57999999999</v>
      </c>
      <c r="V481" s="54">
        <v>108965.98</v>
      </c>
      <c r="W481" s="54">
        <v>37057.599999999999</v>
      </c>
      <c r="X481" s="9">
        <v>0</v>
      </c>
      <c r="Y481" s="9">
        <v>0</v>
      </c>
      <c r="Z481" s="9">
        <v>0</v>
      </c>
      <c r="AA481" s="9">
        <f t="shared" si="212"/>
        <v>18606.7</v>
      </c>
      <c r="AB481" s="9">
        <v>14825.33</v>
      </c>
      <c r="AC481" s="9">
        <v>3781.37</v>
      </c>
      <c r="AD481" s="45">
        <f t="shared" si="209"/>
        <v>930334.83999999985</v>
      </c>
      <c r="AE481" s="11"/>
      <c r="AF481" s="9">
        <f t="shared" si="213"/>
        <v>930334.83999999985</v>
      </c>
      <c r="AG481" s="60" t="s">
        <v>966</v>
      </c>
      <c r="AH481" s="14"/>
      <c r="AI481" s="1">
        <v>407560.11</v>
      </c>
      <c r="AJ481" s="1">
        <v>76478.45</v>
      </c>
    </row>
    <row r="482" spans="1:36" ht="159.75" customHeight="1" x14ac:dyDescent="0.25">
      <c r="A482" s="5">
        <f t="shared" si="210"/>
        <v>479</v>
      </c>
      <c r="B482" s="16">
        <v>118765</v>
      </c>
      <c r="C482" s="70">
        <v>454</v>
      </c>
      <c r="D482" s="138" t="s">
        <v>1984</v>
      </c>
      <c r="E482" s="18" t="s">
        <v>440</v>
      </c>
      <c r="F482" s="32" t="s">
        <v>907</v>
      </c>
      <c r="G482" s="5" t="s">
        <v>908</v>
      </c>
      <c r="H482" s="5" t="s">
        <v>1123</v>
      </c>
      <c r="I482" s="77" t="s">
        <v>909</v>
      </c>
      <c r="J482" s="2">
        <v>43348</v>
      </c>
      <c r="K482" s="2">
        <v>44809</v>
      </c>
      <c r="L482" s="17">
        <f t="shared" si="203"/>
        <v>83.983862678981282</v>
      </c>
      <c r="M482" s="3" t="s">
        <v>136</v>
      </c>
      <c r="N482" s="5" t="s">
        <v>262</v>
      </c>
      <c r="O482" s="5" t="s">
        <v>137</v>
      </c>
      <c r="P482" s="28" t="s">
        <v>138</v>
      </c>
      <c r="Q482" s="3" t="s">
        <v>34</v>
      </c>
      <c r="R482" s="9">
        <f t="shared" si="208"/>
        <v>24915549.649999999</v>
      </c>
      <c r="S482" s="9">
        <v>20092220.059999999</v>
      </c>
      <c r="T482" s="9">
        <v>4823329.59</v>
      </c>
      <c r="U482" s="9">
        <f t="shared" si="214"/>
        <v>0</v>
      </c>
      <c r="V482" s="54"/>
      <c r="W482" s="54"/>
      <c r="X482" s="9">
        <f t="shared" ref="X482:X499" si="215">Y482+Z482</f>
        <v>4751518.3499999996</v>
      </c>
      <c r="Y482" s="9">
        <v>3545685.89</v>
      </c>
      <c r="Z482" s="9">
        <v>1205832.46</v>
      </c>
      <c r="AA482" s="9">
        <f t="shared" si="212"/>
        <v>0</v>
      </c>
      <c r="AB482" s="9">
        <v>0</v>
      </c>
      <c r="AC482" s="9">
        <v>0</v>
      </c>
      <c r="AD482" s="45">
        <f t="shared" si="209"/>
        <v>29667068</v>
      </c>
      <c r="AE482" s="9"/>
      <c r="AF482" s="9">
        <f t="shared" si="213"/>
        <v>29667068</v>
      </c>
      <c r="AG482" s="60" t="s">
        <v>515</v>
      </c>
      <c r="AH482" s="14" t="s">
        <v>1990</v>
      </c>
      <c r="AI482" s="1">
        <f>3855719.79+323646.48+206724.77+676013.29+150344.07+353057.82</f>
        <v>5565506.2200000007</v>
      </c>
      <c r="AJ482" s="1">
        <v>0</v>
      </c>
    </row>
    <row r="483" spans="1:36" ht="161.25" customHeight="1" x14ac:dyDescent="0.25">
      <c r="A483" s="5">
        <f t="shared" si="210"/>
        <v>480</v>
      </c>
      <c r="B483" s="16">
        <v>127403</v>
      </c>
      <c r="C483" s="70">
        <v>579</v>
      </c>
      <c r="D483" s="5" t="s">
        <v>143</v>
      </c>
      <c r="E483" s="18" t="s">
        <v>1125</v>
      </c>
      <c r="F483" s="32" t="s">
        <v>1126</v>
      </c>
      <c r="G483" s="3" t="s">
        <v>1594</v>
      </c>
      <c r="H483" s="5" t="s">
        <v>362</v>
      </c>
      <c r="I483" s="42" t="s">
        <v>1127</v>
      </c>
      <c r="J483" s="2">
        <v>43514</v>
      </c>
      <c r="K483" s="2">
        <v>44610</v>
      </c>
      <c r="L483" s="17">
        <f t="shared" si="203"/>
        <v>83.983863067164137</v>
      </c>
      <c r="M483" s="3" t="s">
        <v>136</v>
      </c>
      <c r="N483" s="5" t="s">
        <v>262</v>
      </c>
      <c r="O483" s="5" t="s">
        <v>262</v>
      </c>
      <c r="P483" s="28" t="s">
        <v>138</v>
      </c>
      <c r="Q483" s="3" t="s">
        <v>34</v>
      </c>
      <c r="R483" s="9">
        <f t="shared" ref="R483:R499" si="216">S483+T483</f>
        <v>5070433.51</v>
      </c>
      <c r="S483" s="9">
        <v>4088862.86</v>
      </c>
      <c r="T483" s="9">
        <v>981570.65</v>
      </c>
      <c r="U483" s="9">
        <f t="shared" si="214"/>
        <v>0</v>
      </c>
      <c r="V483" s="54">
        <v>0</v>
      </c>
      <c r="W483" s="54">
        <v>0</v>
      </c>
      <c r="X483" s="9">
        <f t="shared" si="215"/>
        <v>966956.68</v>
      </c>
      <c r="Y483" s="9">
        <v>721564.03</v>
      </c>
      <c r="Z483" s="9">
        <v>245392.65</v>
      </c>
      <c r="AA483" s="9">
        <f t="shared" si="212"/>
        <v>0</v>
      </c>
      <c r="AB483" s="9">
        <v>0</v>
      </c>
      <c r="AC483" s="9">
        <v>0</v>
      </c>
      <c r="AD483" s="45">
        <f t="shared" si="209"/>
        <v>6037390.1899999995</v>
      </c>
      <c r="AE483" s="11">
        <v>0</v>
      </c>
      <c r="AF483" s="9">
        <f t="shared" si="213"/>
        <v>6037390.1899999995</v>
      </c>
      <c r="AG483" s="60" t="s">
        <v>515</v>
      </c>
      <c r="AH483" s="14" t="s">
        <v>2027</v>
      </c>
      <c r="AI483" s="1">
        <f>24576.2+66456.97+20464.35+37833.89+35353.01+43044.25+57443.28+50103.09</f>
        <v>335275.03999999992</v>
      </c>
      <c r="AJ483" s="1">
        <v>0</v>
      </c>
    </row>
    <row r="484" spans="1:36" ht="141.75" x14ac:dyDescent="0.25">
      <c r="A484" s="5">
        <f t="shared" si="210"/>
        <v>481</v>
      </c>
      <c r="B484" s="16">
        <v>127820</v>
      </c>
      <c r="C484" s="16">
        <v>605</v>
      </c>
      <c r="D484" s="5" t="s">
        <v>143</v>
      </c>
      <c r="E484" s="18" t="s">
        <v>1125</v>
      </c>
      <c r="F484" s="32" t="s">
        <v>1147</v>
      </c>
      <c r="G484" s="63" t="s">
        <v>2088</v>
      </c>
      <c r="H484" s="5" t="s">
        <v>151</v>
      </c>
      <c r="I484" s="42" t="s">
        <v>1148</v>
      </c>
      <c r="J484" s="2">
        <v>43528</v>
      </c>
      <c r="K484" s="2">
        <v>44534</v>
      </c>
      <c r="L484" s="17">
        <f t="shared" si="203"/>
        <v>83.983862738202546</v>
      </c>
      <c r="M484" s="3" t="s">
        <v>136</v>
      </c>
      <c r="N484" s="5" t="s">
        <v>262</v>
      </c>
      <c r="O484" s="5" t="s">
        <v>262</v>
      </c>
      <c r="P484" s="28" t="s">
        <v>138</v>
      </c>
      <c r="Q484" s="3" t="s">
        <v>34</v>
      </c>
      <c r="R484" s="9">
        <f t="shared" si="216"/>
        <v>8804544.8399999999</v>
      </c>
      <c r="S484" s="9">
        <v>7100098.3200000003</v>
      </c>
      <c r="T484" s="9">
        <v>1704446.52</v>
      </c>
      <c r="U484" s="9">
        <f t="shared" si="214"/>
        <v>0</v>
      </c>
      <c r="V484" s="54">
        <v>0</v>
      </c>
      <c r="W484" s="54">
        <v>0</v>
      </c>
      <c r="X484" s="9">
        <f t="shared" si="215"/>
        <v>1679070.17</v>
      </c>
      <c r="Y484" s="9">
        <v>1252958.53</v>
      </c>
      <c r="Z484" s="9">
        <v>426111.64</v>
      </c>
      <c r="AA484" s="9">
        <f t="shared" si="212"/>
        <v>0</v>
      </c>
      <c r="AB484" s="9">
        <v>0</v>
      </c>
      <c r="AC484" s="9">
        <v>0</v>
      </c>
      <c r="AD484" s="45">
        <f t="shared" si="209"/>
        <v>10483615.01</v>
      </c>
      <c r="AE484" s="11">
        <v>0</v>
      </c>
      <c r="AF484" s="9">
        <f t="shared" si="213"/>
        <v>10483615.01</v>
      </c>
      <c r="AG484" s="60" t="s">
        <v>1667</v>
      </c>
      <c r="AH484" s="14" t="s">
        <v>1969</v>
      </c>
      <c r="AI484" s="1">
        <f>142773.41+459978.96+262581.43+430600.38+386148.56+275006+710932.99+402603.59</f>
        <v>3070625.3200000003</v>
      </c>
      <c r="AJ484" s="1">
        <v>0</v>
      </c>
    </row>
    <row r="485" spans="1:36" ht="283.5" customHeight="1" x14ac:dyDescent="0.25">
      <c r="A485" s="5">
        <f t="shared" si="210"/>
        <v>482</v>
      </c>
      <c r="B485" s="16">
        <v>129157</v>
      </c>
      <c r="C485" s="70">
        <v>653</v>
      </c>
      <c r="D485" s="5" t="s">
        <v>143</v>
      </c>
      <c r="E485" s="8" t="s">
        <v>1227</v>
      </c>
      <c r="F485" s="32" t="s">
        <v>1229</v>
      </c>
      <c r="G485" s="5" t="s">
        <v>1595</v>
      </c>
      <c r="H485" s="5" t="s">
        <v>1230</v>
      </c>
      <c r="I485" s="42" t="s">
        <v>1228</v>
      </c>
      <c r="J485" s="2">
        <v>43595</v>
      </c>
      <c r="K485" s="2">
        <v>44145</v>
      </c>
      <c r="L485" s="17">
        <f t="shared" si="203"/>
        <v>83.983862046457801</v>
      </c>
      <c r="M485" s="3" t="s">
        <v>136</v>
      </c>
      <c r="N485" s="5" t="s">
        <v>262</v>
      </c>
      <c r="O485" s="5" t="s">
        <v>262</v>
      </c>
      <c r="P485" s="28" t="s">
        <v>138</v>
      </c>
      <c r="Q485" s="5" t="s">
        <v>34</v>
      </c>
      <c r="R485" s="9">
        <v>5246671.92</v>
      </c>
      <c r="S485" s="9">
        <v>4230983.82</v>
      </c>
      <c r="T485" s="9">
        <v>1015688.1</v>
      </c>
      <c r="U485" s="9">
        <v>397060.76</v>
      </c>
      <c r="V485" s="54">
        <v>293431.24</v>
      </c>
      <c r="W485" s="54">
        <v>103629.52</v>
      </c>
      <c r="X485" s="9">
        <v>603505.53</v>
      </c>
      <c r="Y485" s="9">
        <v>453212.97</v>
      </c>
      <c r="Z485" s="9">
        <v>150292.56</v>
      </c>
      <c r="AA485" s="9">
        <v>0</v>
      </c>
      <c r="AB485" s="9">
        <v>0</v>
      </c>
      <c r="AC485" s="9">
        <v>0</v>
      </c>
      <c r="AD485" s="45">
        <f t="shared" si="209"/>
        <v>6247238.21</v>
      </c>
      <c r="AE485" s="11">
        <v>0</v>
      </c>
      <c r="AF485" s="9">
        <v>6247238.21</v>
      </c>
      <c r="AG485" s="60" t="s">
        <v>966</v>
      </c>
      <c r="AH485" s="14" t="s">
        <v>1935</v>
      </c>
      <c r="AI485" s="1">
        <f>27634.05+1119190.49+181709.16+701126.29+552728.56+77727.08+197693.87</f>
        <v>2857809.5</v>
      </c>
      <c r="AJ485" s="1">
        <f>145846.01+27046.1+84892.7+61886.01+3864.1+5366.64</f>
        <v>328901.56</v>
      </c>
    </row>
    <row r="486" spans="1:36" ht="226.5" customHeight="1" x14ac:dyDescent="0.25">
      <c r="A486" s="5">
        <f t="shared" si="210"/>
        <v>483</v>
      </c>
      <c r="B486" s="16">
        <v>127557</v>
      </c>
      <c r="C486" s="70">
        <v>592</v>
      </c>
      <c r="D486" s="5" t="s">
        <v>143</v>
      </c>
      <c r="E486" s="18" t="s">
        <v>1125</v>
      </c>
      <c r="F486" s="32" t="s">
        <v>2167</v>
      </c>
      <c r="G486" s="5" t="s">
        <v>2148</v>
      </c>
      <c r="H486" s="5" t="s">
        <v>1236</v>
      </c>
      <c r="I486" s="42" t="s">
        <v>2116</v>
      </c>
      <c r="J486" s="2">
        <v>43601</v>
      </c>
      <c r="K486" s="2">
        <v>44973</v>
      </c>
      <c r="L486" s="17">
        <f t="shared" si="203"/>
        <v>83.983863018374976</v>
      </c>
      <c r="M486" s="3" t="s">
        <v>136</v>
      </c>
      <c r="N486" s="5" t="s">
        <v>262</v>
      </c>
      <c r="O486" s="5" t="s">
        <v>262</v>
      </c>
      <c r="P486" s="28" t="s">
        <v>138</v>
      </c>
      <c r="Q486" s="5" t="s">
        <v>34</v>
      </c>
      <c r="R486" s="9">
        <f t="shared" si="216"/>
        <v>21869408.259999998</v>
      </c>
      <c r="S486" s="9">
        <v>17635772.34</v>
      </c>
      <c r="T486" s="9">
        <v>4233635.92</v>
      </c>
      <c r="U486" s="9">
        <f t="shared" si="214"/>
        <v>2835302.42</v>
      </c>
      <c r="V486" s="54">
        <v>2095312.37</v>
      </c>
      <c r="W486" s="54">
        <v>739990.05</v>
      </c>
      <c r="X486" s="9">
        <f t="shared" si="215"/>
        <v>1335301.6200000001</v>
      </c>
      <c r="Y486" s="9">
        <v>1016882.76</v>
      </c>
      <c r="Z486" s="9">
        <v>318418.86</v>
      </c>
      <c r="AA486" s="9">
        <f t="shared" si="212"/>
        <v>0</v>
      </c>
      <c r="AB486" s="9">
        <v>0</v>
      </c>
      <c r="AC486" s="9">
        <v>0</v>
      </c>
      <c r="AD486" s="45">
        <f t="shared" si="209"/>
        <v>26040012.300000001</v>
      </c>
      <c r="AE486" s="11">
        <v>0</v>
      </c>
      <c r="AF486" s="9">
        <f t="shared" si="213"/>
        <v>26040012.300000001</v>
      </c>
      <c r="AG486" s="60" t="s">
        <v>515</v>
      </c>
      <c r="AH486" s="14" t="s">
        <v>2220</v>
      </c>
      <c r="AI486" s="1">
        <f>2000000-199893.91+842707.08+2000000-206973.2+1447144.25+1042685.44-170393.68+1315690.57+1512447.46</f>
        <v>9583414.0100000016</v>
      </c>
      <c r="AJ486" s="1">
        <f>213844.09+224889.04+206973.2+174014.68+188172.46+250323.39</f>
        <v>1258216.8599999999</v>
      </c>
    </row>
    <row r="487" spans="1:36" ht="239.25" customHeight="1" x14ac:dyDescent="0.25">
      <c r="A487" s="5">
        <f t="shared" si="210"/>
        <v>484</v>
      </c>
      <c r="B487" s="206">
        <v>127562</v>
      </c>
      <c r="C487" s="207">
        <v>606</v>
      </c>
      <c r="D487" s="208" t="s">
        <v>143</v>
      </c>
      <c r="E487" s="209" t="s">
        <v>1125</v>
      </c>
      <c r="F487" s="210" t="s">
        <v>1249</v>
      </c>
      <c r="G487" s="3" t="s">
        <v>2091</v>
      </c>
      <c r="H487" s="208" t="s">
        <v>1250</v>
      </c>
      <c r="I487" s="211" t="s">
        <v>1251</v>
      </c>
      <c r="J487" s="212">
        <v>43608</v>
      </c>
      <c r="K487" s="212">
        <v>44704</v>
      </c>
      <c r="L487" s="17">
        <f t="shared" si="203"/>
        <v>83.983863082660832</v>
      </c>
      <c r="M487" s="213" t="s">
        <v>136</v>
      </c>
      <c r="N487" s="208" t="s">
        <v>262</v>
      </c>
      <c r="O487" s="208" t="s">
        <v>137</v>
      </c>
      <c r="P487" s="214" t="s">
        <v>138</v>
      </c>
      <c r="Q487" s="208" t="s">
        <v>34</v>
      </c>
      <c r="R487" s="146">
        <f t="shared" si="216"/>
        <v>8877559.8000000007</v>
      </c>
      <c r="S487" s="146">
        <v>7158978.54</v>
      </c>
      <c r="T487" s="146">
        <v>1718581.26</v>
      </c>
      <c r="U487" s="146">
        <f t="shared" si="214"/>
        <v>156211.65000000002</v>
      </c>
      <c r="V487" s="86">
        <v>115441.71</v>
      </c>
      <c r="W487" s="86">
        <v>40769.94</v>
      </c>
      <c r="X487" s="146">
        <f t="shared" si="215"/>
        <v>1536782.79</v>
      </c>
      <c r="Y487" s="146">
        <v>1147907.3999999999</v>
      </c>
      <c r="Z487" s="146">
        <v>388875.39</v>
      </c>
      <c r="AA487" s="146">
        <f t="shared" si="212"/>
        <v>0</v>
      </c>
      <c r="AB487" s="146">
        <v>0</v>
      </c>
      <c r="AC487" s="146">
        <v>0</v>
      </c>
      <c r="AD487" s="45">
        <f t="shared" si="209"/>
        <v>10570554.240000002</v>
      </c>
      <c r="AE487" s="215">
        <v>0</v>
      </c>
      <c r="AF487" s="146">
        <f t="shared" si="213"/>
        <v>10570554.240000002</v>
      </c>
      <c r="AG487" s="60" t="s">
        <v>515</v>
      </c>
      <c r="AH487" s="216" t="s">
        <v>2145</v>
      </c>
      <c r="AI487" s="158">
        <f>100000+43931.12+109486.41+2111676.42+175527.94+180671.57+100000+68073.24+1333861.53+2004317.29+18100.2+20914.5+18483.6+100000</f>
        <v>6385043.8199999994</v>
      </c>
      <c r="AJ487" s="158">
        <f>12721.6+24511.71+28611.12+19252.57+19773.82</f>
        <v>104870.82</v>
      </c>
    </row>
    <row r="488" spans="1:36" ht="315.75" customHeight="1" x14ac:dyDescent="0.25">
      <c r="A488" s="5">
        <f t="shared" si="210"/>
        <v>485</v>
      </c>
      <c r="B488" s="5">
        <v>116178</v>
      </c>
      <c r="C488" s="6">
        <v>403</v>
      </c>
      <c r="D488" s="5" t="s">
        <v>143</v>
      </c>
      <c r="E488" s="18" t="s">
        <v>385</v>
      </c>
      <c r="F488" s="3" t="s">
        <v>1312</v>
      </c>
      <c r="G488" s="5" t="s">
        <v>55</v>
      </c>
      <c r="H488" s="5" t="s">
        <v>362</v>
      </c>
      <c r="I488" s="42" t="s">
        <v>1322</v>
      </c>
      <c r="J488" s="2">
        <v>43640</v>
      </c>
      <c r="K488" s="2">
        <v>44554</v>
      </c>
      <c r="L488" s="17">
        <f t="shared" si="203"/>
        <v>83.983862989767033</v>
      </c>
      <c r="M488" s="3" t="s">
        <v>136</v>
      </c>
      <c r="N488" s="5" t="s">
        <v>262</v>
      </c>
      <c r="O488" s="5" t="s">
        <v>137</v>
      </c>
      <c r="P488" s="28" t="s">
        <v>138</v>
      </c>
      <c r="Q488" s="5" t="s">
        <v>34</v>
      </c>
      <c r="R488" s="9">
        <f t="shared" si="216"/>
        <v>2394035.5999999996</v>
      </c>
      <c r="S488" s="9">
        <v>1930581.13</v>
      </c>
      <c r="T488" s="9">
        <v>463454.47</v>
      </c>
      <c r="U488" s="9">
        <f t="shared" si="214"/>
        <v>0</v>
      </c>
      <c r="V488" s="54">
        <v>0</v>
      </c>
      <c r="W488" s="54">
        <v>0</v>
      </c>
      <c r="X488" s="9">
        <f t="shared" si="215"/>
        <v>456554.4</v>
      </c>
      <c r="Y488" s="9">
        <v>340690.78</v>
      </c>
      <c r="Z488" s="9">
        <v>115863.62</v>
      </c>
      <c r="AA488" s="9"/>
      <c r="AB488" s="9">
        <v>0</v>
      </c>
      <c r="AC488" s="9">
        <v>0</v>
      </c>
      <c r="AD488" s="45">
        <f t="shared" si="209"/>
        <v>2850589.9999999995</v>
      </c>
      <c r="AE488" s="11">
        <v>0</v>
      </c>
      <c r="AF488" s="9">
        <f t="shared" si="213"/>
        <v>2850589.9999999995</v>
      </c>
      <c r="AG488" s="60" t="s">
        <v>515</v>
      </c>
      <c r="AH488" s="14"/>
      <c r="AI488" s="1">
        <v>0</v>
      </c>
      <c r="AJ488" s="1">
        <v>0</v>
      </c>
    </row>
    <row r="489" spans="1:36" ht="315.75" customHeight="1" x14ac:dyDescent="0.25">
      <c r="A489" s="5">
        <f t="shared" si="210"/>
        <v>486</v>
      </c>
      <c r="B489" s="5">
        <v>126949</v>
      </c>
      <c r="C489" s="6">
        <v>625</v>
      </c>
      <c r="D489" s="5" t="s">
        <v>144</v>
      </c>
      <c r="E489" s="18" t="s">
        <v>1349</v>
      </c>
      <c r="F489" s="3" t="s">
        <v>1350</v>
      </c>
      <c r="G489" s="5" t="s">
        <v>104</v>
      </c>
      <c r="H489" s="5" t="s">
        <v>1609</v>
      </c>
      <c r="I489" s="8" t="s">
        <v>1352</v>
      </c>
      <c r="J489" s="2">
        <v>43656</v>
      </c>
      <c r="K489" s="2">
        <v>44967</v>
      </c>
      <c r="L489" s="17">
        <f t="shared" si="203"/>
        <v>83.983862834061995</v>
      </c>
      <c r="M489" s="3" t="s">
        <v>136</v>
      </c>
      <c r="N489" s="5" t="s">
        <v>262</v>
      </c>
      <c r="O489" s="5" t="s">
        <v>137</v>
      </c>
      <c r="P489" s="28" t="s">
        <v>138</v>
      </c>
      <c r="Q489" s="5" t="s">
        <v>34</v>
      </c>
      <c r="R489" s="9">
        <f t="shared" si="216"/>
        <v>100657897.89000002</v>
      </c>
      <c r="S489" s="9">
        <v>81171824.820000008</v>
      </c>
      <c r="T489" s="9">
        <v>19486073.070000004</v>
      </c>
      <c r="U489" s="9">
        <f t="shared" si="214"/>
        <v>3857997.5300000003</v>
      </c>
      <c r="V489" s="54">
        <v>2851092.66</v>
      </c>
      <c r="W489" s="54">
        <v>1006904.87</v>
      </c>
      <c r="X489" s="9">
        <f t="shared" si="215"/>
        <v>15337960.42</v>
      </c>
      <c r="Y489" s="9">
        <v>11473347.01</v>
      </c>
      <c r="Z489" s="9">
        <v>3864613.41</v>
      </c>
      <c r="AA489" s="9">
        <f t="shared" ref="AA489:AA499" si="217">AB489+AC489</f>
        <v>0</v>
      </c>
      <c r="AB489" s="9">
        <v>0</v>
      </c>
      <c r="AC489" s="9">
        <v>0</v>
      </c>
      <c r="AD489" s="45">
        <f t="shared" si="209"/>
        <v>119853855.84000002</v>
      </c>
      <c r="AE489" s="11">
        <v>93474.39</v>
      </c>
      <c r="AF489" s="9">
        <f t="shared" si="213"/>
        <v>119947330.23000002</v>
      </c>
      <c r="AG489" s="60" t="s">
        <v>515</v>
      </c>
      <c r="AH489" s="14" t="s">
        <v>2219</v>
      </c>
      <c r="AI489" s="1">
        <f>6062646.43+1213960.56</f>
        <v>7276606.9900000002</v>
      </c>
      <c r="AJ489" s="1">
        <f>1813.69+1983.14</f>
        <v>3796.83</v>
      </c>
    </row>
    <row r="490" spans="1:36" ht="141.75" x14ac:dyDescent="0.25">
      <c r="A490" s="5">
        <f t="shared" si="210"/>
        <v>487</v>
      </c>
      <c r="B490" s="5">
        <v>127610</v>
      </c>
      <c r="C490" s="6">
        <v>583</v>
      </c>
      <c r="D490" s="5" t="s">
        <v>143</v>
      </c>
      <c r="E490" s="18" t="s">
        <v>1125</v>
      </c>
      <c r="F490" s="3" t="s">
        <v>1360</v>
      </c>
      <c r="G490" s="5" t="s">
        <v>1361</v>
      </c>
      <c r="H490" s="3" t="s">
        <v>1593</v>
      </c>
      <c r="I490" s="8" t="s">
        <v>1362</v>
      </c>
      <c r="J490" s="2">
        <v>43658</v>
      </c>
      <c r="K490" s="2">
        <v>44693</v>
      </c>
      <c r="L490" s="17">
        <f t="shared" si="203"/>
        <v>83.983862677162776</v>
      </c>
      <c r="M490" s="3" t="s">
        <v>136</v>
      </c>
      <c r="N490" s="5" t="s">
        <v>262</v>
      </c>
      <c r="O490" s="5" t="s">
        <v>137</v>
      </c>
      <c r="P490" s="28" t="s">
        <v>138</v>
      </c>
      <c r="Q490" s="5" t="s">
        <v>34</v>
      </c>
      <c r="R490" s="9">
        <f t="shared" si="216"/>
        <v>7876805.3200000012</v>
      </c>
      <c r="S490" s="9">
        <v>6351957.2000000011</v>
      </c>
      <c r="T490" s="9">
        <v>1524848.1199999999</v>
      </c>
      <c r="U490" s="9">
        <f t="shared" si="214"/>
        <v>1304201.5399999998</v>
      </c>
      <c r="V490" s="54">
        <v>963815.91999999993</v>
      </c>
      <c r="W490" s="54">
        <v>340385.61999999994</v>
      </c>
      <c r="X490" s="9">
        <f t="shared" si="215"/>
        <v>197944.13</v>
      </c>
      <c r="Y490" s="9">
        <v>157117.74451054723</v>
      </c>
      <c r="Z490" s="9">
        <v>40826.385489452769</v>
      </c>
      <c r="AA490" s="9">
        <f t="shared" si="217"/>
        <v>0</v>
      </c>
      <c r="AB490" s="9">
        <v>0</v>
      </c>
      <c r="AC490" s="9">
        <v>0</v>
      </c>
      <c r="AD490" s="45">
        <f t="shared" si="209"/>
        <v>9378950.9900000021</v>
      </c>
      <c r="AE490" s="11">
        <v>0</v>
      </c>
      <c r="AF490" s="9">
        <f t="shared" si="213"/>
        <v>9378950.9900000021</v>
      </c>
      <c r="AG490" s="60" t="s">
        <v>515</v>
      </c>
      <c r="AH490" s="14" t="s">
        <v>2147</v>
      </c>
      <c r="AI490" s="1">
        <f>393577.05+357286.8+354740.03+553936.93+315710.18+383572.03+370302.01</f>
        <v>2729125.0300000003</v>
      </c>
      <c r="AJ490" s="1">
        <f>65684.38+59627.88+57903.71+90282.23+52034.76+61939.89+61800.01</f>
        <v>449272.86000000004</v>
      </c>
    </row>
    <row r="491" spans="1:36" ht="204.75" x14ac:dyDescent="0.25">
      <c r="A491" s="5">
        <f t="shared" si="210"/>
        <v>488</v>
      </c>
      <c r="B491" s="5">
        <v>127961</v>
      </c>
      <c r="C491" s="6">
        <v>609</v>
      </c>
      <c r="D491" s="5" t="s">
        <v>143</v>
      </c>
      <c r="E491" s="18" t="s">
        <v>1125</v>
      </c>
      <c r="F491" s="3" t="s">
        <v>1363</v>
      </c>
      <c r="G491" s="5" t="s">
        <v>117</v>
      </c>
      <c r="H491" s="5" t="s">
        <v>1364</v>
      </c>
      <c r="I491" s="8" t="s">
        <v>1365</v>
      </c>
      <c r="J491" s="2">
        <v>43662</v>
      </c>
      <c r="K491" s="2">
        <v>44516</v>
      </c>
      <c r="L491" s="17">
        <f t="shared" si="203"/>
        <v>83.659541986998903</v>
      </c>
      <c r="M491" s="3" t="s">
        <v>136</v>
      </c>
      <c r="N491" s="5" t="s">
        <v>262</v>
      </c>
      <c r="O491" s="5" t="s">
        <v>137</v>
      </c>
      <c r="P491" s="28" t="s">
        <v>138</v>
      </c>
      <c r="Q491" s="5" t="s">
        <v>34</v>
      </c>
      <c r="R491" s="9">
        <f t="shared" si="216"/>
        <v>19839980.350000005</v>
      </c>
      <c r="S491" s="9">
        <v>15999215.590000005</v>
      </c>
      <c r="T491" s="9">
        <v>3840764.76</v>
      </c>
      <c r="U491" s="9">
        <f t="shared" si="214"/>
        <v>1684738.4299999997</v>
      </c>
      <c r="V491" s="54">
        <v>1250220.1999999997</v>
      </c>
      <c r="W491" s="54">
        <v>434518.22999999986</v>
      </c>
      <c r="X491" s="9">
        <f t="shared" si="215"/>
        <v>2098843.62</v>
      </c>
      <c r="Y491" s="9">
        <v>1573170.69</v>
      </c>
      <c r="Z491" s="9">
        <v>525672.93000000005</v>
      </c>
      <c r="AA491" s="9">
        <f t="shared" si="217"/>
        <v>91581</v>
      </c>
      <c r="AB491" s="9">
        <v>72969.23</v>
      </c>
      <c r="AC491" s="9">
        <v>18611.77</v>
      </c>
      <c r="AD491" s="45">
        <f t="shared" si="209"/>
        <v>23715143.400000006</v>
      </c>
      <c r="AE491" s="11">
        <v>144456</v>
      </c>
      <c r="AF491" s="9">
        <f t="shared" si="213"/>
        <v>23859599.400000006</v>
      </c>
      <c r="AG491" s="60" t="s">
        <v>515</v>
      </c>
      <c r="AH491" s="14" t="s">
        <v>2132</v>
      </c>
      <c r="AI491" s="1">
        <f>3893336.98+600000+670747.21+1225083.24+1175586.01+1095417.62</f>
        <v>8660171.0600000005</v>
      </c>
      <c r="AJ491" s="1">
        <f>600505.24+218404.22+200005.37+195152.46+66047.42</f>
        <v>1280114.71</v>
      </c>
    </row>
    <row r="492" spans="1:36" ht="141.75" x14ac:dyDescent="0.25">
      <c r="A492" s="5">
        <f t="shared" si="210"/>
        <v>489</v>
      </c>
      <c r="B492" s="5">
        <v>129745</v>
      </c>
      <c r="C492" s="6">
        <v>745</v>
      </c>
      <c r="D492" s="5" t="s">
        <v>146</v>
      </c>
      <c r="E492" s="18" t="s">
        <v>1369</v>
      </c>
      <c r="F492" s="3" t="s">
        <v>1371</v>
      </c>
      <c r="G492" s="5" t="s">
        <v>1370</v>
      </c>
      <c r="H492" s="5" t="s">
        <v>151</v>
      </c>
      <c r="I492" s="8" t="s">
        <v>1372</v>
      </c>
      <c r="J492" s="2">
        <v>43663</v>
      </c>
      <c r="K492" s="2">
        <v>44759</v>
      </c>
      <c r="L492" s="17">
        <f t="shared" si="203"/>
        <v>83.983862972999745</v>
      </c>
      <c r="M492" s="3" t="s">
        <v>136</v>
      </c>
      <c r="N492" s="5" t="s">
        <v>262</v>
      </c>
      <c r="O492" s="5" t="s">
        <v>137</v>
      </c>
      <c r="P492" s="28" t="s">
        <v>138</v>
      </c>
      <c r="Q492" s="5" t="s">
        <v>34</v>
      </c>
      <c r="R492" s="9">
        <f t="shared" si="216"/>
        <v>20432953.949999996</v>
      </c>
      <c r="S492" s="9">
        <v>16477397.119999995</v>
      </c>
      <c r="T492" s="9">
        <v>3955556.83</v>
      </c>
      <c r="U492" s="9">
        <f t="shared" si="214"/>
        <v>0</v>
      </c>
      <c r="V492" s="54">
        <v>0</v>
      </c>
      <c r="W492" s="54">
        <v>0</v>
      </c>
      <c r="X492" s="9">
        <f t="shared" si="215"/>
        <v>3896665.1300000004</v>
      </c>
      <c r="Y492" s="9">
        <v>2907775.95</v>
      </c>
      <c r="Z492" s="9">
        <v>988889.18</v>
      </c>
      <c r="AA492" s="9">
        <f t="shared" si="217"/>
        <v>0</v>
      </c>
      <c r="AB492" s="9">
        <v>0</v>
      </c>
      <c r="AC492" s="9">
        <v>0</v>
      </c>
      <c r="AD492" s="45">
        <f t="shared" si="209"/>
        <v>24329619.079999994</v>
      </c>
      <c r="AE492" s="11">
        <v>1520052.49</v>
      </c>
      <c r="AF492" s="9">
        <f t="shared" si="213"/>
        <v>25849671.569999993</v>
      </c>
      <c r="AG492" s="60" t="s">
        <v>515</v>
      </c>
      <c r="AH492" s="14" t="s">
        <v>1645</v>
      </c>
      <c r="AI492" s="1">
        <f>199741.38+44946.79+2168542.7+2942194.64</f>
        <v>5355425.51</v>
      </c>
      <c r="AJ492" s="1">
        <v>0</v>
      </c>
    </row>
    <row r="493" spans="1:36" ht="141.75" x14ac:dyDescent="0.25">
      <c r="A493" s="5">
        <f t="shared" si="210"/>
        <v>490</v>
      </c>
      <c r="B493" s="5">
        <v>127604</v>
      </c>
      <c r="C493" s="6">
        <v>587</v>
      </c>
      <c r="D493" s="5" t="s">
        <v>1373</v>
      </c>
      <c r="E493" s="19" t="s">
        <v>1125</v>
      </c>
      <c r="F493" s="3" t="s">
        <v>1374</v>
      </c>
      <c r="G493" s="5" t="s">
        <v>1375</v>
      </c>
      <c r="H493" s="5" t="s">
        <v>151</v>
      </c>
      <c r="I493" s="8" t="s">
        <v>1438</v>
      </c>
      <c r="J493" s="2">
        <v>43663</v>
      </c>
      <c r="K493" s="2">
        <v>44821</v>
      </c>
      <c r="L493" s="17">
        <f t="shared" si="203"/>
        <v>83.983863106129363</v>
      </c>
      <c r="M493" s="3" t="s">
        <v>136</v>
      </c>
      <c r="N493" s="5" t="s">
        <v>262</v>
      </c>
      <c r="O493" s="5" t="s">
        <v>137</v>
      </c>
      <c r="P493" s="28" t="s">
        <v>138</v>
      </c>
      <c r="Q493" s="5" t="s">
        <v>34</v>
      </c>
      <c r="R493" s="9">
        <f t="shared" si="216"/>
        <v>8930595.7800000012</v>
      </c>
      <c r="S493" s="9">
        <v>7201747.4500000011</v>
      </c>
      <c r="T493" s="9">
        <v>1728848.33</v>
      </c>
      <c r="U493" s="9">
        <f t="shared" si="214"/>
        <v>1490434.5599999998</v>
      </c>
      <c r="V493" s="54">
        <v>1101443.6199999999</v>
      </c>
      <c r="W493" s="54">
        <v>388990.93999999994</v>
      </c>
      <c r="X493" s="9">
        <f t="shared" si="215"/>
        <v>212674.1</v>
      </c>
      <c r="Y493" s="9">
        <v>169452.92</v>
      </c>
      <c r="Z493" s="9">
        <v>43221.18</v>
      </c>
      <c r="AA493" s="9">
        <f t="shared" si="217"/>
        <v>0</v>
      </c>
      <c r="AB493" s="9">
        <v>0</v>
      </c>
      <c r="AC493" s="9">
        <v>0</v>
      </c>
      <c r="AD493" s="45">
        <f t="shared" si="209"/>
        <v>10633704.440000001</v>
      </c>
      <c r="AE493" s="11">
        <v>0</v>
      </c>
      <c r="AF493" s="9">
        <f t="shared" si="213"/>
        <v>10633704.440000001</v>
      </c>
      <c r="AG493" s="60" t="s">
        <v>515</v>
      </c>
      <c r="AH493" s="14" t="s">
        <v>2155</v>
      </c>
      <c r="AI493" s="1">
        <f>729184.89+95917.97+120762.01+115641.58+1026419.93</f>
        <v>2087926.38</v>
      </c>
      <c r="AJ493" s="1">
        <f>121694.28+16007.83+20154.08+19299.52+171300.07</f>
        <v>348455.78</v>
      </c>
    </row>
    <row r="494" spans="1:36" ht="141.75" x14ac:dyDescent="0.25">
      <c r="A494" s="5">
        <f t="shared" si="210"/>
        <v>491</v>
      </c>
      <c r="B494" s="5">
        <v>127638</v>
      </c>
      <c r="C494" s="6">
        <v>607</v>
      </c>
      <c r="D494" s="5" t="s">
        <v>1373</v>
      </c>
      <c r="E494" s="19" t="s">
        <v>1125</v>
      </c>
      <c r="F494" s="3" t="s">
        <v>1380</v>
      </c>
      <c r="G494" s="3" t="s">
        <v>1588</v>
      </c>
      <c r="H494" s="5" t="s">
        <v>1439</v>
      </c>
      <c r="I494" s="8" t="s">
        <v>1385</v>
      </c>
      <c r="J494" s="2">
        <v>43670</v>
      </c>
      <c r="K494" s="2">
        <v>44766</v>
      </c>
      <c r="L494" s="17">
        <f t="shared" ref="L494:L546" si="218">R494/AD494*100</f>
        <v>83.983862864065983</v>
      </c>
      <c r="M494" s="3" t="s">
        <v>136</v>
      </c>
      <c r="N494" s="5" t="s">
        <v>262</v>
      </c>
      <c r="O494" s="5" t="s">
        <v>137</v>
      </c>
      <c r="P494" s="28" t="s">
        <v>138</v>
      </c>
      <c r="Q494" s="5" t="s">
        <v>34</v>
      </c>
      <c r="R494" s="9">
        <f t="shared" si="216"/>
        <v>17926249.02</v>
      </c>
      <c r="S494" s="9">
        <v>14455958</v>
      </c>
      <c r="T494" s="9">
        <v>3470291.02</v>
      </c>
      <c r="U494" s="9">
        <f t="shared" si="214"/>
        <v>1799975.77</v>
      </c>
      <c r="V494" s="54">
        <v>1330197.26</v>
      </c>
      <c r="W494" s="54">
        <v>469778.51</v>
      </c>
      <c r="X494" s="9">
        <f t="shared" si="215"/>
        <v>1618648.39</v>
      </c>
      <c r="Y494" s="9">
        <v>1220854.1599999999</v>
      </c>
      <c r="Z494" s="9">
        <v>397794.23</v>
      </c>
      <c r="AA494" s="9">
        <f t="shared" si="217"/>
        <v>0</v>
      </c>
      <c r="AB494" s="9">
        <v>0</v>
      </c>
      <c r="AC494" s="9">
        <v>0</v>
      </c>
      <c r="AD494" s="45">
        <f t="shared" si="209"/>
        <v>21344873.18</v>
      </c>
      <c r="AE494" s="11">
        <v>0</v>
      </c>
      <c r="AF494" s="9">
        <f t="shared" ref="AF494:AF499" si="219">AD494+AE494</f>
        <v>21344873.18</v>
      </c>
      <c r="AG494" s="60" t="s">
        <v>515</v>
      </c>
      <c r="AH494" s="14" t="s">
        <v>151</v>
      </c>
      <c r="AI494" s="1">
        <f>1253535.02+958175.23+986010.03+1413603.49+1541889.98+1203331.37</f>
        <v>7356545.1200000001</v>
      </c>
      <c r="AJ494" s="1">
        <f>16365.18+65426.77+64307.58+61461.32+88364.69+105947.71+83736.75</f>
        <v>485610.00000000006</v>
      </c>
    </row>
    <row r="495" spans="1:36" ht="154.5" customHeight="1" x14ac:dyDescent="0.25">
      <c r="A495" s="5">
        <f t="shared" si="210"/>
        <v>492</v>
      </c>
      <c r="B495" s="5">
        <v>126229</v>
      </c>
      <c r="C495" s="6">
        <v>639</v>
      </c>
      <c r="D495" s="5" t="s">
        <v>145</v>
      </c>
      <c r="E495" s="19" t="s">
        <v>1381</v>
      </c>
      <c r="F495" s="3" t="s">
        <v>1382</v>
      </c>
      <c r="G495" s="5" t="s">
        <v>99</v>
      </c>
      <c r="H495" s="5" t="s">
        <v>1383</v>
      </c>
      <c r="I495" s="8" t="s">
        <v>1384</v>
      </c>
      <c r="J495" s="2">
        <v>43670</v>
      </c>
      <c r="K495" s="2">
        <v>44766</v>
      </c>
      <c r="L495" s="17">
        <f t="shared" si="218"/>
        <v>83.98386251323501</v>
      </c>
      <c r="M495" s="3" t="s">
        <v>136</v>
      </c>
      <c r="N495" s="5" t="s">
        <v>262</v>
      </c>
      <c r="O495" s="5" t="s">
        <v>137</v>
      </c>
      <c r="P495" s="28" t="s">
        <v>138</v>
      </c>
      <c r="Q495" s="5" t="s">
        <v>34</v>
      </c>
      <c r="R495" s="9">
        <f t="shared" si="216"/>
        <v>4825816.88</v>
      </c>
      <c r="S495" s="9">
        <v>3891600.89</v>
      </c>
      <c r="T495" s="9">
        <v>934215.99</v>
      </c>
      <c r="U495" s="9">
        <f t="shared" si="214"/>
        <v>0</v>
      </c>
      <c r="V495" s="54">
        <v>0</v>
      </c>
      <c r="W495" s="54">
        <v>0</v>
      </c>
      <c r="X495" s="9">
        <f t="shared" si="215"/>
        <v>920307.12</v>
      </c>
      <c r="Y495" s="9">
        <v>686753.08</v>
      </c>
      <c r="Z495" s="9">
        <v>233554.04</v>
      </c>
      <c r="AA495" s="9">
        <f t="shared" si="217"/>
        <v>0</v>
      </c>
      <c r="AB495" s="9">
        <v>0</v>
      </c>
      <c r="AC495" s="9">
        <v>0</v>
      </c>
      <c r="AD495" s="45">
        <f t="shared" si="209"/>
        <v>5746124</v>
      </c>
      <c r="AE495" s="11">
        <v>0</v>
      </c>
      <c r="AF495" s="11">
        <f t="shared" si="219"/>
        <v>5746124</v>
      </c>
      <c r="AG495" s="60" t="s">
        <v>515</v>
      </c>
      <c r="AH495" s="14" t="s">
        <v>2177</v>
      </c>
      <c r="AI495" s="217">
        <f>145280.83+37694.12+28968.97+15635.27+94474.87+29236.46+15273.3</f>
        <v>366563.81999999995</v>
      </c>
      <c r="AJ495" s="217">
        <v>0</v>
      </c>
    </row>
    <row r="496" spans="1:36" ht="154.5" customHeight="1" x14ac:dyDescent="0.25">
      <c r="A496" s="5">
        <f t="shared" si="210"/>
        <v>493</v>
      </c>
      <c r="B496" s="5">
        <v>127545</v>
      </c>
      <c r="C496" s="6">
        <v>613</v>
      </c>
      <c r="D496" s="6" t="s">
        <v>143</v>
      </c>
      <c r="E496" s="19" t="s">
        <v>1125</v>
      </c>
      <c r="F496" s="3" t="s">
        <v>1395</v>
      </c>
      <c r="G496" s="3" t="s">
        <v>74</v>
      </c>
      <c r="H496" s="5" t="s">
        <v>1396</v>
      </c>
      <c r="I496" s="8" t="s">
        <v>1397</v>
      </c>
      <c r="J496" s="2">
        <v>43677</v>
      </c>
      <c r="K496" s="2">
        <v>44773</v>
      </c>
      <c r="L496" s="17">
        <f t="shared" si="218"/>
        <v>83.484031375794231</v>
      </c>
      <c r="M496" s="3" t="s">
        <v>136</v>
      </c>
      <c r="N496" s="5" t="s">
        <v>262</v>
      </c>
      <c r="O496" s="5" t="s">
        <v>137</v>
      </c>
      <c r="P496" s="28" t="s">
        <v>138</v>
      </c>
      <c r="Q496" s="5" t="s">
        <v>34</v>
      </c>
      <c r="R496" s="9">
        <f t="shared" si="216"/>
        <v>20871001.039999999</v>
      </c>
      <c r="S496" s="9">
        <v>16830644</v>
      </c>
      <c r="T496" s="9">
        <v>4040357.04</v>
      </c>
      <c r="U496" s="9">
        <f t="shared" si="214"/>
        <v>1167673.8600000001</v>
      </c>
      <c r="V496" s="54">
        <v>871343.53</v>
      </c>
      <c r="W496" s="54">
        <v>296330.33</v>
      </c>
      <c r="X496" s="9">
        <f t="shared" si="215"/>
        <v>2812529.02</v>
      </c>
      <c r="Y496" s="9">
        <v>2098770.16</v>
      </c>
      <c r="Z496" s="9">
        <v>713758.86</v>
      </c>
      <c r="AA496" s="9">
        <f t="shared" si="217"/>
        <v>148787.93</v>
      </c>
      <c r="AB496" s="9">
        <v>118550.11</v>
      </c>
      <c r="AC496" s="9">
        <v>30237.82</v>
      </c>
      <c r="AD496" s="45">
        <f t="shared" si="209"/>
        <v>24999991.849999998</v>
      </c>
      <c r="AE496" s="11">
        <v>0</v>
      </c>
      <c r="AF496" s="11">
        <f t="shared" si="219"/>
        <v>24999991.849999998</v>
      </c>
      <c r="AG496" s="60" t="s">
        <v>515</v>
      </c>
      <c r="AH496" s="14" t="s">
        <v>1738</v>
      </c>
      <c r="AI496" s="1">
        <f>2441026.11+1058725.31+1022971.17+454217.09+657211.52-100086.86+1278335.91+1000077.5</f>
        <v>7812477.7499999991</v>
      </c>
      <c r="AJ496" s="1">
        <f>75306.49+85584.09+86633.56+94084.22+105259.9+100086.86+101520.68</f>
        <v>648475.80000000005</v>
      </c>
    </row>
    <row r="497" spans="1:36" ht="154.5" customHeight="1" x14ac:dyDescent="0.25">
      <c r="A497" s="5">
        <f t="shared" si="210"/>
        <v>494</v>
      </c>
      <c r="B497" s="16">
        <v>127380</v>
      </c>
      <c r="C497" s="70">
        <v>577</v>
      </c>
      <c r="D497" s="6" t="s">
        <v>143</v>
      </c>
      <c r="E497" s="19" t="s">
        <v>1125</v>
      </c>
      <c r="F497" s="32" t="s">
        <v>1399</v>
      </c>
      <c r="G497" s="3" t="s">
        <v>1590</v>
      </c>
      <c r="H497" s="5" t="s">
        <v>151</v>
      </c>
      <c r="I497" s="8" t="s">
        <v>1440</v>
      </c>
      <c r="J497" s="2">
        <v>43679</v>
      </c>
      <c r="K497" s="2">
        <v>44653</v>
      </c>
      <c r="L497" s="17">
        <f t="shared" si="218"/>
        <v>83.983862948260466</v>
      </c>
      <c r="M497" s="3" t="s">
        <v>136</v>
      </c>
      <c r="N497" s="5" t="s">
        <v>262</v>
      </c>
      <c r="O497" s="5" t="s">
        <v>137</v>
      </c>
      <c r="P497" s="28" t="s">
        <v>138</v>
      </c>
      <c r="Q497" s="5" t="s">
        <v>34</v>
      </c>
      <c r="R497" s="9">
        <f t="shared" si="216"/>
        <v>7020649.5500000007</v>
      </c>
      <c r="S497" s="9">
        <v>5661542.1600000001</v>
      </c>
      <c r="T497" s="9">
        <v>1359107.3900000004</v>
      </c>
      <c r="U497" s="9">
        <f t="shared" si="214"/>
        <v>0</v>
      </c>
      <c r="V497" s="54">
        <v>0</v>
      </c>
      <c r="W497" s="54">
        <v>0</v>
      </c>
      <c r="X497" s="9">
        <f t="shared" si="215"/>
        <v>1338872.51</v>
      </c>
      <c r="Y497" s="9">
        <v>999095.7</v>
      </c>
      <c r="Z497" s="9">
        <v>339776.81</v>
      </c>
      <c r="AA497" s="9">
        <f t="shared" si="217"/>
        <v>0</v>
      </c>
      <c r="AB497" s="9">
        <v>0</v>
      </c>
      <c r="AC497" s="9">
        <v>0</v>
      </c>
      <c r="AD497" s="45">
        <f t="shared" si="209"/>
        <v>8359522.0600000005</v>
      </c>
      <c r="AE497" s="11">
        <v>0</v>
      </c>
      <c r="AF497" s="11">
        <f t="shared" si="219"/>
        <v>8359522.0600000005</v>
      </c>
      <c r="AG497" s="60" t="s">
        <v>515</v>
      </c>
      <c r="AH497" s="14" t="s">
        <v>2142</v>
      </c>
      <c r="AI497" s="218">
        <f>763188.96+122256.99+52534.43+742881.78+974677.25+895732.41</f>
        <v>3551271.8200000003</v>
      </c>
      <c r="AJ497" s="218">
        <v>0</v>
      </c>
    </row>
    <row r="498" spans="1:36" ht="154.5" customHeight="1" x14ac:dyDescent="0.25">
      <c r="A498" s="5">
        <f t="shared" si="210"/>
        <v>495</v>
      </c>
      <c r="B498" s="16">
        <v>127401</v>
      </c>
      <c r="C498" s="70">
        <v>599</v>
      </c>
      <c r="D498" s="7" t="s">
        <v>143</v>
      </c>
      <c r="E498" s="7" t="s">
        <v>1125</v>
      </c>
      <c r="F498" s="32" t="s">
        <v>1400</v>
      </c>
      <c r="G498" s="3" t="s">
        <v>1593</v>
      </c>
      <c r="H498" s="5" t="s">
        <v>151</v>
      </c>
      <c r="I498" s="8" t="s">
        <v>1401</v>
      </c>
      <c r="J498" s="2">
        <v>43677</v>
      </c>
      <c r="K498" s="2" t="s">
        <v>2115</v>
      </c>
      <c r="L498" s="17">
        <f t="shared" si="218"/>
        <v>83.983862769687562</v>
      </c>
      <c r="M498" s="3" t="s">
        <v>136</v>
      </c>
      <c r="N498" s="5" t="s">
        <v>262</v>
      </c>
      <c r="O498" s="5" t="s">
        <v>137</v>
      </c>
      <c r="P498" s="28" t="s">
        <v>138</v>
      </c>
      <c r="Q498" s="5" t="s">
        <v>34</v>
      </c>
      <c r="R498" s="9">
        <f t="shared" si="216"/>
        <v>3643193.6799999992</v>
      </c>
      <c r="S498" s="9">
        <v>2937918.2999999993</v>
      </c>
      <c r="T498" s="9">
        <v>705275.38</v>
      </c>
      <c r="U498" s="9">
        <f t="shared" si="214"/>
        <v>0</v>
      </c>
      <c r="V498" s="54">
        <v>0</v>
      </c>
      <c r="W498" s="54">
        <v>0</v>
      </c>
      <c r="X498" s="9">
        <f t="shared" si="215"/>
        <v>694775.02</v>
      </c>
      <c r="Y498" s="9">
        <v>518456.16</v>
      </c>
      <c r="Z498" s="9">
        <v>176318.86</v>
      </c>
      <c r="AA498" s="9">
        <f t="shared" si="217"/>
        <v>0</v>
      </c>
      <c r="AB498" s="9">
        <v>0</v>
      </c>
      <c r="AC498" s="9">
        <v>0</v>
      </c>
      <c r="AD498" s="45">
        <f t="shared" si="209"/>
        <v>4337968.6999999993</v>
      </c>
      <c r="AE498" s="11">
        <v>0</v>
      </c>
      <c r="AF498" s="11">
        <f t="shared" si="219"/>
        <v>4337968.6999999993</v>
      </c>
      <c r="AG498" s="60" t="s">
        <v>515</v>
      </c>
      <c r="AH498" s="14" t="s">
        <v>151</v>
      </c>
      <c r="AI498" s="218">
        <f>69137.6+3347.53+168654.25</f>
        <v>241139.38</v>
      </c>
      <c r="AJ498" s="218">
        <v>0</v>
      </c>
    </row>
    <row r="499" spans="1:36" ht="267.75" x14ac:dyDescent="0.25">
      <c r="A499" s="5">
        <f t="shared" si="210"/>
        <v>496</v>
      </c>
      <c r="B499" s="16">
        <v>126656</v>
      </c>
      <c r="C499" s="70">
        <v>588</v>
      </c>
      <c r="D499" s="6" t="s">
        <v>143</v>
      </c>
      <c r="E499" s="7" t="s">
        <v>1125</v>
      </c>
      <c r="F499" s="32" t="s">
        <v>1406</v>
      </c>
      <c r="G499" s="5" t="s">
        <v>1648</v>
      </c>
      <c r="H499" s="5" t="s">
        <v>1407</v>
      </c>
      <c r="I499" s="8" t="s">
        <v>1408</v>
      </c>
      <c r="J499" s="2">
        <v>43679</v>
      </c>
      <c r="K499" s="2">
        <v>44775</v>
      </c>
      <c r="L499" s="17">
        <f t="shared" si="218"/>
        <v>83.983863236326343</v>
      </c>
      <c r="M499" s="3" t="s">
        <v>136</v>
      </c>
      <c r="N499" s="5" t="s">
        <v>262</v>
      </c>
      <c r="O499" s="5" t="s">
        <v>137</v>
      </c>
      <c r="P499" s="28" t="s">
        <v>138</v>
      </c>
      <c r="Q499" s="5" t="s">
        <v>34</v>
      </c>
      <c r="R499" s="9">
        <f t="shared" si="216"/>
        <v>15554651.310000001</v>
      </c>
      <c r="S499" s="9">
        <v>12543471.08</v>
      </c>
      <c r="T499" s="9">
        <v>3011180.23</v>
      </c>
      <c r="U499" s="9">
        <f t="shared" si="214"/>
        <v>350403.42000000004</v>
      </c>
      <c r="V499" s="54">
        <v>258951.04000000001</v>
      </c>
      <c r="W499" s="54">
        <v>91452.38</v>
      </c>
      <c r="X499" s="9">
        <f t="shared" si="215"/>
        <v>2615945.27</v>
      </c>
      <c r="Y499" s="9">
        <v>1954602.61</v>
      </c>
      <c r="Z499" s="9">
        <v>661342.66</v>
      </c>
      <c r="AA499" s="9">
        <f t="shared" si="217"/>
        <v>0</v>
      </c>
      <c r="AB499" s="9">
        <v>0</v>
      </c>
      <c r="AC499" s="9">
        <v>0</v>
      </c>
      <c r="AD499" s="45">
        <f t="shared" si="209"/>
        <v>18521000</v>
      </c>
      <c r="AE499" s="11">
        <v>0</v>
      </c>
      <c r="AF499" s="11">
        <f t="shared" si="219"/>
        <v>18521000</v>
      </c>
      <c r="AG499" s="60" t="s">
        <v>515</v>
      </c>
      <c r="AH499" s="219" t="s">
        <v>2153</v>
      </c>
      <c r="AI499" s="220">
        <f>2878878.12+420598.37+575376.98+8321784.61+46957.9</f>
        <v>12243595.98</v>
      </c>
      <c r="AJ499" s="220">
        <f>23069.09+56020.34+56397.11</f>
        <v>135486.53999999998</v>
      </c>
    </row>
    <row r="500" spans="1:36" ht="141.75" x14ac:dyDescent="0.25">
      <c r="A500" s="5">
        <f t="shared" si="210"/>
        <v>497</v>
      </c>
      <c r="B500" s="16">
        <v>127529</v>
      </c>
      <c r="C500" s="70">
        <v>618</v>
      </c>
      <c r="D500" s="6" t="s">
        <v>143</v>
      </c>
      <c r="E500" s="7" t="s">
        <v>1125</v>
      </c>
      <c r="F500" s="32" t="s">
        <v>1419</v>
      </c>
      <c r="G500" s="3" t="s">
        <v>1590</v>
      </c>
      <c r="H500" s="5" t="s">
        <v>151</v>
      </c>
      <c r="I500" s="8" t="s">
        <v>1420</v>
      </c>
      <c r="J500" s="2">
        <v>43683</v>
      </c>
      <c r="K500" s="2">
        <v>44779</v>
      </c>
      <c r="L500" s="17">
        <f t="shared" si="218"/>
        <v>83.983863227150081</v>
      </c>
      <c r="M500" s="3" t="s">
        <v>136</v>
      </c>
      <c r="N500" s="5" t="s">
        <v>262</v>
      </c>
      <c r="O500" s="5" t="s">
        <v>137</v>
      </c>
      <c r="P500" s="28" t="s">
        <v>138</v>
      </c>
      <c r="Q500" s="5" t="s">
        <v>34</v>
      </c>
      <c r="R500" s="9">
        <v>12609023.520000001</v>
      </c>
      <c r="S500" s="9">
        <v>10168078.920000002</v>
      </c>
      <c r="T500" s="9">
        <v>2440944.5999999996</v>
      </c>
      <c r="U500" s="9">
        <v>0</v>
      </c>
      <c r="V500" s="54">
        <v>0</v>
      </c>
      <c r="W500" s="54">
        <v>0</v>
      </c>
      <c r="X500" s="9">
        <v>2404602.9499999997</v>
      </c>
      <c r="Y500" s="9">
        <v>1794366.8</v>
      </c>
      <c r="Z500" s="9">
        <v>610236.15</v>
      </c>
      <c r="AA500" s="9">
        <v>0</v>
      </c>
      <c r="AB500" s="9">
        <v>0</v>
      </c>
      <c r="AC500" s="9">
        <v>0</v>
      </c>
      <c r="AD500" s="45">
        <f t="shared" si="209"/>
        <v>15013626.470000001</v>
      </c>
      <c r="AE500" s="11">
        <v>0</v>
      </c>
      <c r="AF500" s="11">
        <v>15013626.470000001</v>
      </c>
      <c r="AG500" s="60" t="s">
        <v>515</v>
      </c>
      <c r="AH500" s="219"/>
      <c r="AI500" s="218">
        <f>1290323.25+62422.68+65015.25+128450.8+49284.26</f>
        <v>1595496.24</v>
      </c>
      <c r="AJ500" s="218">
        <v>0</v>
      </c>
    </row>
    <row r="501" spans="1:36" ht="141.75" x14ac:dyDescent="0.25">
      <c r="A501" s="5">
        <f t="shared" si="210"/>
        <v>498</v>
      </c>
      <c r="B501" s="16">
        <v>127558</v>
      </c>
      <c r="C501" s="70">
        <v>617</v>
      </c>
      <c r="D501" s="6" t="s">
        <v>143</v>
      </c>
      <c r="E501" s="7" t="s">
        <v>1125</v>
      </c>
      <c r="F501" s="32" t="s">
        <v>1426</v>
      </c>
      <c r="G501" s="3" t="s">
        <v>1351</v>
      </c>
      <c r="H501" s="5" t="s">
        <v>1427</v>
      </c>
      <c r="I501" s="8" t="s">
        <v>1430</v>
      </c>
      <c r="J501" s="2">
        <v>43690</v>
      </c>
      <c r="K501" s="2">
        <v>44786</v>
      </c>
      <c r="L501" s="17">
        <f t="shared" si="218"/>
        <v>83.983863343862623</v>
      </c>
      <c r="M501" s="3" t="s">
        <v>136</v>
      </c>
      <c r="N501" s="5" t="s">
        <v>262</v>
      </c>
      <c r="O501" s="5" t="s">
        <v>137</v>
      </c>
      <c r="P501" s="28" t="s">
        <v>138</v>
      </c>
      <c r="Q501" s="5" t="s">
        <v>34</v>
      </c>
      <c r="R501" s="9">
        <f t="shared" ref="R501:R546" si="220">S501+T501</f>
        <v>5543927.459999999</v>
      </c>
      <c r="S501" s="9">
        <v>4470694.4799999995</v>
      </c>
      <c r="T501" s="9">
        <v>1073232.98</v>
      </c>
      <c r="U501" s="9">
        <f t="shared" ref="U501:U546" si="221">V501+W501</f>
        <v>622730.89999999991</v>
      </c>
      <c r="V501" s="54">
        <v>460203.37999999989</v>
      </c>
      <c r="W501" s="54">
        <v>162527.51999999999</v>
      </c>
      <c r="X501" s="9">
        <f t="shared" ref="X501:X546" si="222">Y501+Z501</f>
        <v>434523.39</v>
      </c>
      <c r="Y501" s="9">
        <v>328742.67</v>
      </c>
      <c r="Z501" s="9">
        <v>105780.72</v>
      </c>
      <c r="AA501" s="9">
        <f t="shared" ref="AA501:AA536" si="223">AB501+AC501</f>
        <v>0</v>
      </c>
      <c r="AB501" s="9">
        <v>0</v>
      </c>
      <c r="AC501" s="9">
        <v>0</v>
      </c>
      <c r="AD501" s="45">
        <f t="shared" si="209"/>
        <v>6601181.7499999991</v>
      </c>
      <c r="AE501" s="11">
        <v>0</v>
      </c>
      <c r="AF501" s="11">
        <f t="shared" ref="AF501:AF546" si="224">AD501+AE501</f>
        <v>6601181.7499999991</v>
      </c>
      <c r="AG501" s="60" t="s">
        <v>515</v>
      </c>
      <c r="AH501" s="219" t="s">
        <v>2197</v>
      </c>
      <c r="AI501" s="1">
        <f>188227.39+57274.01+67960.59-9998.28+9998.28</f>
        <v>313461.99</v>
      </c>
      <c r="AJ501" s="1">
        <f>3394.43+5680.37+5952.09</f>
        <v>15026.89</v>
      </c>
    </row>
    <row r="502" spans="1:36" ht="236.25" x14ac:dyDescent="0.25">
      <c r="A502" s="5">
        <f t="shared" si="210"/>
        <v>499</v>
      </c>
      <c r="B502" s="16">
        <v>125764</v>
      </c>
      <c r="C502" s="70">
        <v>586</v>
      </c>
      <c r="D502" s="6" t="s">
        <v>143</v>
      </c>
      <c r="E502" s="7" t="s">
        <v>1125</v>
      </c>
      <c r="F502" s="32" t="s">
        <v>1428</v>
      </c>
      <c r="G502" s="3" t="s">
        <v>1595</v>
      </c>
      <c r="H502" s="5" t="s">
        <v>362</v>
      </c>
      <c r="I502" s="8" t="s">
        <v>1429</v>
      </c>
      <c r="J502" s="2">
        <v>43690</v>
      </c>
      <c r="K502" s="2">
        <v>44847</v>
      </c>
      <c r="L502" s="17">
        <f t="shared" si="218"/>
        <v>83.983863083303191</v>
      </c>
      <c r="M502" s="3" t="s">
        <v>136</v>
      </c>
      <c r="N502" s="5" t="s">
        <v>262</v>
      </c>
      <c r="O502" s="5" t="s">
        <v>137</v>
      </c>
      <c r="P502" s="28" t="s">
        <v>138</v>
      </c>
      <c r="Q502" s="5" t="s">
        <v>34</v>
      </c>
      <c r="R502" s="9">
        <f t="shared" si="220"/>
        <v>13100178.379999995</v>
      </c>
      <c r="S502" s="9">
        <v>10564152.539999997</v>
      </c>
      <c r="T502" s="9">
        <v>2536025.8399999989</v>
      </c>
      <c r="U502" s="9">
        <f t="shared" si="221"/>
        <v>0</v>
      </c>
      <c r="V502" s="54">
        <v>0</v>
      </c>
      <c r="W502" s="54">
        <v>0</v>
      </c>
      <c r="X502" s="9">
        <f t="shared" si="222"/>
        <v>2498268.63</v>
      </c>
      <c r="Y502" s="9">
        <v>1864262.14</v>
      </c>
      <c r="Z502" s="9">
        <v>634006.49</v>
      </c>
      <c r="AA502" s="9">
        <f t="shared" si="223"/>
        <v>0</v>
      </c>
      <c r="AB502" s="9">
        <v>0</v>
      </c>
      <c r="AC502" s="9">
        <v>0</v>
      </c>
      <c r="AD502" s="45">
        <f t="shared" si="209"/>
        <v>15598447.009999994</v>
      </c>
      <c r="AE502" s="11">
        <v>0</v>
      </c>
      <c r="AF502" s="11">
        <f t="shared" si="224"/>
        <v>15598447.009999994</v>
      </c>
      <c r="AG502" s="60" t="s">
        <v>515</v>
      </c>
      <c r="AH502" s="219" t="s">
        <v>2196</v>
      </c>
      <c r="AI502" s="1">
        <f>407379.82+60533.9+49990.55+46307.86+30894.3</f>
        <v>595106.43000000005</v>
      </c>
      <c r="AJ502" s="1">
        <v>0</v>
      </c>
    </row>
    <row r="503" spans="1:36" ht="173.25" x14ac:dyDescent="0.25">
      <c r="A503" s="5">
        <f t="shared" si="210"/>
        <v>500</v>
      </c>
      <c r="B503" s="16">
        <v>127462</v>
      </c>
      <c r="C503" s="70">
        <v>581</v>
      </c>
      <c r="D503" s="6" t="s">
        <v>143</v>
      </c>
      <c r="E503" s="7" t="s">
        <v>1125</v>
      </c>
      <c r="F503" s="32" t="s">
        <v>1431</v>
      </c>
      <c r="G503" s="3" t="s">
        <v>1432</v>
      </c>
      <c r="H503" s="5" t="s">
        <v>1433</v>
      </c>
      <c r="I503" s="8" t="s">
        <v>1434</v>
      </c>
      <c r="J503" s="2">
        <v>43690</v>
      </c>
      <c r="K503" s="2">
        <v>44543</v>
      </c>
      <c r="L503" s="17">
        <f t="shared" si="218"/>
        <v>83.81974496254557</v>
      </c>
      <c r="M503" s="3" t="s">
        <v>136</v>
      </c>
      <c r="N503" s="5" t="s">
        <v>262</v>
      </c>
      <c r="O503" s="5" t="s">
        <v>137</v>
      </c>
      <c r="P503" s="28" t="s">
        <v>138</v>
      </c>
      <c r="Q503" s="5" t="s">
        <v>34</v>
      </c>
      <c r="R503" s="9">
        <f t="shared" si="220"/>
        <v>16722840.989999998</v>
      </c>
      <c r="S503" s="9">
        <v>13485514.289999999</v>
      </c>
      <c r="T503" s="9">
        <v>3237326.7</v>
      </c>
      <c r="U503" s="9">
        <f t="shared" si="221"/>
        <v>2829096.54</v>
      </c>
      <c r="V503" s="54">
        <v>2092933.21</v>
      </c>
      <c r="W503" s="54">
        <v>736163.33</v>
      </c>
      <c r="X503" s="9">
        <f t="shared" si="222"/>
        <v>360031.77</v>
      </c>
      <c r="Y503" s="9">
        <v>286863.42</v>
      </c>
      <c r="Z503" s="9">
        <v>73168.350000000006</v>
      </c>
      <c r="AA503" s="9">
        <f t="shared" si="223"/>
        <v>38987.360000000001</v>
      </c>
      <c r="AB503" s="9">
        <v>31064.05</v>
      </c>
      <c r="AC503" s="9">
        <v>7923.31</v>
      </c>
      <c r="AD503" s="45">
        <f t="shared" si="209"/>
        <v>19950956.659999996</v>
      </c>
      <c r="AE503" s="11">
        <v>0</v>
      </c>
      <c r="AF503" s="11">
        <f t="shared" si="224"/>
        <v>19950956.659999996</v>
      </c>
      <c r="AG503" s="60" t="s">
        <v>515</v>
      </c>
      <c r="AH503" s="219"/>
      <c r="AI503" s="1">
        <f>645008.07+192434.46+27134.16+264408.25-23366.2+347653.73+109053.81+1470378.13-8332.91+27357.74+12742.03+1108124.28+487120.33+725203.81</f>
        <v>5384919.6899999995</v>
      </c>
      <c r="AJ503" s="1">
        <f>101913.04+12417.88+42350.03+11594.15+23366.2+33672.25+44388.96+222006.36+8332.91+4565.76+2126.53+213660.41+67560.12+121029.87</f>
        <v>908984.47</v>
      </c>
    </row>
    <row r="504" spans="1:36" ht="189" x14ac:dyDescent="0.25">
      <c r="A504" s="5">
        <f t="shared" si="210"/>
        <v>501</v>
      </c>
      <c r="B504" s="5">
        <v>129502</v>
      </c>
      <c r="C504" s="6">
        <v>746</v>
      </c>
      <c r="D504" s="8" t="s">
        <v>146</v>
      </c>
      <c r="E504" s="18" t="s">
        <v>1369</v>
      </c>
      <c r="F504" s="8" t="s">
        <v>1450</v>
      </c>
      <c r="G504" s="5" t="s">
        <v>1449</v>
      </c>
      <c r="H504" s="5" t="s">
        <v>1448</v>
      </c>
      <c r="I504" s="42" t="s">
        <v>1447</v>
      </c>
      <c r="J504" s="2">
        <v>43697</v>
      </c>
      <c r="K504" s="2">
        <v>44977</v>
      </c>
      <c r="L504" s="17">
        <f t="shared" si="218"/>
        <v>83.983862795774542</v>
      </c>
      <c r="M504" s="3" t="s">
        <v>136</v>
      </c>
      <c r="N504" s="5" t="s">
        <v>262</v>
      </c>
      <c r="O504" s="5" t="s">
        <v>137</v>
      </c>
      <c r="P504" s="28" t="s">
        <v>138</v>
      </c>
      <c r="Q504" s="5" t="s">
        <v>34</v>
      </c>
      <c r="R504" s="4">
        <f t="shared" si="220"/>
        <v>16341565.460000003</v>
      </c>
      <c r="S504" s="9">
        <v>13178048.740000002</v>
      </c>
      <c r="T504" s="9">
        <v>3163516.7200000011</v>
      </c>
      <c r="U504" s="4">
        <f t="shared" si="221"/>
        <v>612798.06999999983</v>
      </c>
      <c r="V504" s="54">
        <v>452862.94999999984</v>
      </c>
      <c r="W504" s="54">
        <v>159935.11999999994</v>
      </c>
      <c r="X504" s="4">
        <f t="shared" si="222"/>
        <v>2503619.13</v>
      </c>
      <c r="Y504" s="9">
        <v>1872675.12</v>
      </c>
      <c r="Z504" s="9">
        <v>630944.01</v>
      </c>
      <c r="AA504" s="9">
        <f t="shared" si="223"/>
        <v>0</v>
      </c>
      <c r="AB504" s="9">
        <v>0</v>
      </c>
      <c r="AC504" s="9">
        <v>0</v>
      </c>
      <c r="AD504" s="45">
        <f t="shared" si="209"/>
        <v>19457982.66</v>
      </c>
      <c r="AE504" s="9">
        <v>0</v>
      </c>
      <c r="AF504" s="9">
        <f t="shared" si="224"/>
        <v>19457982.66</v>
      </c>
      <c r="AG504" s="60" t="s">
        <v>515</v>
      </c>
      <c r="AH504" s="14" t="s">
        <v>1968</v>
      </c>
      <c r="AI504" s="1">
        <f>238670.27+559386.55+364853.32+124488.29+243919.75+161861.05+344034.22</f>
        <v>2037213.4500000002</v>
      </c>
      <c r="AJ504" s="1">
        <f>2450.84+7846.76+45505.93+412.07+9977.53+11413.05+2096.82</f>
        <v>79703.000000000015</v>
      </c>
    </row>
    <row r="505" spans="1:36" ht="189" x14ac:dyDescent="0.25">
      <c r="A505" s="5">
        <f t="shared" si="210"/>
        <v>502</v>
      </c>
      <c r="B505" s="5">
        <v>129865</v>
      </c>
      <c r="C505" s="6">
        <v>747</v>
      </c>
      <c r="D505" s="8" t="s">
        <v>146</v>
      </c>
      <c r="E505" s="18" t="s">
        <v>1369</v>
      </c>
      <c r="F505" s="8" t="s">
        <v>1446</v>
      </c>
      <c r="G505" s="5" t="s">
        <v>1445</v>
      </c>
      <c r="H505" s="5" t="s">
        <v>1444</v>
      </c>
      <c r="I505" s="42" t="s">
        <v>1443</v>
      </c>
      <c r="J505" s="2">
        <v>43697</v>
      </c>
      <c r="K505" s="2">
        <v>45158</v>
      </c>
      <c r="L505" s="17">
        <f t="shared" si="218"/>
        <v>83.983862919999993</v>
      </c>
      <c r="M505" s="3" t="s">
        <v>136</v>
      </c>
      <c r="N505" s="5" t="s">
        <v>262</v>
      </c>
      <c r="O505" s="5" t="s">
        <v>137</v>
      </c>
      <c r="P505" s="28" t="s">
        <v>138</v>
      </c>
      <c r="Q505" s="5" t="s">
        <v>34</v>
      </c>
      <c r="R505" s="4">
        <f t="shared" si="220"/>
        <v>20995965.73</v>
      </c>
      <c r="S505" s="9">
        <v>16931417.09</v>
      </c>
      <c r="T505" s="9">
        <v>4064548.6400000006</v>
      </c>
      <c r="U505" s="4">
        <f t="shared" si="221"/>
        <v>517002.47</v>
      </c>
      <c r="V505" s="54">
        <v>382069.14999999997</v>
      </c>
      <c r="W505" s="54">
        <v>134933.31999999998</v>
      </c>
      <c r="X505" s="4">
        <f t="shared" si="222"/>
        <v>3487031.8</v>
      </c>
      <c r="Y505" s="9">
        <v>2605827.96</v>
      </c>
      <c r="Z505" s="9">
        <v>881203.84</v>
      </c>
      <c r="AA505" s="9">
        <f t="shared" si="223"/>
        <v>0</v>
      </c>
      <c r="AB505" s="9">
        <v>0</v>
      </c>
      <c r="AC505" s="9">
        <v>0</v>
      </c>
      <c r="AD505" s="45">
        <f t="shared" si="209"/>
        <v>25000000</v>
      </c>
      <c r="AE505" s="9">
        <v>4000</v>
      </c>
      <c r="AF505" s="9">
        <f t="shared" si="224"/>
        <v>25004000</v>
      </c>
      <c r="AG505" s="60" t="s">
        <v>515</v>
      </c>
      <c r="AH505" s="14" t="s">
        <v>2086</v>
      </c>
      <c r="AI505" s="1">
        <f>1811209.04+268056.34+1451454.88+60000+554008.73-2145.79+464628.89+299999.99</f>
        <v>4907212.08</v>
      </c>
      <c r="AJ505" s="1">
        <f>65104.21+2145.79</f>
        <v>67250</v>
      </c>
    </row>
    <row r="506" spans="1:36" ht="147" customHeight="1" x14ac:dyDescent="0.25">
      <c r="A506" s="5">
        <f t="shared" si="210"/>
        <v>503</v>
      </c>
      <c r="B506" s="16">
        <v>127554</v>
      </c>
      <c r="C506" s="70">
        <v>596</v>
      </c>
      <c r="D506" s="56" t="s">
        <v>1373</v>
      </c>
      <c r="E506" s="121" t="s">
        <v>1125</v>
      </c>
      <c r="F506" s="56" t="s">
        <v>1457</v>
      </c>
      <c r="G506" s="5" t="s">
        <v>1648</v>
      </c>
      <c r="H506" s="5" t="s">
        <v>1458</v>
      </c>
      <c r="I506" s="42" t="s">
        <v>1459</v>
      </c>
      <c r="J506" s="2">
        <v>43698</v>
      </c>
      <c r="K506" s="2">
        <v>44855</v>
      </c>
      <c r="L506" s="17">
        <f t="shared" si="218"/>
        <v>83.98386258328982</v>
      </c>
      <c r="M506" s="5" t="s">
        <v>136</v>
      </c>
      <c r="N506" s="5" t="s">
        <v>262</v>
      </c>
      <c r="O506" s="5" t="str">
        <f t="shared" ref="O506:Q508" si="225">O505</f>
        <v>Bucuresti</v>
      </c>
      <c r="P506" s="3" t="str">
        <f t="shared" si="225"/>
        <v>APC</v>
      </c>
      <c r="Q506" s="5" t="str">
        <f t="shared" si="225"/>
        <v>119 - Investiții în capacitatea instituțională și în eficiența administrațiilor și a serviciilor publice la nivel național, regional și local, în perspectiva realizării de reforme, a unei mai bune legiferări și a bunei guvernanțe</v>
      </c>
      <c r="R506" s="4">
        <f t="shared" si="220"/>
        <v>12098670.219999999</v>
      </c>
      <c r="S506" s="9">
        <v>9756523.4399999976</v>
      </c>
      <c r="T506" s="9">
        <v>2342146.7800000003</v>
      </c>
      <c r="U506" s="4">
        <f t="shared" si="221"/>
        <v>0</v>
      </c>
      <c r="V506" s="54">
        <v>0</v>
      </c>
      <c r="W506" s="54">
        <v>0</v>
      </c>
      <c r="X506" s="4">
        <f t="shared" si="222"/>
        <v>2307276.1700000004</v>
      </c>
      <c r="Y506" s="9">
        <v>1721739.4581900353</v>
      </c>
      <c r="Z506" s="9">
        <v>585536.71180996508</v>
      </c>
      <c r="AA506" s="9">
        <f t="shared" si="223"/>
        <v>0</v>
      </c>
      <c r="AB506" s="9">
        <v>0</v>
      </c>
      <c r="AC506" s="9">
        <v>0</v>
      </c>
      <c r="AD506" s="45">
        <f t="shared" si="209"/>
        <v>14405946.389999999</v>
      </c>
      <c r="AE506" s="9">
        <v>1695594.64</v>
      </c>
      <c r="AF506" s="9">
        <f t="shared" si="224"/>
        <v>16101541.029999999</v>
      </c>
      <c r="AG506" s="60" t="s">
        <v>515</v>
      </c>
      <c r="AH506" s="14" t="s">
        <v>2172</v>
      </c>
      <c r="AI506" s="1">
        <f>80134.03+50027.51+67034.24+81022.59+61634.92+75486.38</f>
        <v>415339.67</v>
      </c>
      <c r="AJ506" s="1">
        <v>0</v>
      </c>
    </row>
    <row r="507" spans="1:36" ht="225.75" customHeight="1" x14ac:dyDescent="0.25">
      <c r="A507" s="5">
        <f t="shared" si="210"/>
        <v>504</v>
      </c>
      <c r="B507" s="16">
        <v>127585</v>
      </c>
      <c r="C507" s="70">
        <v>622</v>
      </c>
      <c r="D507" s="56" t="s">
        <v>1373</v>
      </c>
      <c r="E507" s="121" t="s">
        <v>1125</v>
      </c>
      <c r="F507" s="56" t="s">
        <v>1463</v>
      </c>
      <c r="G507" s="5" t="s">
        <v>74</v>
      </c>
      <c r="H507" s="5" t="s">
        <v>1461</v>
      </c>
      <c r="I507" s="42" t="s">
        <v>1464</v>
      </c>
      <c r="J507" s="2">
        <v>43703</v>
      </c>
      <c r="K507" s="2">
        <v>44799</v>
      </c>
      <c r="L507" s="17">
        <f t="shared" si="218"/>
        <v>83.983863237881479</v>
      </c>
      <c r="M507" s="5" t="s">
        <v>136</v>
      </c>
      <c r="N507" s="5" t="s">
        <v>262</v>
      </c>
      <c r="O507" s="5" t="str">
        <f t="shared" si="225"/>
        <v>Bucuresti</v>
      </c>
      <c r="P507" s="3" t="str">
        <f t="shared" si="225"/>
        <v>APC</v>
      </c>
      <c r="Q507" s="5" t="str">
        <f t="shared" si="225"/>
        <v>119 - Investiții în capacitatea instituțională și în eficiența administrațiilor și a serviciilor publice la nivel național, regional și local, în perspectiva realizării de reforme, a unei mai bune legiferări și a bunei guvernanțe</v>
      </c>
      <c r="R507" s="4">
        <f t="shared" si="220"/>
        <v>8398187.4499999993</v>
      </c>
      <c r="S507" s="9">
        <v>6772406.5</v>
      </c>
      <c r="T507" s="9">
        <v>1625780.95</v>
      </c>
      <c r="U507" s="4">
        <f t="shared" si="221"/>
        <v>0</v>
      </c>
      <c r="V507" s="54">
        <v>0</v>
      </c>
      <c r="W507" s="54">
        <v>0</v>
      </c>
      <c r="X507" s="4">
        <f t="shared" si="222"/>
        <v>1601575.75</v>
      </c>
      <c r="Y507" s="9">
        <v>1195130.5</v>
      </c>
      <c r="Z507" s="9">
        <v>406445.25</v>
      </c>
      <c r="AA507" s="9">
        <f t="shared" si="223"/>
        <v>0</v>
      </c>
      <c r="AB507" s="9">
        <v>0</v>
      </c>
      <c r="AC507" s="9">
        <v>0</v>
      </c>
      <c r="AD507" s="45">
        <f t="shared" si="209"/>
        <v>9999763.1999999993</v>
      </c>
      <c r="AE507" s="9">
        <v>0</v>
      </c>
      <c r="AF507" s="9">
        <f t="shared" si="224"/>
        <v>9999763.1999999993</v>
      </c>
      <c r="AG507" s="60" t="s">
        <v>515</v>
      </c>
      <c r="AH507" s="14" t="s">
        <v>151</v>
      </c>
      <c r="AI507" s="1">
        <f>843418.72+99611.58+70896.66+1618000.34+94625.46</f>
        <v>2726552.76</v>
      </c>
      <c r="AJ507" s="1">
        <v>0</v>
      </c>
    </row>
    <row r="508" spans="1:36" ht="125.25" customHeight="1" x14ac:dyDescent="0.25">
      <c r="A508" s="5">
        <f t="shared" si="210"/>
        <v>505</v>
      </c>
      <c r="B508" s="16">
        <v>127829</v>
      </c>
      <c r="C508" s="70">
        <v>623</v>
      </c>
      <c r="D508" s="56" t="s">
        <v>1373</v>
      </c>
      <c r="E508" s="121" t="s">
        <v>1125</v>
      </c>
      <c r="F508" s="56" t="s">
        <v>1462</v>
      </c>
      <c r="G508" s="5" t="s">
        <v>74</v>
      </c>
      <c r="H508" s="5" t="s">
        <v>1461</v>
      </c>
      <c r="I508" s="42" t="s">
        <v>1465</v>
      </c>
      <c r="J508" s="2">
        <v>43703</v>
      </c>
      <c r="K508" s="2">
        <v>44799</v>
      </c>
      <c r="L508" s="17">
        <f t="shared" si="218"/>
        <v>83.983863016171711</v>
      </c>
      <c r="M508" s="5" t="s">
        <v>136</v>
      </c>
      <c r="N508" s="5" t="s">
        <v>262</v>
      </c>
      <c r="O508" s="5" t="str">
        <f t="shared" si="225"/>
        <v>Bucuresti</v>
      </c>
      <c r="P508" s="3" t="str">
        <f t="shared" si="225"/>
        <v>APC</v>
      </c>
      <c r="Q508" s="5" t="str">
        <f t="shared" si="225"/>
        <v>119 - Investiții în capacitatea instituțională și în eficiența administrațiilor și a serviciilor publice la nivel național, regional și local, în perspectiva realizării de reforme, a unei mai bune legiferări și a bunei guvernanțe</v>
      </c>
      <c r="R508" s="4">
        <f t="shared" si="220"/>
        <v>8466572.8000000007</v>
      </c>
      <c r="S508" s="9">
        <v>6827553.2999999998</v>
      </c>
      <c r="T508" s="9">
        <v>1639019.5</v>
      </c>
      <c r="U508" s="4">
        <f t="shared" si="221"/>
        <v>0</v>
      </c>
      <c r="V508" s="54">
        <v>0</v>
      </c>
      <c r="W508" s="54">
        <v>0</v>
      </c>
      <c r="X508" s="4">
        <f t="shared" si="222"/>
        <v>1614617.2000000002</v>
      </c>
      <c r="Y508" s="9">
        <v>1204862.3400000001</v>
      </c>
      <c r="Z508" s="9">
        <v>409754.86</v>
      </c>
      <c r="AA508" s="9">
        <f t="shared" si="223"/>
        <v>0</v>
      </c>
      <c r="AB508" s="9">
        <v>0</v>
      </c>
      <c r="AC508" s="9">
        <v>0</v>
      </c>
      <c r="AD508" s="45">
        <f t="shared" si="209"/>
        <v>10081190</v>
      </c>
      <c r="AE508" s="9">
        <v>0</v>
      </c>
      <c r="AF508" s="9">
        <f t="shared" si="224"/>
        <v>10081190</v>
      </c>
      <c r="AG508" s="60" t="s">
        <v>515</v>
      </c>
      <c r="AH508" s="14" t="s">
        <v>151</v>
      </c>
      <c r="AI508" s="1">
        <f>896890.75+82117.73+78530.79+85882.74+82790.45+74742.28</f>
        <v>1300954.74</v>
      </c>
      <c r="AJ508" s="1">
        <v>0</v>
      </c>
    </row>
    <row r="509" spans="1:36" ht="199.5" customHeight="1" x14ac:dyDescent="0.25">
      <c r="A509" s="5">
        <f t="shared" si="210"/>
        <v>506</v>
      </c>
      <c r="B509" s="16">
        <v>127591</v>
      </c>
      <c r="C509" s="70">
        <v>603</v>
      </c>
      <c r="D509" s="56" t="s">
        <v>1373</v>
      </c>
      <c r="E509" s="121" t="s">
        <v>1125</v>
      </c>
      <c r="F509" s="56" t="s">
        <v>1466</v>
      </c>
      <c r="G509" s="5" t="s">
        <v>74</v>
      </c>
      <c r="H509" s="5" t="s">
        <v>1461</v>
      </c>
      <c r="I509" s="111" t="s">
        <v>1467</v>
      </c>
      <c r="J509" s="2">
        <v>43704</v>
      </c>
      <c r="K509" s="2">
        <v>44708</v>
      </c>
      <c r="L509" s="17">
        <f t="shared" si="218"/>
        <v>83.98386273142458</v>
      </c>
      <c r="M509" s="5" t="str">
        <f>$M$506</f>
        <v xml:space="preserve"> Proiect cu acoperire națională</v>
      </c>
      <c r="N509" s="5" t="str">
        <f>N508</f>
        <v>București</v>
      </c>
      <c r="O509" s="5" t="s">
        <v>262</v>
      </c>
      <c r="P509" s="3" t="s">
        <v>138</v>
      </c>
      <c r="Q509" s="5" t="str">
        <f>Q508</f>
        <v>119 - Investiții în capacitatea instituțională și în eficiența administrațiilor și a serviciilor publice la nivel național, regional și local, în perspectiva realizării de reforme, a unei mai bune legiferări și a bunei guvernanțe</v>
      </c>
      <c r="R509" s="4">
        <f t="shared" si="220"/>
        <v>10242987.93</v>
      </c>
      <c r="S509" s="9">
        <v>8260077.3899999997</v>
      </c>
      <c r="T509" s="9">
        <v>1982910.54</v>
      </c>
      <c r="U509" s="4">
        <f t="shared" si="221"/>
        <v>0</v>
      </c>
      <c r="V509" s="54">
        <v>0</v>
      </c>
      <c r="W509" s="54">
        <v>0</v>
      </c>
      <c r="X509" s="4">
        <f t="shared" si="222"/>
        <v>1953388.3699999999</v>
      </c>
      <c r="Y509" s="9">
        <v>1457660.67</v>
      </c>
      <c r="Z509" s="9">
        <v>495727.7</v>
      </c>
      <c r="AA509" s="9">
        <f t="shared" si="223"/>
        <v>0</v>
      </c>
      <c r="AB509" s="9">
        <v>0</v>
      </c>
      <c r="AC509" s="9">
        <v>0</v>
      </c>
      <c r="AD509" s="45">
        <f t="shared" si="209"/>
        <v>12196376.299999999</v>
      </c>
      <c r="AE509" s="9">
        <v>0</v>
      </c>
      <c r="AF509" s="9">
        <f t="shared" si="224"/>
        <v>12196376.299999999</v>
      </c>
      <c r="AG509" s="60" t="s">
        <v>515</v>
      </c>
      <c r="AH509" s="14" t="s">
        <v>151</v>
      </c>
      <c r="AI509" s="1">
        <f>957032.98+163115.37+97608.31+132760.34+84328.34+73699.45</f>
        <v>1508544.7900000003</v>
      </c>
      <c r="AJ509" s="1">
        <v>0</v>
      </c>
    </row>
    <row r="510" spans="1:36" ht="283.5" x14ac:dyDescent="0.25">
      <c r="A510" s="5">
        <f t="shared" si="210"/>
        <v>507</v>
      </c>
      <c r="B510" s="5">
        <v>130133</v>
      </c>
      <c r="C510" s="6">
        <v>749</v>
      </c>
      <c r="D510" s="8" t="s">
        <v>146</v>
      </c>
      <c r="E510" s="18" t="s">
        <v>1369</v>
      </c>
      <c r="F510" s="8" t="s">
        <v>1468</v>
      </c>
      <c r="G510" s="35" t="s">
        <v>2094</v>
      </c>
      <c r="H510" s="5" t="s">
        <v>151</v>
      </c>
      <c r="I510" s="42" t="s">
        <v>1469</v>
      </c>
      <c r="J510" s="2">
        <v>43706</v>
      </c>
      <c r="K510" s="2">
        <v>45198</v>
      </c>
      <c r="L510" s="17">
        <f t="shared" si="218"/>
        <v>83.983862860370238</v>
      </c>
      <c r="M510" s="5" t="str">
        <f>$M$506</f>
        <v xml:space="preserve"> Proiect cu acoperire națională</v>
      </c>
      <c r="N510" s="5" t="str">
        <f>N509</f>
        <v>București</v>
      </c>
      <c r="O510" s="5" t="s">
        <v>262</v>
      </c>
      <c r="P510" s="3" t="s">
        <v>138</v>
      </c>
      <c r="Q510" s="5" t="s">
        <v>34</v>
      </c>
      <c r="R510" s="4">
        <f t="shared" si="220"/>
        <v>14452256.49</v>
      </c>
      <c r="S510" s="9">
        <v>11654485.75</v>
      </c>
      <c r="T510" s="9">
        <v>2797770.7399999998</v>
      </c>
      <c r="U510" s="4">
        <f t="shared" si="221"/>
        <v>0</v>
      </c>
      <c r="V510" s="54">
        <v>0</v>
      </c>
      <c r="W510" s="54">
        <v>0</v>
      </c>
      <c r="X510" s="4">
        <f t="shared" si="222"/>
        <v>2756116.6399999997</v>
      </c>
      <c r="Y510" s="9">
        <v>2056673.9</v>
      </c>
      <c r="Z510" s="9">
        <v>699442.74</v>
      </c>
      <c r="AA510" s="9">
        <f t="shared" si="223"/>
        <v>0</v>
      </c>
      <c r="AB510" s="9">
        <v>0</v>
      </c>
      <c r="AC510" s="9">
        <v>0</v>
      </c>
      <c r="AD510" s="45">
        <f t="shared" si="209"/>
        <v>17208373.129999999</v>
      </c>
      <c r="AE510" s="9">
        <v>0</v>
      </c>
      <c r="AF510" s="9">
        <f t="shared" si="224"/>
        <v>17208373.129999999</v>
      </c>
      <c r="AG510" s="60" t="s">
        <v>515</v>
      </c>
      <c r="AH510" s="14" t="s">
        <v>2180</v>
      </c>
      <c r="AI510" s="1">
        <f>37986.75+105892.72+115179.78+20592</f>
        <v>279651.25</v>
      </c>
      <c r="AJ510" s="1">
        <v>0</v>
      </c>
    </row>
    <row r="511" spans="1:36" ht="141.75" x14ac:dyDescent="0.25">
      <c r="A511" s="5">
        <f t="shared" si="210"/>
        <v>508</v>
      </c>
      <c r="B511" s="5">
        <v>127338</v>
      </c>
      <c r="C511" s="6">
        <v>612</v>
      </c>
      <c r="D511" s="56" t="s">
        <v>1373</v>
      </c>
      <c r="E511" s="18" t="s">
        <v>1125</v>
      </c>
      <c r="F511" s="8" t="s">
        <v>1484</v>
      </c>
      <c r="G511" s="5" t="s">
        <v>74</v>
      </c>
      <c r="H511" s="5" t="s">
        <v>1485</v>
      </c>
      <c r="I511" s="42" t="s">
        <v>1486</v>
      </c>
      <c r="J511" s="2">
        <v>43713</v>
      </c>
      <c r="K511" s="2">
        <v>44656</v>
      </c>
      <c r="L511" s="17">
        <f t="shared" si="218"/>
        <v>83.983864628897493</v>
      </c>
      <c r="M511" s="5" t="str">
        <f>$M$506</f>
        <v xml:space="preserve"> Proiect cu acoperire națională</v>
      </c>
      <c r="N511" s="5" t="s">
        <v>1442</v>
      </c>
      <c r="O511" s="5" t="s">
        <v>262</v>
      </c>
      <c r="P511" s="3" t="s">
        <v>138</v>
      </c>
      <c r="Q511" s="5" t="str">
        <f t="shared" ref="Q511:Q516" si="226">Q510</f>
        <v>119 - Investiții în capacitatea instituțională și în eficiența administrațiilor și a serviciilor publice la nivel național, regional și local, în perspectiva realizării de reforme, a unei mai bune legiferări și a bunei guvernanțe</v>
      </c>
      <c r="R511" s="4">
        <f t="shared" si="220"/>
        <v>12313247.289999999</v>
      </c>
      <c r="S511" s="9">
        <v>9929561.1799999997</v>
      </c>
      <c r="T511" s="9">
        <v>2383686.11</v>
      </c>
      <c r="U511" s="4">
        <f t="shared" si="221"/>
        <v>0</v>
      </c>
      <c r="V511" s="54">
        <v>0</v>
      </c>
      <c r="W511" s="54">
        <v>0</v>
      </c>
      <c r="X511" s="4">
        <f t="shared" si="222"/>
        <v>2348196.7199999997</v>
      </c>
      <c r="Y511" s="9">
        <v>1752275.21</v>
      </c>
      <c r="Z511" s="9">
        <v>595921.51</v>
      </c>
      <c r="AA511" s="9">
        <f t="shared" si="223"/>
        <v>0</v>
      </c>
      <c r="AB511" s="9">
        <v>0</v>
      </c>
      <c r="AC511" s="9">
        <v>0</v>
      </c>
      <c r="AD511" s="45">
        <f t="shared" si="209"/>
        <v>14661444.009999998</v>
      </c>
      <c r="AE511" s="9">
        <v>21875.91</v>
      </c>
      <c r="AF511" s="9">
        <f t="shared" si="224"/>
        <v>14683319.919999998</v>
      </c>
      <c r="AG511" s="60" t="s">
        <v>515</v>
      </c>
      <c r="AH511" s="14" t="s">
        <v>2119</v>
      </c>
      <c r="AI511" s="1">
        <f>1028311.33+949836.08+860711.02+870883.46+943630.7+1231127.96</f>
        <v>5884500.5499999998</v>
      </c>
      <c r="AJ511" s="1">
        <v>0</v>
      </c>
    </row>
    <row r="512" spans="1:36" ht="199.5" customHeight="1" x14ac:dyDescent="0.25">
      <c r="A512" s="5">
        <f t="shared" si="210"/>
        <v>509</v>
      </c>
      <c r="B512" s="16">
        <v>129692</v>
      </c>
      <c r="C512" s="70">
        <v>744</v>
      </c>
      <c r="D512" s="8" t="str">
        <f>D511</f>
        <v xml:space="preserve">AP1/11i /1.1 </v>
      </c>
      <c r="E512" s="19" t="s">
        <v>1227</v>
      </c>
      <c r="F512" s="56" t="s">
        <v>1495</v>
      </c>
      <c r="G512" s="5" t="s">
        <v>1493</v>
      </c>
      <c r="H512" s="5" t="s">
        <v>151</v>
      </c>
      <c r="I512" s="111" t="s">
        <v>1496</v>
      </c>
      <c r="J512" s="2">
        <v>43717</v>
      </c>
      <c r="K512" s="2">
        <v>45178</v>
      </c>
      <c r="L512" s="17">
        <f t="shared" si="218"/>
        <v>83.983862991493012</v>
      </c>
      <c r="M512" s="5" t="str">
        <f>$M$506</f>
        <v xml:space="preserve"> Proiect cu acoperire națională</v>
      </c>
      <c r="N512" s="5" t="str">
        <f>N511</f>
        <v>Național</v>
      </c>
      <c r="O512" s="5" t="str">
        <f>O511</f>
        <v>București</v>
      </c>
      <c r="P512" s="3" t="str">
        <f>P511</f>
        <v>APC</v>
      </c>
      <c r="Q512" s="5" t="str">
        <f t="shared" si="226"/>
        <v>119 - Investiții în capacitatea instituțională și în eficiența administrațiilor și a serviciilor publice la nivel național, regional și local, în perspectiva realizării de reforme, a unei mai bune legiferări și a bunei guvernanțe</v>
      </c>
      <c r="R512" s="4">
        <f t="shared" si="220"/>
        <v>25123266.25</v>
      </c>
      <c r="S512" s="9">
        <v>20259725.329999998</v>
      </c>
      <c r="T512" s="9">
        <v>4863540.92</v>
      </c>
      <c r="U512" s="4">
        <f t="shared" si="221"/>
        <v>0</v>
      </c>
      <c r="V512" s="54">
        <v>0</v>
      </c>
      <c r="W512" s="54">
        <v>0</v>
      </c>
      <c r="X512" s="4">
        <f t="shared" si="222"/>
        <v>4791130.82</v>
      </c>
      <c r="Y512" s="9">
        <v>3575245.64</v>
      </c>
      <c r="Z512" s="9">
        <v>1215885.18</v>
      </c>
      <c r="AA512" s="9">
        <f t="shared" si="223"/>
        <v>0</v>
      </c>
      <c r="AB512" s="9">
        <v>0</v>
      </c>
      <c r="AC512" s="9">
        <v>0</v>
      </c>
      <c r="AD512" s="45">
        <f t="shared" si="209"/>
        <v>29914397.07</v>
      </c>
      <c r="AE512" s="9">
        <v>0</v>
      </c>
      <c r="AF512" s="9">
        <f t="shared" si="224"/>
        <v>29914397.07</v>
      </c>
      <c r="AG512" s="60" t="s">
        <v>515</v>
      </c>
      <c r="AH512" s="14" t="s">
        <v>2198</v>
      </c>
      <c r="AI512" s="1">
        <f>325855.8+122978.47+248682.94+393955.11+295791.58</f>
        <v>1387263.9</v>
      </c>
      <c r="AJ512" s="1">
        <v>0</v>
      </c>
    </row>
    <row r="513" spans="1:36" ht="141.75" x14ac:dyDescent="0.25">
      <c r="A513" s="5">
        <f t="shared" si="210"/>
        <v>510</v>
      </c>
      <c r="B513" s="5">
        <v>127589</v>
      </c>
      <c r="C513" s="6">
        <v>616</v>
      </c>
      <c r="D513" s="56" t="s">
        <v>1373</v>
      </c>
      <c r="E513" s="18" t="s">
        <v>1125</v>
      </c>
      <c r="F513" s="8" t="s">
        <v>1499</v>
      </c>
      <c r="G513" s="5" t="s">
        <v>74</v>
      </c>
      <c r="H513" s="5" t="s">
        <v>1610</v>
      </c>
      <c r="I513" s="42" t="s">
        <v>1500</v>
      </c>
      <c r="J513" s="2">
        <v>43718</v>
      </c>
      <c r="K513" s="2">
        <v>44814</v>
      </c>
      <c r="L513" s="17">
        <f t="shared" si="218"/>
        <v>83.401732277714686</v>
      </c>
      <c r="M513" s="5" t="s">
        <v>136</v>
      </c>
      <c r="N513" s="5" t="s">
        <v>262</v>
      </c>
      <c r="O513" s="5" t="s">
        <v>262</v>
      </c>
      <c r="P513" s="3" t="s">
        <v>138</v>
      </c>
      <c r="Q513" s="5" t="str">
        <f t="shared" si="226"/>
        <v>119 - Investiții în capacitatea instituțională și în eficiența administrațiilor și a serviciilor publice la nivel național, regional și local, în perspectiva realizării de reforme, a unei mai bune legiferări și a bunei guvernanțe</v>
      </c>
      <c r="R513" s="4">
        <f t="shared" si="220"/>
        <v>23893894.079999994</v>
      </c>
      <c r="S513" s="9">
        <v>19268343.719999995</v>
      </c>
      <c r="T513" s="9">
        <v>4625550.3599999994</v>
      </c>
      <c r="U513" s="4">
        <f t="shared" si="221"/>
        <v>1558441.7799999998</v>
      </c>
      <c r="V513" s="54">
        <v>1162942.9799999995</v>
      </c>
      <c r="W513" s="54">
        <v>395498.80000000016</v>
      </c>
      <c r="X513" s="4">
        <f t="shared" si="222"/>
        <v>2998241.61</v>
      </c>
      <c r="Y513" s="9">
        <v>2237352.88</v>
      </c>
      <c r="Z513" s="9">
        <v>760888.73</v>
      </c>
      <c r="AA513" s="9">
        <f t="shared" si="223"/>
        <v>198580.56</v>
      </c>
      <c r="AB513" s="9">
        <v>158223.64000000001</v>
      </c>
      <c r="AC513" s="9">
        <v>40356.92</v>
      </c>
      <c r="AD513" s="45">
        <f t="shared" si="209"/>
        <v>28649158.029999994</v>
      </c>
      <c r="AE513" s="9">
        <v>0</v>
      </c>
      <c r="AF513" s="9">
        <f t="shared" si="224"/>
        <v>28649158.029999994</v>
      </c>
      <c r="AG513" s="60" t="s">
        <v>515</v>
      </c>
      <c r="AH513" s="14" t="s">
        <v>1976</v>
      </c>
      <c r="AI513" s="1">
        <f>2152401.31+483787.51+353759.62+893871.24+50810.75+755211.17+44698.53+53299.38+709727.23</f>
        <v>5497566.7400000002</v>
      </c>
      <c r="AJ513" s="1">
        <f>236264.83+60776.2+75412.76+115828.22+72195.19</f>
        <v>560477.19999999995</v>
      </c>
    </row>
    <row r="514" spans="1:36" ht="165.75" customHeight="1" x14ac:dyDescent="0.25">
      <c r="A514" s="5">
        <f t="shared" si="210"/>
        <v>511</v>
      </c>
      <c r="B514" s="16">
        <v>127012</v>
      </c>
      <c r="C514" s="70">
        <v>578</v>
      </c>
      <c r="D514" s="56" t="s">
        <v>1373</v>
      </c>
      <c r="E514" s="18" t="s">
        <v>1125</v>
      </c>
      <c r="F514" s="56" t="s">
        <v>1502</v>
      </c>
      <c r="G514" s="35" t="s">
        <v>2095</v>
      </c>
      <c r="H514" s="5" t="s">
        <v>151</v>
      </c>
      <c r="I514" s="42" t="s">
        <v>1504</v>
      </c>
      <c r="J514" s="2">
        <v>43721</v>
      </c>
      <c r="K514" s="2">
        <v>44694</v>
      </c>
      <c r="L514" s="17">
        <f t="shared" si="218"/>
        <v>83.983862900157973</v>
      </c>
      <c r="M514" s="5" t="s">
        <v>136</v>
      </c>
      <c r="N514" s="5" t="s">
        <v>262</v>
      </c>
      <c r="O514" s="5" t="s">
        <v>262</v>
      </c>
      <c r="P514" s="3" t="s">
        <v>138</v>
      </c>
      <c r="Q514" s="5" t="str">
        <f t="shared" si="226"/>
        <v>119 - Investiții în capacitatea instituțională și în eficiența administrațiilor și a serviciilor publice la nivel național, regional și local, în perspectiva realizării de reforme, a unei mai bune legiferări și a bunei guvernanțe</v>
      </c>
      <c r="R514" s="4">
        <f t="shared" si="220"/>
        <v>20491271.68</v>
      </c>
      <c r="S514" s="9">
        <v>16524425.310000001</v>
      </c>
      <c r="T514" s="9">
        <v>3966846.37</v>
      </c>
      <c r="U514" s="4">
        <f t="shared" si="221"/>
        <v>0</v>
      </c>
      <c r="V514" s="54">
        <v>0</v>
      </c>
      <c r="W514" s="54">
        <v>0</v>
      </c>
      <c r="X514" s="4">
        <f t="shared" si="222"/>
        <v>3907786.63</v>
      </c>
      <c r="Y514" s="9">
        <v>2916075.03</v>
      </c>
      <c r="Z514" s="9">
        <v>991711.6</v>
      </c>
      <c r="AA514" s="9">
        <f t="shared" si="223"/>
        <v>0</v>
      </c>
      <c r="AB514" s="9">
        <v>0</v>
      </c>
      <c r="AC514" s="9">
        <v>0</v>
      </c>
      <c r="AD514" s="45">
        <f t="shared" si="209"/>
        <v>24399058.309999999</v>
      </c>
      <c r="AE514" s="9">
        <v>0</v>
      </c>
      <c r="AF514" s="9">
        <f t="shared" si="224"/>
        <v>24399058.309999999</v>
      </c>
      <c r="AG514" s="60" t="s">
        <v>515</v>
      </c>
      <c r="AH514" s="14"/>
      <c r="AI514" s="1">
        <f>83445.38+49015.23+231678.74+181337.75+178679</f>
        <v>724156.1</v>
      </c>
      <c r="AJ514" s="1">
        <v>0</v>
      </c>
    </row>
    <row r="515" spans="1:36" ht="220.5" x14ac:dyDescent="0.25">
      <c r="A515" s="5">
        <f t="shared" si="210"/>
        <v>512</v>
      </c>
      <c r="B515" s="16">
        <v>126983</v>
      </c>
      <c r="C515" s="70">
        <v>589</v>
      </c>
      <c r="D515" s="56" t="s">
        <v>1373</v>
      </c>
      <c r="E515" s="18" t="s">
        <v>1125</v>
      </c>
      <c r="F515" s="56" t="s">
        <v>1503</v>
      </c>
      <c r="G515" s="35" t="s">
        <v>2095</v>
      </c>
      <c r="H515" s="5" t="s">
        <v>151</v>
      </c>
      <c r="I515" s="42" t="s">
        <v>1505</v>
      </c>
      <c r="J515" s="2">
        <v>43721</v>
      </c>
      <c r="K515" s="2">
        <v>44970</v>
      </c>
      <c r="L515" s="17">
        <f t="shared" si="218"/>
        <v>83.983862838975881</v>
      </c>
      <c r="M515" s="5" t="s">
        <v>136</v>
      </c>
      <c r="N515" s="5" t="s">
        <v>262</v>
      </c>
      <c r="O515" s="5" t="s">
        <v>262</v>
      </c>
      <c r="P515" s="3" t="s">
        <v>138</v>
      </c>
      <c r="Q515" s="5" t="str">
        <f t="shared" si="226"/>
        <v>119 - Investiții în capacitatea instituțională și în eficiența administrațiilor și a serviciilor publice la nivel național, regional și local, în perspectiva realizării de reforme, a unei mai bune legiferări și a bunei guvernanțe</v>
      </c>
      <c r="R515" s="4">
        <f t="shared" si="220"/>
        <v>23507069.830000002</v>
      </c>
      <c r="S515" s="9">
        <v>18956403.760000002</v>
      </c>
      <c r="T515" s="9">
        <v>4550666.07</v>
      </c>
      <c r="U515" s="4">
        <f t="shared" si="221"/>
        <v>0</v>
      </c>
      <c r="V515" s="54">
        <v>0</v>
      </c>
      <c r="W515" s="54">
        <v>0</v>
      </c>
      <c r="X515" s="4">
        <f t="shared" si="222"/>
        <v>4482914.24</v>
      </c>
      <c r="Y515" s="9">
        <v>3345247.72</v>
      </c>
      <c r="Z515" s="9">
        <v>1137666.52</v>
      </c>
      <c r="AA515" s="9">
        <f t="shared" si="223"/>
        <v>0</v>
      </c>
      <c r="AB515" s="9">
        <v>0</v>
      </c>
      <c r="AC515" s="9">
        <v>0</v>
      </c>
      <c r="AD515" s="45">
        <f t="shared" si="209"/>
        <v>27989984.07</v>
      </c>
      <c r="AE515" s="9">
        <v>0</v>
      </c>
      <c r="AF515" s="9">
        <f t="shared" si="224"/>
        <v>27989984.07</v>
      </c>
      <c r="AG515" s="60" t="s">
        <v>515</v>
      </c>
      <c r="AH515" s="14" t="s">
        <v>2170</v>
      </c>
      <c r="AI515" s="1">
        <f>97834.07+41661.72+181197.51+74487.22+125076.44</f>
        <v>520256.96</v>
      </c>
      <c r="AJ515" s="1">
        <v>0</v>
      </c>
    </row>
    <row r="516" spans="1:36" ht="283.5" x14ac:dyDescent="0.25">
      <c r="A516" s="5">
        <f t="shared" si="210"/>
        <v>513</v>
      </c>
      <c r="B516" s="16">
        <v>127577</v>
      </c>
      <c r="C516" s="70">
        <v>598</v>
      </c>
      <c r="D516" s="56" t="s">
        <v>1373</v>
      </c>
      <c r="E516" s="18" t="s">
        <v>1125</v>
      </c>
      <c r="F516" s="56" t="s">
        <v>1514</v>
      </c>
      <c r="G516" s="5" t="s">
        <v>1663</v>
      </c>
      <c r="H516" s="5" t="s">
        <v>2215</v>
      </c>
      <c r="I516" s="42" t="s">
        <v>1570</v>
      </c>
      <c r="J516" s="2">
        <v>43725</v>
      </c>
      <c r="K516" s="2">
        <v>45002</v>
      </c>
      <c r="L516" s="17">
        <f t="shared" si="218"/>
        <v>83.983862550080687</v>
      </c>
      <c r="M516" s="5" t="s">
        <v>136</v>
      </c>
      <c r="N516" s="5" t="s">
        <v>262</v>
      </c>
      <c r="O516" s="5" t="s">
        <v>262</v>
      </c>
      <c r="P516" s="3" t="s">
        <v>138</v>
      </c>
      <c r="Q516" s="5" t="str">
        <f t="shared" si="226"/>
        <v>119 - Investiții în capacitatea instituțională și în eficiența administrațiilor și a serviciilor publice la nivel național, regional și local, în perspectiva realizării de reforme, a unei mai bune legiferări și a bunei guvernanțe</v>
      </c>
      <c r="R516" s="4">
        <f t="shared" si="220"/>
        <v>23213481.23</v>
      </c>
      <c r="S516" s="9">
        <v>18719650.120000001</v>
      </c>
      <c r="T516" s="9">
        <v>4493831.1100000003</v>
      </c>
      <c r="U516" s="4">
        <f t="shared" si="221"/>
        <v>1733.94</v>
      </c>
      <c r="V516" s="54">
        <v>1281.4000000000001</v>
      </c>
      <c r="W516" s="54">
        <v>452.54</v>
      </c>
      <c r="X516" s="4">
        <f t="shared" si="222"/>
        <v>4425191.5999999996</v>
      </c>
      <c r="Y516" s="9">
        <v>3302186.36</v>
      </c>
      <c r="Z516" s="9">
        <v>1123005.24</v>
      </c>
      <c r="AA516" s="9">
        <f t="shared" si="223"/>
        <v>0</v>
      </c>
      <c r="AB516" s="9">
        <v>0</v>
      </c>
      <c r="AC516" s="9">
        <v>0</v>
      </c>
      <c r="AD516" s="45">
        <f t="shared" si="209"/>
        <v>27640406.770000003</v>
      </c>
      <c r="AE516" s="9">
        <v>0</v>
      </c>
      <c r="AF516" s="9">
        <f t="shared" si="224"/>
        <v>27640406.770000003</v>
      </c>
      <c r="AG516" s="60" t="s">
        <v>515</v>
      </c>
      <c r="AH516" s="14" t="s">
        <v>2214</v>
      </c>
      <c r="AI516" s="1">
        <f>1727422.58+344989.77+329947.4+388845.27+1830766.08+207011.77+1398634.92</f>
        <v>6227617.7899999991</v>
      </c>
      <c r="AJ516" s="1">
        <f>203.79+970.06+560.08</f>
        <v>1733.9299999999998</v>
      </c>
    </row>
    <row r="517" spans="1:36" ht="141.75" x14ac:dyDescent="0.25">
      <c r="A517" s="5">
        <f t="shared" si="210"/>
        <v>514</v>
      </c>
      <c r="B517" s="16">
        <v>130074</v>
      </c>
      <c r="C517" s="70">
        <v>714</v>
      </c>
      <c r="D517" s="56" t="s">
        <v>143</v>
      </c>
      <c r="E517" s="121" t="s">
        <v>1227</v>
      </c>
      <c r="F517" s="56" t="s">
        <v>1520</v>
      </c>
      <c r="G517" s="5" t="s">
        <v>1519</v>
      </c>
      <c r="H517" s="5" t="s">
        <v>151</v>
      </c>
      <c r="I517" s="42" t="s">
        <v>1521</v>
      </c>
      <c r="J517" s="2">
        <v>43734</v>
      </c>
      <c r="K517" s="2">
        <v>44891</v>
      </c>
      <c r="L517" s="17">
        <f t="shared" si="218"/>
        <v>83.983862788054537</v>
      </c>
      <c r="M517" s="5" t="s">
        <v>136</v>
      </c>
      <c r="N517" s="5" t="s">
        <v>262</v>
      </c>
      <c r="O517" s="5" t="s">
        <v>262</v>
      </c>
      <c r="P517" s="3" t="s">
        <v>138</v>
      </c>
      <c r="Q517" s="5" t="s">
        <v>34</v>
      </c>
      <c r="R517" s="4">
        <f t="shared" si="220"/>
        <v>12261622.399999999</v>
      </c>
      <c r="S517" s="9">
        <v>9887930.1899999995</v>
      </c>
      <c r="T517" s="9">
        <v>2373692.21</v>
      </c>
      <c r="U517" s="4">
        <f t="shared" si="221"/>
        <v>0</v>
      </c>
      <c r="V517" s="54">
        <v>0</v>
      </c>
      <c r="W517" s="54">
        <v>0</v>
      </c>
      <c r="X517" s="4">
        <f t="shared" si="222"/>
        <v>2338351.92</v>
      </c>
      <c r="Y517" s="9">
        <v>1744928.84</v>
      </c>
      <c r="Z517" s="9">
        <v>593423.07999999996</v>
      </c>
      <c r="AA517" s="9">
        <f t="shared" si="223"/>
        <v>0</v>
      </c>
      <c r="AB517" s="9">
        <v>0</v>
      </c>
      <c r="AC517" s="9">
        <v>0</v>
      </c>
      <c r="AD517" s="45">
        <f t="shared" ref="AD517:AD580" si="227">R517+U517+X517+AA517</f>
        <v>14599974.319999998</v>
      </c>
      <c r="AE517" s="9">
        <v>0</v>
      </c>
      <c r="AF517" s="9">
        <f t="shared" si="224"/>
        <v>14599974.319999998</v>
      </c>
      <c r="AG517" s="60" t="s">
        <v>515</v>
      </c>
      <c r="AH517" s="14" t="s">
        <v>2211</v>
      </c>
      <c r="AI517" s="1">
        <f>129003.07+125869.89+139505.98+45662.87+89628.42</f>
        <v>529670.2300000001</v>
      </c>
      <c r="AJ517" s="1">
        <v>0</v>
      </c>
    </row>
    <row r="518" spans="1:36" ht="199.5" customHeight="1" x14ac:dyDescent="0.25">
      <c r="A518" s="5">
        <f t="shared" ref="A518:A581" si="228">A517+1</f>
        <v>515</v>
      </c>
      <c r="B518" s="16">
        <v>129720</v>
      </c>
      <c r="C518" s="70">
        <v>711</v>
      </c>
      <c r="D518" s="56" t="s">
        <v>143</v>
      </c>
      <c r="E518" s="121" t="s">
        <v>1227</v>
      </c>
      <c r="F518" s="56" t="s">
        <v>1525</v>
      </c>
      <c r="G518" s="3" t="s">
        <v>2091</v>
      </c>
      <c r="H518" s="5" t="s">
        <v>1524</v>
      </c>
      <c r="I518" s="111" t="s">
        <v>1526</v>
      </c>
      <c r="J518" s="2">
        <v>43735</v>
      </c>
      <c r="K518" s="2">
        <v>44466</v>
      </c>
      <c r="L518" s="17">
        <f t="shared" si="218"/>
        <v>83.983862799999997</v>
      </c>
      <c r="M518" s="5" t="s">
        <v>136</v>
      </c>
      <c r="N518" s="5" t="s">
        <v>262</v>
      </c>
      <c r="O518" s="5" t="s">
        <v>262</v>
      </c>
      <c r="P518" s="3" t="s">
        <v>138</v>
      </c>
      <c r="Q518" s="5" t="s">
        <v>34</v>
      </c>
      <c r="R518" s="4">
        <f t="shared" si="220"/>
        <v>16796772.560000002</v>
      </c>
      <c r="S518" s="9">
        <v>13545133.640000001</v>
      </c>
      <c r="T518" s="9">
        <v>3251638.92</v>
      </c>
      <c r="U518" s="4">
        <f t="shared" si="221"/>
        <v>0</v>
      </c>
      <c r="V518" s="54">
        <v>0</v>
      </c>
      <c r="W518" s="54">
        <v>0</v>
      </c>
      <c r="X518" s="4">
        <f t="shared" si="222"/>
        <v>3203227.4400000004</v>
      </c>
      <c r="Y518" s="9">
        <v>2390317.7200000002</v>
      </c>
      <c r="Z518" s="9">
        <v>812909.72</v>
      </c>
      <c r="AA518" s="9">
        <f t="shared" si="223"/>
        <v>0</v>
      </c>
      <c r="AB518" s="9">
        <v>0</v>
      </c>
      <c r="AC518" s="9">
        <v>0</v>
      </c>
      <c r="AD518" s="45">
        <f t="shared" si="227"/>
        <v>20000000.000000004</v>
      </c>
      <c r="AE518" s="9">
        <v>3531910</v>
      </c>
      <c r="AF518" s="9">
        <f t="shared" si="224"/>
        <v>23531910.000000004</v>
      </c>
      <c r="AG518" s="60" t="s">
        <v>515</v>
      </c>
      <c r="AH518" s="14">
        <v>43818</v>
      </c>
      <c r="AI518" s="1">
        <f>1613109.94+68979.3+76801.57+2714837.16+50659.91+3563538.61</f>
        <v>8087926.4900000002</v>
      </c>
      <c r="AJ518" s="1">
        <v>0</v>
      </c>
    </row>
    <row r="519" spans="1:36" ht="199.5" customHeight="1" x14ac:dyDescent="0.25">
      <c r="A519" s="5">
        <f t="shared" si="228"/>
        <v>516</v>
      </c>
      <c r="B519" s="16">
        <v>129934</v>
      </c>
      <c r="C519" s="70">
        <v>717</v>
      </c>
      <c r="D519" s="56" t="s">
        <v>143</v>
      </c>
      <c r="E519" s="121" t="s">
        <v>1227</v>
      </c>
      <c r="F519" s="56" t="s">
        <v>1527</v>
      </c>
      <c r="G519" s="5" t="s">
        <v>2092</v>
      </c>
      <c r="H519" s="5" t="s">
        <v>1524</v>
      </c>
      <c r="I519" s="111" t="s">
        <v>1528</v>
      </c>
      <c r="J519" s="2">
        <v>43735</v>
      </c>
      <c r="K519" s="2">
        <v>44953</v>
      </c>
      <c r="L519" s="17">
        <f t="shared" si="218"/>
        <v>83.983863056226028</v>
      </c>
      <c r="M519" s="5" t="s">
        <v>136</v>
      </c>
      <c r="N519" s="5" t="s">
        <v>262</v>
      </c>
      <c r="O519" s="5" t="s">
        <v>262</v>
      </c>
      <c r="P519" s="3" t="s">
        <v>138</v>
      </c>
      <c r="Q519" s="5" t="s">
        <v>34</v>
      </c>
      <c r="R519" s="4">
        <f t="shared" si="220"/>
        <v>16734381.939999999</v>
      </c>
      <c r="S519" s="9">
        <v>13494821.039999999</v>
      </c>
      <c r="T519" s="9">
        <v>3239560.9</v>
      </c>
      <c r="U519" s="4">
        <f t="shared" si="221"/>
        <v>0</v>
      </c>
      <c r="V519" s="54">
        <v>0</v>
      </c>
      <c r="W519" s="54">
        <v>0</v>
      </c>
      <c r="X519" s="4">
        <f t="shared" si="222"/>
        <v>3191329.1799999997</v>
      </c>
      <c r="Y519" s="9">
        <v>2381438.98</v>
      </c>
      <c r="Z519" s="9">
        <v>809890.2</v>
      </c>
      <c r="AA519" s="9">
        <f t="shared" si="223"/>
        <v>0</v>
      </c>
      <c r="AB519" s="9">
        <v>0</v>
      </c>
      <c r="AC519" s="9">
        <v>0</v>
      </c>
      <c r="AD519" s="45">
        <f t="shared" si="227"/>
        <v>19925711.119999997</v>
      </c>
      <c r="AE519" s="9">
        <v>0</v>
      </c>
      <c r="AF519" s="9">
        <f t="shared" si="224"/>
        <v>19925711.119999997</v>
      </c>
      <c r="AG519" s="60" t="s">
        <v>515</v>
      </c>
      <c r="AH519" s="14" t="s">
        <v>2019</v>
      </c>
      <c r="AI519" s="1">
        <f>141791.63+434317.17</f>
        <v>576108.80000000005</v>
      </c>
      <c r="AJ519" s="1">
        <v>0</v>
      </c>
    </row>
    <row r="520" spans="1:36" ht="199.5" customHeight="1" x14ac:dyDescent="0.25">
      <c r="A520" s="5">
        <f t="shared" si="228"/>
        <v>517</v>
      </c>
      <c r="B520" s="16">
        <v>129864</v>
      </c>
      <c r="C520" s="70">
        <v>712</v>
      </c>
      <c r="D520" s="56" t="s">
        <v>143</v>
      </c>
      <c r="E520" s="121" t="s">
        <v>1227</v>
      </c>
      <c r="F520" s="56" t="s">
        <v>1529</v>
      </c>
      <c r="G520" s="5" t="s">
        <v>780</v>
      </c>
      <c r="H520" s="5" t="s">
        <v>1524</v>
      </c>
      <c r="I520" s="111" t="s">
        <v>1530</v>
      </c>
      <c r="J520" s="2">
        <v>43739</v>
      </c>
      <c r="K520" s="2">
        <v>44470</v>
      </c>
      <c r="L520" s="17">
        <f t="shared" si="218"/>
        <v>83.983862870547185</v>
      </c>
      <c r="M520" s="5" t="s">
        <v>136</v>
      </c>
      <c r="N520" s="5" t="s">
        <v>262</v>
      </c>
      <c r="O520" s="5" t="s">
        <v>262</v>
      </c>
      <c r="P520" s="3" t="s">
        <v>138</v>
      </c>
      <c r="Q520" s="5" t="s">
        <v>34</v>
      </c>
      <c r="R520" s="4">
        <f t="shared" si="220"/>
        <v>12555453.99</v>
      </c>
      <c r="S520" s="9">
        <v>10124879.76</v>
      </c>
      <c r="T520" s="9">
        <v>2430574.23</v>
      </c>
      <c r="U520" s="4">
        <f t="shared" si="221"/>
        <v>0</v>
      </c>
      <c r="V520" s="54">
        <v>0</v>
      </c>
      <c r="W520" s="54">
        <v>0</v>
      </c>
      <c r="X520" s="4">
        <f t="shared" si="222"/>
        <v>2394387.04</v>
      </c>
      <c r="Y520" s="9">
        <v>1786743.47</v>
      </c>
      <c r="Z520" s="9">
        <v>607643.56999999995</v>
      </c>
      <c r="AA520" s="9">
        <f t="shared" si="223"/>
        <v>0</v>
      </c>
      <c r="AB520" s="9">
        <v>0</v>
      </c>
      <c r="AC520" s="9">
        <v>0</v>
      </c>
      <c r="AD520" s="45">
        <f t="shared" si="227"/>
        <v>14949841.030000001</v>
      </c>
      <c r="AE520" s="9">
        <v>0</v>
      </c>
      <c r="AF520" s="9">
        <f t="shared" si="224"/>
        <v>14949841.030000001</v>
      </c>
      <c r="AG520" s="60" t="s">
        <v>515</v>
      </c>
      <c r="AH520" s="14"/>
      <c r="AI520" s="1">
        <f>211446.04+244710.21+134219.36+266917.51</f>
        <v>857293.12</v>
      </c>
      <c r="AJ520" s="1">
        <v>0</v>
      </c>
    </row>
    <row r="521" spans="1:36" ht="199.5" customHeight="1" x14ac:dyDescent="0.25">
      <c r="A521" s="5">
        <f t="shared" si="228"/>
        <v>518</v>
      </c>
      <c r="B521" s="16">
        <v>129721</v>
      </c>
      <c r="C521" s="16">
        <v>708</v>
      </c>
      <c r="D521" s="56" t="s">
        <v>143</v>
      </c>
      <c r="E521" s="121" t="s">
        <v>1227</v>
      </c>
      <c r="F521" s="56" t="s">
        <v>1533</v>
      </c>
      <c r="G521" s="5" t="s">
        <v>55</v>
      </c>
      <c r="H521" s="5" t="s">
        <v>1524</v>
      </c>
      <c r="I521" s="111" t="s">
        <v>1534</v>
      </c>
      <c r="J521" s="2">
        <v>43739</v>
      </c>
      <c r="K521" s="2">
        <v>45261</v>
      </c>
      <c r="L521" s="17">
        <f t="shared" si="218"/>
        <v>83.983863005238476</v>
      </c>
      <c r="M521" s="5" t="s">
        <v>136</v>
      </c>
      <c r="N521" s="5" t="s">
        <v>262</v>
      </c>
      <c r="O521" s="5" t="s">
        <v>262</v>
      </c>
      <c r="P521" s="3" t="s">
        <v>138</v>
      </c>
      <c r="Q521" s="5" t="s">
        <v>34</v>
      </c>
      <c r="R521" s="4">
        <f t="shared" si="220"/>
        <v>18405842.150000002</v>
      </c>
      <c r="S521" s="9">
        <v>14842708.050000001</v>
      </c>
      <c r="T521" s="9">
        <v>3563134.1</v>
      </c>
      <c r="U521" s="4">
        <f t="shared" si="221"/>
        <v>0</v>
      </c>
      <c r="V521" s="54">
        <v>0</v>
      </c>
      <c r="W521" s="54">
        <v>0</v>
      </c>
      <c r="X521" s="4">
        <f t="shared" si="222"/>
        <v>3510084.9</v>
      </c>
      <c r="Y521" s="9">
        <v>2619301.42</v>
      </c>
      <c r="Z521" s="9">
        <v>890783.48</v>
      </c>
      <c r="AA521" s="9">
        <f t="shared" si="223"/>
        <v>0</v>
      </c>
      <c r="AB521" s="9">
        <v>0</v>
      </c>
      <c r="AC521" s="9">
        <v>0</v>
      </c>
      <c r="AD521" s="45">
        <f t="shared" si="227"/>
        <v>21915927.050000001</v>
      </c>
      <c r="AE521" s="9">
        <v>0</v>
      </c>
      <c r="AF521" s="9">
        <f t="shared" si="224"/>
        <v>21915927.050000001</v>
      </c>
      <c r="AG521" s="60" t="s">
        <v>515</v>
      </c>
      <c r="AH521" s="14" t="s">
        <v>2210</v>
      </c>
      <c r="AI521" s="1">
        <v>113724.23</v>
      </c>
      <c r="AJ521" s="1">
        <v>0</v>
      </c>
    </row>
    <row r="522" spans="1:36" ht="199.5" customHeight="1" x14ac:dyDescent="0.25">
      <c r="A522" s="5">
        <f t="shared" si="228"/>
        <v>519</v>
      </c>
      <c r="B522" s="16">
        <v>129513</v>
      </c>
      <c r="C522" s="70">
        <v>751</v>
      </c>
      <c r="D522" s="56" t="s">
        <v>145</v>
      </c>
      <c r="E522" s="121" t="s">
        <v>1381</v>
      </c>
      <c r="F522" s="56" t="s">
        <v>1535</v>
      </c>
      <c r="G522" s="5" t="s">
        <v>908</v>
      </c>
      <c r="H522" s="5" t="s">
        <v>1524</v>
      </c>
      <c r="I522" s="111" t="s">
        <v>1536</v>
      </c>
      <c r="J522" s="2">
        <v>43740</v>
      </c>
      <c r="K522" s="2">
        <v>44836</v>
      </c>
      <c r="L522" s="17">
        <f t="shared" si="218"/>
        <v>83.983862860400166</v>
      </c>
      <c r="M522" s="5" t="s">
        <v>136</v>
      </c>
      <c r="N522" s="5" t="s">
        <v>262</v>
      </c>
      <c r="O522" s="5" t="s">
        <v>262</v>
      </c>
      <c r="P522" s="3" t="s">
        <v>138</v>
      </c>
      <c r="Q522" s="5" t="s">
        <v>34</v>
      </c>
      <c r="R522" s="4">
        <f t="shared" si="220"/>
        <v>55026079.840000011</v>
      </c>
      <c r="S522" s="9">
        <v>44373739.24000001</v>
      </c>
      <c r="T522" s="9">
        <v>10652340.6</v>
      </c>
      <c r="U522" s="4">
        <f t="shared" si="221"/>
        <v>0</v>
      </c>
      <c r="V522" s="54">
        <v>0</v>
      </c>
      <c r="W522" s="54">
        <v>0</v>
      </c>
      <c r="X522" s="4">
        <f t="shared" si="222"/>
        <v>10493745</v>
      </c>
      <c r="Y522" s="9">
        <v>7830659.8499999996</v>
      </c>
      <c r="Z522" s="9">
        <v>2663085.15</v>
      </c>
      <c r="AA522" s="9">
        <f t="shared" si="223"/>
        <v>0</v>
      </c>
      <c r="AB522" s="9">
        <v>0</v>
      </c>
      <c r="AC522" s="9">
        <v>0</v>
      </c>
      <c r="AD522" s="45">
        <f t="shared" si="227"/>
        <v>65519824.840000011</v>
      </c>
      <c r="AE522" s="9">
        <v>0</v>
      </c>
      <c r="AF522" s="9">
        <f t="shared" si="224"/>
        <v>65519824.840000011</v>
      </c>
      <c r="AG522" s="60" t="s">
        <v>515</v>
      </c>
      <c r="AH522" s="14" t="s">
        <v>2203</v>
      </c>
      <c r="AI522" s="1">
        <f>281049.48+685757.66+516714.08+428470.56+486322+3637845.48</f>
        <v>6036159.2599999998</v>
      </c>
      <c r="AJ522" s="1">
        <v>0</v>
      </c>
    </row>
    <row r="523" spans="1:36" ht="199.5" customHeight="1" x14ac:dyDescent="0.25">
      <c r="A523" s="5">
        <f t="shared" si="228"/>
        <v>520</v>
      </c>
      <c r="B523" s="16">
        <v>127623</v>
      </c>
      <c r="C523" s="70">
        <v>595</v>
      </c>
      <c r="D523" s="5" t="s">
        <v>143</v>
      </c>
      <c r="E523" s="18" t="s">
        <v>1125</v>
      </c>
      <c r="F523" s="56" t="s">
        <v>1546</v>
      </c>
      <c r="G523" s="3" t="s">
        <v>1593</v>
      </c>
      <c r="H523" s="5" t="s">
        <v>1524</v>
      </c>
      <c r="I523" s="111" t="s">
        <v>1547</v>
      </c>
      <c r="J523" s="2">
        <v>43747</v>
      </c>
      <c r="K523" s="2">
        <v>44660</v>
      </c>
      <c r="L523" s="17">
        <f t="shared" si="218"/>
        <v>83.983863127601538</v>
      </c>
      <c r="M523" s="5" t="s">
        <v>136</v>
      </c>
      <c r="N523" s="5" t="s">
        <v>262</v>
      </c>
      <c r="O523" s="5" t="s">
        <v>262</v>
      </c>
      <c r="P523" s="3" t="s">
        <v>138</v>
      </c>
      <c r="Q523" s="5" t="s">
        <v>34</v>
      </c>
      <c r="R523" s="4">
        <f t="shared" si="220"/>
        <v>9906922.4600000009</v>
      </c>
      <c r="S523" s="9">
        <v>7989069.8300000001</v>
      </c>
      <c r="T523" s="9">
        <v>1917852.63</v>
      </c>
      <c r="U523" s="4">
        <f t="shared" si="221"/>
        <v>0</v>
      </c>
      <c r="V523" s="54">
        <v>0</v>
      </c>
      <c r="W523" s="54">
        <v>0</v>
      </c>
      <c r="X523" s="4">
        <f t="shared" si="222"/>
        <v>1889298.97</v>
      </c>
      <c r="Y523" s="9">
        <v>1409835.81</v>
      </c>
      <c r="Z523" s="9">
        <v>479463.16</v>
      </c>
      <c r="AA523" s="9">
        <f t="shared" si="223"/>
        <v>0</v>
      </c>
      <c r="AB523" s="9">
        <v>0</v>
      </c>
      <c r="AC523" s="9">
        <v>0</v>
      </c>
      <c r="AD523" s="45">
        <f t="shared" si="227"/>
        <v>11796221.430000002</v>
      </c>
      <c r="AE523" s="9">
        <v>0</v>
      </c>
      <c r="AF523" s="9">
        <f t="shared" si="224"/>
        <v>11796221.430000002</v>
      </c>
      <c r="AG523" s="60" t="s">
        <v>515</v>
      </c>
      <c r="AH523" s="14"/>
      <c r="AI523" s="1">
        <f>132598.52+77491.92+74960.64</f>
        <v>285051.08</v>
      </c>
      <c r="AJ523" s="1">
        <v>0</v>
      </c>
    </row>
    <row r="524" spans="1:36" ht="199.5" customHeight="1" x14ac:dyDescent="0.25">
      <c r="A524" s="5">
        <f t="shared" si="228"/>
        <v>521</v>
      </c>
      <c r="B524" s="16">
        <v>127598</v>
      </c>
      <c r="C524" s="70">
        <v>608</v>
      </c>
      <c r="D524" s="5" t="s">
        <v>143</v>
      </c>
      <c r="E524" s="18" t="s">
        <v>1125</v>
      </c>
      <c r="F524" s="56" t="s">
        <v>1548</v>
      </c>
      <c r="G524" s="5" t="s">
        <v>1648</v>
      </c>
      <c r="H524" s="5" t="s">
        <v>1549</v>
      </c>
      <c r="I524" s="111" t="s">
        <v>1550</v>
      </c>
      <c r="J524" s="2">
        <v>43749</v>
      </c>
      <c r="K524" s="2">
        <v>44845</v>
      </c>
      <c r="L524" s="17">
        <f t="shared" si="218"/>
        <v>83.983863222222226</v>
      </c>
      <c r="M524" s="5" t="s">
        <v>136</v>
      </c>
      <c r="N524" s="5" t="s">
        <v>262</v>
      </c>
      <c r="O524" s="5" t="s">
        <v>262</v>
      </c>
      <c r="P524" s="3" t="s">
        <v>138</v>
      </c>
      <c r="Q524" s="5" t="s">
        <v>34</v>
      </c>
      <c r="R524" s="4">
        <f t="shared" si="220"/>
        <v>15117095.379999999</v>
      </c>
      <c r="S524" s="9">
        <v>12190620.34</v>
      </c>
      <c r="T524" s="9">
        <v>2926475.04</v>
      </c>
      <c r="U524" s="4">
        <f t="shared" si="221"/>
        <v>1618328.4200000002</v>
      </c>
      <c r="V524" s="54">
        <v>1195958.3700000001</v>
      </c>
      <c r="W524" s="54">
        <v>422370.05</v>
      </c>
      <c r="X524" s="4">
        <f t="shared" si="222"/>
        <v>1264576.2</v>
      </c>
      <c r="Y524" s="9">
        <v>955327.51</v>
      </c>
      <c r="Z524" s="9">
        <v>309248.69</v>
      </c>
      <c r="AA524" s="9">
        <f t="shared" si="223"/>
        <v>0</v>
      </c>
      <c r="AB524" s="9">
        <v>0</v>
      </c>
      <c r="AC524" s="9">
        <v>0</v>
      </c>
      <c r="AD524" s="45">
        <f t="shared" si="227"/>
        <v>18000000</v>
      </c>
      <c r="AE524" s="9">
        <v>0</v>
      </c>
      <c r="AF524" s="9">
        <f t="shared" si="224"/>
        <v>18000000</v>
      </c>
      <c r="AG524" s="60" t="s">
        <v>515</v>
      </c>
      <c r="AH524" s="14"/>
      <c r="AI524" s="1">
        <f>1256566.16-2065.82+1022736.42+817563.47+1120183.68</f>
        <v>4214983.9099999992</v>
      </c>
      <c r="AJ524" s="1">
        <f>52183.12+2065.82+111341.07+136443.83+163573.7</f>
        <v>465607.54</v>
      </c>
    </row>
    <row r="525" spans="1:36" ht="271.5" customHeight="1" x14ac:dyDescent="0.25">
      <c r="A525" s="5">
        <f t="shared" si="228"/>
        <v>522</v>
      </c>
      <c r="B525" s="16">
        <v>129427</v>
      </c>
      <c r="C525" s="70">
        <v>702</v>
      </c>
      <c r="D525" s="56" t="s">
        <v>143</v>
      </c>
      <c r="E525" s="121" t="s">
        <v>1227</v>
      </c>
      <c r="F525" s="8" t="s">
        <v>1551</v>
      </c>
      <c r="G525" s="5" t="s">
        <v>2093</v>
      </c>
      <c r="H525" s="5" t="s">
        <v>151</v>
      </c>
      <c r="I525" s="77" t="s">
        <v>1552</v>
      </c>
      <c r="J525" s="2">
        <v>43749</v>
      </c>
      <c r="K525" s="2">
        <v>44662</v>
      </c>
      <c r="L525" s="17">
        <f t="shared" si="218"/>
        <v>83.983863368336614</v>
      </c>
      <c r="M525" s="5" t="s">
        <v>136</v>
      </c>
      <c r="N525" s="5" t="s">
        <v>262</v>
      </c>
      <c r="O525" s="5" t="s">
        <v>262</v>
      </c>
      <c r="P525" s="3" t="s">
        <v>138</v>
      </c>
      <c r="Q525" s="5" t="s">
        <v>34</v>
      </c>
      <c r="R525" s="4">
        <f t="shared" si="220"/>
        <v>5463727.5500000007</v>
      </c>
      <c r="S525" s="9">
        <v>4406020.2300000004</v>
      </c>
      <c r="T525" s="9">
        <v>1057707.32</v>
      </c>
      <c r="U525" s="4">
        <f t="shared" si="221"/>
        <v>0</v>
      </c>
      <c r="V525" s="54">
        <v>0</v>
      </c>
      <c r="W525" s="54">
        <v>0</v>
      </c>
      <c r="X525" s="4">
        <f t="shared" si="222"/>
        <v>1041959.77</v>
      </c>
      <c r="Y525" s="9">
        <v>777532.96</v>
      </c>
      <c r="Z525" s="9">
        <v>264426.81</v>
      </c>
      <c r="AA525" s="9">
        <f t="shared" si="223"/>
        <v>0</v>
      </c>
      <c r="AB525" s="9">
        <v>0</v>
      </c>
      <c r="AC525" s="9">
        <v>0</v>
      </c>
      <c r="AD525" s="45">
        <f t="shared" si="227"/>
        <v>6505687.3200000003</v>
      </c>
      <c r="AE525" s="9">
        <v>0</v>
      </c>
      <c r="AF525" s="9">
        <f t="shared" si="224"/>
        <v>6505687.3200000003</v>
      </c>
      <c r="AG525" s="60" t="s">
        <v>515</v>
      </c>
      <c r="AH525" s="14"/>
      <c r="AI525" s="1">
        <v>19662.36</v>
      </c>
      <c r="AJ525" s="1">
        <v>0</v>
      </c>
    </row>
    <row r="526" spans="1:36" ht="271.5" customHeight="1" x14ac:dyDescent="0.25">
      <c r="A526" s="5">
        <f t="shared" si="228"/>
        <v>523</v>
      </c>
      <c r="B526" s="16">
        <v>129900</v>
      </c>
      <c r="C526" s="70">
        <v>731</v>
      </c>
      <c r="D526" s="56" t="s">
        <v>143</v>
      </c>
      <c r="E526" s="121" t="s">
        <v>1227</v>
      </c>
      <c r="F526" s="56" t="s">
        <v>1554</v>
      </c>
      <c r="G526" s="3" t="s">
        <v>2091</v>
      </c>
      <c r="H526" s="5" t="s">
        <v>151</v>
      </c>
      <c r="I526" s="77" t="s">
        <v>1555</v>
      </c>
      <c r="J526" s="2">
        <v>43752</v>
      </c>
      <c r="K526" s="2">
        <v>44909</v>
      </c>
      <c r="L526" s="17">
        <f t="shared" si="218"/>
        <v>83.983863061184252</v>
      </c>
      <c r="M526" s="5" t="s">
        <v>136</v>
      </c>
      <c r="N526" s="5" t="s">
        <v>262</v>
      </c>
      <c r="O526" s="5" t="s">
        <v>262</v>
      </c>
      <c r="P526" s="3" t="s">
        <v>138</v>
      </c>
      <c r="Q526" s="5" t="s">
        <v>34</v>
      </c>
      <c r="R526" s="4">
        <f t="shared" si="220"/>
        <v>10447061.770000001</v>
      </c>
      <c r="S526" s="9">
        <v>8424645.1300000008</v>
      </c>
      <c r="T526" s="9">
        <v>2022416.64</v>
      </c>
      <c r="U526" s="4">
        <f t="shared" si="221"/>
        <v>0</v>
      </c>
      <c r="V526" s="54">
        <v>0</v>
      </c>
      <c r="W526" s="54">
        <v>0</v>
      </c>
      <c r="X526" s="4">
        <f t="shared" si="222"/>
        <v>1992306.21</v>
      </c>
      <c r="Y526" s="9">
        <v>1486702.04</v>
      </c>
      <c r="Z526" s="9">
        <v>505604.17</v>
      </c>
      <c r="AA526" s="9">
        <f t="shared" si="223"/>
        <v>0</v>
      </c>
      <c r="AB526" s="9">
        <v>0</v>
      </c>
      <c r="AC526" s="9">
        <v>0</v>
      </c>
      <c r="AD526" s="45">
        <f t="shared" si="227"/>
        <v>12439367.98</v>
      </c>
      <c r="AE526" s="9">
        <v>0</v>
      </c>
      <c r="AF526" s="9">
        <f t="shared" si="224"/>
        <v>12439367.98</v>
      </c>
      <c r="AG526" s="60" t="s">
        <v>515</v>
      </c>
      <c r="AH526" s="14" t="s">
        <v>2138</v>
      </c>
      <c r="AI526" s="1">
        <f>8494.97+9887.42+40165.97+12018.09+10946.46+19789.11+12442.21</f>
        <v>113744.23000000001</v>
      </c>
      <c r="AJ526" s="1">
        <v>0</v>
      </c>
    </row>
    <row r="527" spans="1:36" ht="271.5" customHeight="1" x14ac:dyDescent="0.25">
      <c r="A527" s="5">
        <f t="shared" si="228"/>
        <v>524</v>
      </c>
      <c r="B527" s="16">
        <v>129165</v>
      </c>
      <c r="C527" s="70">
        <v>728</v>
      </c>
      <c r="D527" s="56" t="s">
        <v>143</v>
      </c>
      <c r="E527" s="121" t="s">
        <v>1227</v>
      </c>
      <c r="F527" s="56" t="s">
        <v>1556</v>
      </c>
      <c r="G527" s="5" t="s">
        <v>55</v>
      </c>
      <c r="H527" s="5" t="s">
        <v>151</v>
      </c>
      <c r="I527" s="77" t="s">
        <v>1557</v>
      </c>
      <c r="J527" s="2">
        <v>43754</v>
      </c>
      <c r="K527" s="2">
        <v>44850</v>
      </c>
      <c r="L527" s="17">
        <f t="shared" si="218"/>
        <v>83.983862982033116</v>
      </c>
      <c r="M527" s="5" t="s">
        <v>136</v>
      </c>
      <c r="N527" s="5" t="s">
        <v>262</v>
      </c>
      <c r="O527" s="5" t="s">
        <v>262</v>
      </c>
      <c r="P527" s="3" t="s">
        <v>138</v>
      </c>
      <c r="Q527" s="5" t="s">
        <v>34</v>
      </c>
      <c r="R527" s="4">
        <f t="shared" si="220"/>
        <v>14670826.32</v>
      </c>
      <c r="S527" s="9">
        <v>11830743.25</v>
      </c>
      <c r="T527" s="9">
        <v>2840083.07</v>
      </c>
      <c r="U527" s="4">
        <f t="shared" si="221"/>
        <v>0</v>
      </c>
      <c r="V527" s="54">
        <v>0</v>
      </c>
      <c r="W527" s="54">
        <v>0</v>
      </c>
      <c r="X527" s="4">
        <f t="shared" si="222"/>
        <v>2797798.96</v>
      </c>
      <c r="Y527" s="9">
        <v>2087778.17</v>
      </c>
      <c r="Z527" s="9">
        <v>710020.79</v>
      </c>
      <c r="AA527" s="9">
        <f t="shared" si="223"/>
        <v>0</v>
      </c>
      <c r="AB527" s="9">
        <v>0</v>
      </c>
      <c r="AC527" s="9">
        <v>0</v>
      </c>
      <c r="AD527" s="45">
        <f t="shared" si="227"/>
        <v>17468625.280000001</v>
      </c>
      <c r="AE527" s="9">
        <v>0</v>
      </c>
      <c r="AF527" s="9">
        <f t="shared" si="224"/>
        <v>17468625.280000001</v>
      </c>
      <c r="AG527" s="60" t="s">
        <v>515</v>
      </c>
      <c r="AH527" s="14"/>
      <c r="AI527" s="1">
        <f>83522.79+351800.22+129034.08</f>
        <v>564357.09</v>
      </c>
      <c r="AJ527" s="1">
        <v>0</v>
      </c>
    </row>
    <row r="528" spans="1:36" ht="271.5" customHeight="1" x14ac:dyDescent="0.25">
      <c r="A528" s="5">
        <f t="shared" si="228"/>
        <v>525</v>
      </c>
      <c r="B528" s="16">
        <v>130070</v>
      </c>
      <c r="C528" s="70">
        <v>730</v>
      </c>
      <c r="D528" s="56" t="s">
        <v>143</v>
      </c>
      <c r="E528" s="121" t="s">
        <v>1227</v>
      </c>
      <c r="F528" s="56" t="s">
        <v>1558</v>
      </c>
      <c r="G528" s="5" t="s">
        <v>1596</v>
      </c>
      <c r="H528" s="5" t="s">
        <v>151</v>
      </c>
      <c r="I528" s="8" t="s">
        <v>1565</v>
      </c>
      <c r="J528" s="2">
        <v>43755</v>
      </c>
      <c r="K528" s="2">
        <v>44578</v>
      </c>
      <c r="L528" s="17">
        <f t="shared" si="218"/>
        <v>83.983863790383737</v>
      </c>
      <c r="M528" s="5" t="s">
        <v>136</v>
      </c>
      <c r="N528" s="5" t="s">
        <v>262</v>
      </c>
      <c r="O528" s="5" t="s">
        <v>262</v>
      </c>
      <c r="P528" s="3" t="s">
        <v>138</v>
      </c>
      <c r="Q528" s="5" t="s">
        <v>34</v>
      </c>
      <c r="R528" s="4">
        <f t="shared" si="220"/>
        <v>4510953.3099999996</v>
      </c>
      <c r="S528" s="9">
        <v>3637690.8199999994</v>
      </c>
      <c r="T528" s="9">
        <v>873262.49</v>
      </c>
      <c r="U528" s="4">
        <f t="shared" si="221"/>
        <v>0</v>
      </c>
      <c r="V528" s="54">
        <v>0</v>
      </c>
      <c r="W528" s="54">
        <v>0</v>
      </c>
      <c r="X528" s="4">
        <f t="shared" si="222"/>
        <v>860261</v>
      </c>
      <c r="Y528" s="9">
        <v>641945.4</v>
      </c>
      <c r="Z528" s="9">
        <v>218315.6</v>
      </c>
      <c r="AA528" s="9">
        <f t="shared" si="223"/>
        <v>0</v>
      </c>
      <c r="AB528" s="9">
        <v>0</v>
      </c>
      <c r="AC528" s="9">
        <v>0</v>
      </c>
      <c r="AD528" s="45">
        <f t="shared" si="227"/>
        <v>5371214.3099999996</v>
      </c>
      <c r="AE528" s="9">
        <v>0</v>
      </c>
      <c r="AF528" s="9">
        <f t="shared" si="224"/>
        <v>5371214.3099999996</v>
      </c>
      <c r="AG528" s="60" t="s">
        <v>515</v>
      </c>
      <c r="AH528" s="14" t="s">
        <v>2011</v>
      </c>
      <c r="AI528" s="1">
        <f>15001.2+67145.65</f>
        <v>82146.849999999991</v>
      </c>
      <c r="AJ528" s="1">
        <v>0</v>
      </c>
    </row>
    <row r="529" spans="1:36" ht="271.5" customHeight="1" x14ac:dyDescent="0.25">
      <c r="A529" s="5">
        <f t="shared" si="228"/>
        <v>526</v>
      </c>
      <c r="B529" s="16">
        <v>129717</v>
      </c>
      <c r="C529" s="16">
        <v>713</v>
      </c>
      <c r="D529" s="56" t="s">
        <v>143</v>
      </c>
      <c r="E529" s="121" t="s">
        <v>1227</v>
      </c>
      <c r="F529" s="56" t="s">
        <v>1560</v>
      </c>
      <c r="G529" s="3" t="s">
        <v>2091</v>
      </c>
      <c r="H529" s="5" t="s">
        <v>151</v>
      </c>
      <c r="I529" s="77" t="s">
        <v>1561</v>
      </c>
      <c r="J529" s="2">
        <v>43755</v>
      </c>
      <c r="K529" s="2">
        <v>44668</v>
      </c>
      <c r="L529" s="17">
        <f t="shared" si="218"/>
        <v>83.983862834089763</v>
      </c>
      <c r="M529" s="5" t="s">
        <v>136</v>
      </c>
      <c r="N529" s="5" t="s">
        <v>262</v>
      </c>
      <c r="O529" s="5" t="s">
        <v>262</v>
      </c>
      <c r="P529" s="3" t="s">
        <v>138</v>
      </c>
      <c r="Q529" s="5" t="s">
        <v>34</v>
      </c>
      <c r="R529" s="4">
        <f t="shared" si="220"/>
        <v>5038501.16</v>
      </c>
      <c r="S529" s="9">
        <v>4063112.22</v>
      </c>
      <c r="T529" s="9">
        <v>975388.94</v>
      </c>
      <c r="U529" s="4">
        <f t="shared" si="221"/>
        <v>0</v>
      </c>
      <c r="V529" s="54">
        <v>0</v>
      </c>
      <c r="W529" s="54">
        <v>0</v>
      </c>
      <c r="X529" s="4">
        <f t="shared" si="222"/>
        <v>960867.04</v>
      </c>
      <c r="Y529" s="9">
        <v>717019.79</v>
      </c>
      <c r="Z529" s="9">
        <v>243847.25</v>
      </c>
      <c r="AA529" s="9">
        <f t="shared" si="223"/>
        <v>0</v>
      </c>
      <c r="AB529" s="9">
        <v>0</v>
      </c>
      <c r="AC529" s="9">
        <v>0</v>
      </c>
      <c r="AD529" s="45">
        <f t="shared" si="227"/>
        <v>5999368.2000000002</v>
      </c>
      <c r="AE529" s="9">
        <v>0</v>
      </c>
      <c r="AF529" s="9">
        <f t="shared" si="224"/>
        <v>5999368.2000000002</v>
      </c>
      <c r="AG529" s="60" t="s">
        <v>515</v>
      </c>
      <c r="AH529" s="14"/>
      <c r="AI529" s="1">
        <f>129503.12+13186.83+9573.32+351744.57+9168.52+211955.38</f>
        <v>725131.74</v>
      </c>
      <c r="AJ529" s="1">
        <v>0</v>
      </c>
    </row>
    <row r="530" spans="1:36" ht="409.5" customHeight="1" x14ac:dyDescent="0.25">
      <c r="A530" s="5">
        <f t="shared" si="228"/>
        <v>527</v>
      </c>
      <c r="B530" s="16">
        <v>130033</v>
      </c>
      <c r="C530" s="70">
        <v>734</v>
      </c>
      <c r="D530" s="56" t="s">
        <v>143</v>
      </c>
      <c r="E530" s="121" t="s">
        <v>1227</v>
      </c>
      <c r="F530" s="56" t="s">
        <v>1563</v>
      </c>
      <c r="G530" s="5" t="s">
        <v>1648</v>
      </c>
      <c r="H530" s="5" t="s">
        <v>1564</v>
      </c>
      <c r="I530" s="77" t="s">
        <v>1566</v>
      </c>
      <c r="J530" s="2">
        <v>43755</v>
      </c>
      <c r="K530" s="2">
        <v>45216</v>
      </c>
      <c r="L530" s="17">
        <f t="shared" si="218"/>
        <v>83.983862824652149</v>
      </c>
      <c r="M530" s="5" t="s">
        <v>136</v>
      </c>
      <c r="N530" s="5" t="s">
        <v>262</v>
      </c>
      <c r="O530" s="5" t="s">
        <v>262</v>
      </c>
      <c r="P530" s="3" t="s">
        <v>138</v>
      </c>
      <c r="Q530" s="5" t="s">
        <v>34</v>
      </c>
      <c r="R530" s="4">
        <f t="shared" si="220"/>
        <v>117574048.60000001</v>
      </c>
      <c r="S530" s="9">
        <v>94813226.560000002</v>
      </c>
      <c r="T530" s="9">
        <v>22760822.040000007</v>
      </c>
      <c r="U530" s="4">
        <f t="shared" si="221"/>
        <v>974280.55999999994</v>
      </c>
      <c r="V530" s="54">
        <v>720001.54999999993</v>
      </c>
      <c r="W530" s="54">
        <v>254279.01</v>
      </c>
      <c r="X530" s="4">
        <f t="shared" si="222"/>
        <v>21447670.84</v>
      </c>
      <c r="Y530" s="9">
        <v>16011744.310000001</v>
      </c>
      <c r="Z530" s="9">
        <v>5435926.5300000003</v>
      </c>
      <c r="AA530" s="9">
        <f t="shared" si="223"/>
        <v>0</v>
      </c>
      <c r="AB530" s="9">
        <v>0</v>
      </c>
      <c r="AC530" s="9">
        <v>0</v>
      </c>
      <c r="AD530" s="45">
        <f t="shared" si="227"/>
        <v>139996000</v>
      </c>
      <c r="AE530" s="9">
        <v>0</v>
      </c>
      <c r="AF530" s="9">
        <f t="shared" si="224"/>
        <v>139996000</v>
      </c>
      <c r="AG530" s="60" t="s">
        <v>515</v>
      </c>
      <c r="AH530" s="14" t="s">
        <v>2164</v>
      </c>
      <c r="AI530" s="1">
        <f>10931339.59+1052162.42+3541052.81+1696.47</f>
        <v>15526251.290000001</v>
      </c>
      <c r="AJ530" s="1">
        <f>165728.5+234828.34+283.13</f>
        <v>400839.97</v>
      </c>
    </row>
    <row r="531" spans="1:36" ht="409.5" customHeight="1" x14ac:dyDescent="0.25">
      <c r="A531" s="5">
        <f t="shared" si="228"/>
        <v>528</v>
      </c>
      <c r="B531" s="16">
        <v>129914</v>
      </c>
      <c r="C531" s="70">
        <v>752</v>
      </c>
      <c r="D531" s="56" t="s">
        <v>145</v>
      </c>
      <c r="E531" s="121" t="s">
        <v>1381</v>
      </c>
      <c r="F531" s="56" t="s">
        <v>1567</v>
      </c>
      <c r="G531" s="5" t="s">
        <v>1568</v>
      </c>
      <c r="H531" s="5" t="s">
        <v>562</v>
      </c>
      <c r="I531" s="77" t="s">
        <v>1569</v>
      </c>
      <c r="J531" s="2">
        <v>43755</v>
      </c>
      <c r="K531" s="2">
        <v>44851</v>
      </c>
      <c r="L531" s="17">
        <f t="shared" si="218"/>
        <v>83.983862841385985</v>
      </c>
      <c r="M531" s="5" t="s">
        <v>136</v>
      </c>
      <c r="N531" s="5" t="s">
        <v>262</v>
      </c>
      <c r="O531" s="5" t="s">
        <v>262</v>
      </c>
      <c r="P531" s="3" t="s">
        <v>138</v>
      </c>
      <c r="Q531" s="5" t="s">
        <v>34</v>
      </c>
      <c r="R531" s="4">
        <f t="shared" si="220"/>
        <v>10262590.810000001</v>
      </c>
      <c r="S531" s="9">
        <v>8275885.3600000003</v>
      </c>
      <c r="T531" s="9">
        <v>1986705.4500000004</v>
      </c>
      <c r="U531" s="4">
        <f t="shared" si="221"/>
        <v>0</v>
      </c>
      <c r="V531" s="54">
        <v>0</v>
      </c>
      <c r="W531" s="54">
        <v>0</v>
      </c>
      <c r="X531" s="4">
        <f t="shared" si="222"/>
        <v>1957126.7200000002</v>
      </c>
      <c r="Y531" s="9">
        <v>1460450.36</v>
      </c>
      <c r="Z531" s="9">
        <v>496676.36</v>
      </c>
      <c r="AA531" s="9">
        <f t="shared" si="223"/>
        <v>0</v>
      </c>
      <c r="AB531" s="9">
        <v>0</v>
      </c>
      <c r="AC531" s="9">
        <v>0</v>
      </c>
      <c r="AD531" s="45">
        <f t="shared" si="227"/>
        <v>12219717.530000001</v>
      </c>
      <c r="AE531" s="9">
        <v>0</v>
      </c>
      <c r="AF531" s="9">
        <f t="shared" si="224"/>
        <v>12219717.530000001</v>
      </c>
      <c r="AG531" s="60" t="s">
        <v>515</v>
      </c>
      <c r="AH531" s="14" t="s">
        <v>2187</v>
      </c>
      <c r="AI531" s="1">
        <f>121921.89+165239.27+154753.7+261297.32+406055.9+1063553</f>
        <v>2172821.08</v>
      </c>
      <c r="AJ531" s="1">
        <v>0</v>
      </c>
    </row>
    <row r="532" spans="1:36" ht="279" customHeight="1" x14ac:dyDescent="0.25">
      <c r="A532" s="5">
        <f t="shared" si="228"/>
        <v>529</v>
      </c>
      <c r="B532" s="16">
        <v>129605</v>
      </c>
      <c r="C532" s="70">
        <v>723</v>
      </c>
      <c r="D532" s="56" t="s">
        <v>143</v>
      </c>
      <c r="E532" s="121" t="s">
        <v>1227</v>
      </c>
      <c r="F532" s="56" t="s">
        <v>1577</v>
      </c>
      <c r="G532" s="5" t="s">
        <v>55</v>
      </c>
      <c r="H532" s="5" t="s">
        <v>151</v>
      </c>
      <c r="I532" s="56" t="s">
        <v>1578</v>
      </c>
      <c r="J532" s="2">
        <v>43767</v>
      </c>
      <c r="K532" s="2">
        <v>44863</v>
      </c>
      <c r="L532" s="17">
        <f t="shared" si="218"/>
        <v>83.983862776024722</v>
      </c>
      <c r="M532" s="5" t="s">
        <v>136</v>
      </c>
      <c r="N532" s="5" t="s">
        <v>262</v>
      </c>
      <c r="O532" s="5" t="s">
        <v>262</v>
      </c>
      <c r="P532" s="3" t="s">
        <v>138</v>
      </c>
      <c r="Q532" s="5" t="s">
        <v>34</v>
      </c>
      <c r="R532" s="4">
        <f t="shared" si="220"/>
        <v>17794139.579999998</v>
      </c>
      <c r="S532" s="9">
        <v>14349423.26</v>
      </c>
      <c r="T532" s="9">
        <v>3444716.32</v>
      </c>
      <c r="U532" s="4">
        <f t="shared" si="221"/>
        <v>0</v>
      </c>
      <c r="V532" s="54">
        <v>0</v>
      </c>
      <c r="W532" s="54">
        <v>0</v>
      </c>
      <c r="X532" s="4">
        <f t="shared" si="222"/>
        <v>3393430.26</v>
      </c>
      <c r="Y532" s="9">
        <v>2532251.17</v>
      </c>
      <c r="Z532" s="9">
        <v>861179.09</v>
      </c>
      <c r="AA532" s="9">
        <f t="shared" si="223"/>
        <v>0</v>
      </c>
      <c r="AB532" s="9">
        <v>0</v>
      </c>
      <c r="AC532" s="9">
        <v>0</v>
      </c>
      <c r="AD532" s="45">
        <f t="shared" si="227"/>
        <v>21187569.839999996</v>
      </c>
      <c r="AE532" s="9">
        <v>0</v>
      </c>
      <c r="AF532" s="9">
        <f t="shared" si="224"/>
        <v>21187569.839999996</v>
      </c>
      <c r="AG532" s="60" t="s">
        <v>515</v>
      </c>
      <c r="AH532" s="14"/>
      <c r="AI532" s="1">
        <f>22757.11+128885.93+61500.78+164886.35</f>
        <v>378030.17</v>
      </c>
      <c r="AJ532" s="1">
        <v>0</v>
      </c>
    </row>
    <row r="533" spans="1:36" ht="279" customHeight="1" x14ac:dyDescent="0.25">
      <c r="A533" s="5">
        <f t="shared" si="228"/>
        <v>530</v>
      </c>
      <c r="B533" s="16">
        <v>129988</v>
      </c>
      <c r="C533" s="70">
        <v>722</v>
      </c>
      <c r="D533" s="56" t="s">
        <v>143</v>
      </c>
      <c r="E533" s="121" t="s">
        <v>1227</v>
      </c>
      <c r="F533" s="56" t="s">
        <v>1579</v>
      </c>
      <c r="G533" s="3" t="s">
        <v>2091</v>
      </c>
      <c r="H533" s="5" t="s">
        <v>1611</v>
      </c>
      <c r="I533" s="56" t="s">
        <v>1580</v>
      </c>
      <c r="J533" s="2">
        <v>43769</v>
      </c>
      <c r="K533" s="2">
        <v>44592</v>
      </c>
      <c r="L533" s="17">
        <f t="shared" si="218"/>
        <v>83.983861380083297</v>
      </c>
      <c r="M533" s="5" t="s">
        <v>136</v>
      </c>
      <c r="N533" s="5" t="s">
        <v>262</v>
      </c>
      <c r="O533" s="5" t="s">
        <v>262</v>
      </c>
      <c r="P533" s="3" t="s">
        <v>138</v>
      </c>
      <c r="Q533" s="5" t="s">
        <v>34</v>
      </c>
      <c r="R533" s="4">
        <f t="shared" si="220"/>
        <v>2316470.8900000006</v>
      </c>
      <c r="S533" s="9">
        <v>1868031.9900000007</v>
      </c>
      <c r="T533" s="9">
        <v>448438.89999999997</v>
      </c>
      <c r="U533" s="4">
        <f t="shared" si="221"/>
        <v>24320.799999999999</v>
      </c>
      <c r="V533" s="54">
        <v>17973.28</v>
      </c>
      <c r="W533" s="54">
        <v>6347.52</v>
      </c>
      <c r="X533" s="4">
        <f t="shared" si="222"/>
        <v>417441.68</v>
      </c>
      <c r="Y533" s="9">
        <v>311679.42</v>
      </c>
      <c r="Z533" s="9">
        <v>105762.26</v>
      </c>
      <c r="AA533" s="9">
        <f t="shared" si="223"/>
        <v>0</v>
      </c>
      <c r="AB533" s="9">
        <v>0</v>
      </c>
      <c r="AC533" s="9">
        <v>0</v>
      </c>
      <c r="AD533" s="45">
        <f t="shared" si="227"/>
        <v>2758233.3700000006</v>
      </c>
      <c r="AE533" s="9">
        <v>0</v>
      </c>
      <c r="AF533" s="9">
        <f t="shared" si="224"/>
        <v>2758233.3700000006</v>
      </c>
      <c r="AG533" s="60" t="s">
        <v>515</v>
      </c>
      <c r="AH533" s="14" t="s">
        <v>2201</v>
      </c>
      <c r="AI533" s="1">
        <f>10251.91+105966.94</f>
        <v>116218.85</v>
      </c>
      <c r="AJ533" s="1">
        <v>0</v>
      </c>
    </row>
    <row r="534" spans="1:36" ht="279" customHeight="1" x14ac:dyDescent="0.25">
      <c r="A534" s="5">
        <f t="shared" si="228"/>
        <v>531</v>
      </c>
      <c r="B534" s="16">
        <v>126131</v>
      </c>
      <c r="C534" s="70">
        <v>575</v>
      </c>
      <c r="D534" s="56" t="s">
        <v>143</v>
      </c>
      <c r="E534" s="121" t="s">
        <v>1125</v>
      </c>
      <c r="F534" s="56" t="s">
        <v>1583</v>
      </c>
      <c r="G534" s="5" t="s">
        <v>1592</v>
      </c>
      <c r="H534" s="5" t="s">
        <v>299</v>
      </c>
      <c r="I534" s="56" t="s">
        <v>1584</v>
      </c>
      <c r="J534" s="2">
        <v>43770</v>
      </c>
      <c r="K534" s="2">
        <v>44501</v>
      </c>
      <c r="L534" s="17">
        <f t="shared" si="218"/>
        <v>83.983862526260836</v>
      </c>
      <c r="M534" s="5" t="s">
        <v>1585</v>
      </c>
      <c r="N534" s="5" t="s">
        <v>262</v>
      </c>
      <c r="O534" s="5" t="s">
        <v>137</v>
      </c>
      <c r="P534" s="3" t="s">
        <v>138</v>
      </c>
      <c r="Q534" s="5" t="s">
        <v>1586</v>
      </c>
      <c r="R534" s="4">
        <f t="shared" si="220"/>
        <v>5226214.8500000024</v>
      </c>
      <c r="S534" s="9">
        <v>4214486.950000002</v>
      </c>
      <c r="T534" s="9">
        <v>1011727.9</v>
      </c>
      <c r="U534" s="4">
        <f t="shared" si="221"/>
        <v>0</v>
      </c>
      <c r="V534" s="54">
        <v>0</v>
      </c>
      <c r="W534" s="54">
        <v>0</v>
      </c>
      <c r="X534" s="4">
        <f t="shared" si="222"/>
        <v>996664.99</v>
      </c>
      <c r="Y534" s="9">
        <v>743733</v>
      </c>
      <c r="Z534" s="9">
        <v>252931.99</v>
      </c>
      <c r="AA534" s="9">
        <f t="shared" si="223"/>
        <v>0</v>
      </c>
      <c r="AB534" s="9">
        <v>0</v>
      </c>
      <c r="AC534" s="9">
        <v>0</v>
      </c>
      <c r="AD534" s="45">
        <f t="shared" si="227"/>
        <v>6222879.8400000026</v>
      </c>
      <c r="AE534" s="9">
        <v>0</v>
      </c>
      <c r="AF534" s="9">
        <f t="shared" si="224"/>
        <v>6222879.8400000026</v>
      </c>
      <c r="AG534" s="60" t="s">
        <v>515</v>
      </c>
      <c r="AH534" s="14" t="s">
        <v>2163</v>
      </c>
      <c r="AI534" s="1">
        <f>241884.65+99070.84+219197.39+126966.07+108092.98</f>
        <v>795211.92999999993</v>
      </c>
      <c r="AJ534" s="1">
        <v>0</v>
      </c>
    </row>
    <row r="535" spans="1:36" ht="279" customHeight="1" x14ac:dyDescent="0.25">
      <c r="A535" s="5">
        <f t="shared" si="228"/>
        <v>532</v>
      </c>
      <c r="B535" s="16">
        <v>127024</v>
      </c>
      <c r="C535" s="70">
        <v>597</v>
      </c>
      <c r="D535" s="56" t="s">
        <v>143</v>
      </c>
      <c r="E535" s="121" t="s">
        <v>1125</v>
      </c>
      <c r="F535" s="56" t="s">
        <v>1618</v>
      </c>
      <c r="G535" s="5" t="s">
        <v>1619</v>
      </c>
      <c r="H535" s="5" t="s">
        <v>299</v>
      </c>
      <c r="I535" s="61" t="s">
        <v>1620</v>
      </c>
      <c r="J535" s="2">
        <v>43780</v>
      </c>
      <c r="K535" s="2">
        <v>44815</v>
      </c>
      <c r="L535" s="17">
        <f t="shared" si="218"/>
        <v>83.983863448962865</v>
      </c>
      <c r="M535" s="5" t="s">
        <v>1585</v>
      </c>
      <c r="N535" s="5" t="s">
        <v>262</v>
      </c>
      <c r="O535" s="5" t="s">
        <v>137</v>
      </c>
      <c r="P535" s="3" t="s">
        <v>138</v>
      </c>
      <c r="Q535" s="5" t="s">
        <v>1586</v>
      </c>
      <c r="R535" s="4">
        <f t="shared" si="220"/>
        <v>7226660.4299999997</v>
      </c>
      <c r="S535" s="9">
        <v>5827672.0199999996</v>
      </c>
      <c r="T535" s="9">
        <v>1398988.41</v>
      </c>
      <c r="U535" s="4">
        <f t="shared" si="221"/>
        <v>0</v>
      </c>
      <c r="V535" s="54">
        <v>0</v>
      </c>
      <c r="W535" s="54">
        <v>0</v>
      </c>
      <c r="X535" s="4">
        <f t="shared" si="222"/>
        <v>1378159.75</v>
      </c>
      <c r="Y535" s="9">
        <v>1028412.65</v>
      </c>
      <c r="Z535" s="9">
        <v>349747.1</v>
      </c>
      <c r="AA535" s="9">
        <f t="shared" si="223"/>
        <v>0</v>
      </c>
      <c r="AB535" s="9">
        <v>0</v>
      </c>
      <c r="AC535" s="9">
        <v>0</v>
      </c>
      <c r="AD535" s="45">
        <f t="shared" si="227"/>
        <v>8604820.1799999997</v>
      </c>
      <c r="AE535" s="9">
        <v>1800000</v>
      </c>
      <c r="AF535" s="9">
        <f t="shared" si="224"/>
        <v>10404820.18</v>
      </c>
      <c r="AG535" s="60" t="s">
        <v>515</v>
      </c>
      <c r="AH535" s="14" t="s">
        <v>2158</v>
      </c>
      <c r="AI535" s="1">
        <f>15455.18+11690.56+20309.88+70213.23+31079.07+47971.58</f>
        <v>196719.5</v>
      </c>
      <c r="AJ535" s="1">
        <v>0</v>
      </c>
    </row>
    <row r="536" spans="1:36" ht="279" customHeight="1" x14ac:dyDescent="0.25">
      <c r="A536" s="5">
        <f t="shared" si="228"/>
        <v>533</v>
      </c>
      <c r="B536" s="16">
        <v>129872</v>
      </c>
      <c r="C536" s="16">
        <v>715</v>
      </c>
      <c r="D536" s="56" t="s">
        <v>143</v>
      </c>
      <c r="E536" s="121" t="s">
        <v>1227</v>
      </c>
      <c r="F536" s="127" t="s">
        <v>1668</v>
      </c>
      <c r="G536" s="5" t="s">
        <v>1669</v>
      </c>
      <c r="H536" s="5" t="s">
        <v>1670</v>
      </c>
      <c r="I536" s="221" t="s">
        <v>1671</v>
      </c>
      <c r="J536" s="2">
        <v>43838</v>
      </c>
      <c r="K536" s="2">
        <v>44934</v>
      </c>
      <c r="L536" s="17">
        <f t="shared" si="218"/>
        <v>83.98386275132971</v>
      </c>
      <c r="M536" s="5" t="s">
        <v>1585</v>
      </c>
      <c r="N536" s="5" t="s">
        <v>262</v>
      </c>
      <c r="O536" s="5" t="s">
        <v>137</v>
      </c>
      <c r="P536" s="3" t="s">
        <v>138</v>
      </c>
      <c r="Q536" s="5" t="s">
        <v>1586</v>
      </c>
      <c r="R536" s="4">
        <f t="shared" si="220"/>
        <v>14298114.27</v>
      </c>
      <c r="S536" s="222">
        <v>11530183.43</v>
      </c>
      <c r="T536" s="222">
        <v>2767930.84</v>
      </c>
      <c r="U536" s="4">
        <f t="shared" si="221"/>
        <v>2244193.12</v>
      </c>
      <c r="V536" s="54">
        <v>1658477.48</v>
      </c>
      <c r="W536" s="54">
        <v>585715.64</v>
      </c>
      <c r="X536" s="4">
        <f t="shared" si="222"/>
        <v>482527.86</v>
      </c>
      <c r="Y536" s="222">
        <v>376260.79</v>
      </c>
      <c r="Z536" s="222">
        <v>106267.07</v>
      </c>
      <c r="AA536" s="9">
        <f t="shared" si="223"/>
        <v>0</v>
      </c>
      <c r="AB536" s="9">
        <v>0</v>
      </c>
      <c r="AC536" s="9">
        <v>0</v>
      </c>
      <c r="AD536" s="45">
        <f t="shared" si="227"/>
        <v>17024835.25</v>
      </c>
      <c r="AE536" s="9">
        <v>0</v>
      </c>
      <c r="AF536" s="9">
        <f t="shared" si="224"/>
        <v>17024835.25</v>
      </c>
      <c r="AG536" s="60" t="s">
        <v>515</v>
      </c>
      <c r="AH536" s="14" t="s">
        <v>2036</v>
      </c>
      <c r="AI536" s="1">
        <f>189152.64+1300000+1101373.25-51185.13+1344978.07-115334.83+971163.05</f>
        <v>4740147.05</v>
      </c>
      <c r="AJ536" s="1">
        <f>31040.01+128850.4+121426.66+78498.26+138897.34</f>
        <v>498712.67000000004</v>
      </c>
    </row>
    <row r="537" spans="1:36" ht="279" customHeight="1" x14ac:dyDescent="0.25">
      <c r="A537" s="5">
        <f t="shared" si="228"/>
        <v>534</v>
      </c>
      <c r="B537" s="16">
        <v>129752</v>
      </c>
      <c r="C537" s="70">
        <v>707</v>
      </c>
      <c r="D537" s="56" t="s">
        <v>143</v>
      </c>
      <c r="E537" s="121" t="s">
        <v>1227</v>
      </c>
      <c r="F537" s="56" t="s">
        <v>1625</v>
      </c>
      <c r="G537" s="5" t="s">
        <v>1592</v>
      </c>
      <c r="H537" s="5" t="s">
        <v>151</v>
      </c>
      <c r="I537" s="56" t="s">
        <v>1626</v>
      </c>
      <c r="J537" s="2">
        <v>43791</v>
      </c>
      <c r="K537" s="2">
        <v>44703</v>
      </c>
      <c r="L537" s="17">
        <f t="shared" si="218"/>
        <v>83.983863478914273</v>
      </c>
      <c r="M537" s="5" t="s">
        <v>1585</v>
      </c>
      <c r="N537" s="5" t="s">
        <v>262</v>
      </c>
      <c r="O537" s="5" t="s">
        <v>137</v>
      </c>
      <c r="P537" s="3" t="s">
        <v>138</v>
      </c>
      <c r="Q537" s="5" t="s">
        <v>1586</v>
      </c>
      <c r="R537" s="4">
        <f t="shared" si="220"/>
        <v>5269881.79</v>
      </c>
      <c r="S537" s="222">
        <v>4249700.58</v>
      </c>
      <c r="T537" s="222">
        <v>1020181.21</v>
      </c>
      <c r="U537" s="4">
        <f t="shared" si="221"/>
        <v>0</v>
      </c>
      <c r="V537" s="54">
        <v>0</v>
      </c>
      <c r="W537" s="54">
        <v>0</v>
      </c>
      <c r="X537" s="4">
        <f t="shared" si="222"/>
        <v>1004992.42</v>
      </c>
      <c r="Y537" s="222">
        <v>749947.06</v>
      </c>
      <c r="Z537" s="222">
        <v>255045.36</v>
      </c>
      <c r="AA537" s="9">
        <v>0</v>
      </c>
      <c r="AB537" s="9">
        <v>0</v>
      </c>
      <c r="AC537" s="9">
        <v>0</v>
      </c>
      <c r="AD537" s="45">
        <f t="shared" si="227"/>
        <v>6274874.21</v>
      </c>
      <c r="AE537" s="9">
        <v>0</v>
      </c>
      <c r="AF537" s="9">
        <f t="shared" si="224"/>
        <v>6274874.21</v>
      </c>
      <c r="AG537" s="60" t="s">
        <v>515</v>
      </c>
      <c r="AH537" s="14"/>
      <c r="AI537" s="1">
        <f>544225.81+67302.99+86586.53+103080.13+136816.43</f>
        <v>938011.89000000013</v>
      </c>
      <c r="AJ537" s="1">
        <v>0</v>
      </c>
    </row>
    <row r="538" spans="1:36" ht="279" customHeight="1" x14ac:dyDescent="0.25">
      <c r="A538" s="5">
        <f t="shared" si="228"/>
        <v>535</v>
      </c>
      <c r="B538" s="16">
        <v>129166</v>
      </c>
      <c r="C538" s="70">
        <v>696</v>
      </c>
      <c r="D538" s="56" t="s">
        <v>143</v>
      </c>
      <c r="E538" s="121" t="s">
        <v>1227</v>
      </c>
      <c r="F538" s="56" t="s">
        <v>1631</v>
      </c>
      <c r="G538" s="5" t="s">
        <v>55</v>
      </c>
      <c r="H538" s="5" t="s">
        <v>151</v>
      </c>
      <c r="I538" s="56" t="s">
        <v>1632</v>
      </c>
      <c r="J538" s="2">
        <v>43797</v>
      </c>
      <c r="K538" s="2">
        <v>44893</v>
      </c>
      <c r="L538" s="17">
        <f t="shared" si="218"/>
        <v>83.98386275414363</v>
      </c>
      <c r="M538" s="5" t="s">
        <v>1585</v>
      </c>
      <c r="N538" s="5" t="s">
        <v>262</v>
      </c>
      <c r="O538" s="5" t="s">
        <v>137</v>
      </c>
      <c r="P538" s="3" t="s">
        <v>138</v>
      </c>
      <c r="Q538" s="5" t="s">
        <v>1586</v>
      </c>
      <c r="R538" s="4">
        <f t="shared" si="220"/>
        <v>11173608.689999999</v>
      </c>
      <c r="S538" s="222">
        <v>9010541.9199999999</v>
      </c>
      <c r="T538" s="222">
        <v>2163066.77</v>
      </c>
      <c r="U538" s="4">
        <f t="shared" si="221"/>
        <v>0</v>
      </c>
      <c r="V538" s="54">
        <v>0</v>
      </c>
      <c r="W538" s="54">
        <v>0</v>
      </c>
      <c r="X538" s="4">
        <f t="shared" si="222"/>
        <v>2130862.34</v>
      </c>
      <c r="Y538" s="222">
        <v>1590095.63</v>
      </c>
      <c r="Z538" s="222">
        <v>540766.71</v>
      </c>
      <c r="AA538" s="9">
        <v>0</v>
      </c>
      <c r="AB538" s="9">
        <v>0</v>
      </c>
      <c r="AC538" s="9">
        <v>0</v>
      </c>
      <c r="AD538" s="45">
        <f t="shared" si="227"/>
        <v>13304471.029999999</v>
      </c>
      <c r="AE538" s="9">
        <v>0</v>
      </c>
      <c r="AF538" s="9">
        <f t="shared" si="224"/>
        <v>13304471.029999999</v>
      </c>
      <c r="AG538" s="60" t="s">
        <v>515</v>
      </c>
      <c r="AH538" s="14"/>
      <c r="AI538" s="1">
        <f>153377.25+187286.87+232227.13</f>
        <v>572891.25</v>
      </c>
      <c r="AJ538" s="1">
        <v>0</v>
      </c>
    </row>
    <row r="539" spans="1:36" ht="279" customHeight="1" x14ac:dyDescent="0.25">
      <c r="A539" s="5">
        <f t="shared" si="228"/>
        <v>536</v>
      </c>
      <c r="B539" s="16">
        <v>130073</v>
      </c>
      <c r="C539" s="70">
        <v>740</v>
      </c>
      <c r="D539" s="56" t="s">
        <v>143</v>
      </c>
      <c r="E539" s="121" t="s">
        <v>1227</v>
      </c>
      <c r="F539" s="56" t="s">
        <v>1636</v>
      </c>
      <c r="G539" s="5" t="s">
        <v>1634</v>
      </c>
      <c r="H539" s="5" t="s">
        <v>151</v>
      </c>
      <c r="I539" s="56" t="s">
        <v>1635</v>
      </c>
      <c r="J539" s="2">
        <v>43802</v>
      </c>
      <c r="K539" s="2">
        <v>44898</v>
      </c>
      <c r="L539" s="17">
        <f t="shared" si="218"/>
        <v>83.983863192268686</v>
      </c>
      <c r="M539" s="5" t="s">
        <v>1585</v>
      </c>
      <c r="N539" s="5" t="s">
        <v>262</v>
      </c>
      <c r="O539" s="5" t="s">
        <v>137</v>
      </c>
      <c r="P539" s="3" t="s">
        <v>138</v>
      </c>
      <c r="Q539" s="5" t="s">
        <v>1586</v>
      </c>
      <c r="R539" s="4">
        <f t="shared" si="220"/>
        <v>10894851.5</v>
      </c>
      <c r="S539" s="222">
        <v>8785748.5</v>
      </c>
      <c r="T539" s="222">
        <v>2109103</v>
      </c>
      <c r="U539" s="4">
        <f t="shared" si="221"/>
        <v>1818250.83</v>
      </c>
      <c r="V539" s="54">
        <v>1343702.7</v>
      </c>
      <c r="W539" s="54">
        <v>474548.13</v>
      </c>
      <c r="X539" s="4">
        <f t="shared" si="222"/>
        <v>259451.07</v>
      </c>
      <c r="Y539" s="222">
        <v>206723.48</v>
      </c>
      <c r="Z539" s="222">
        <v>52727.59</v>
      </c>
      <c r="AA539" s="9">
        <v>0</v>
      </c>
      <c r="AB539" s="9">
        <v>0</v>
      </c>
      <c r="AC539" s="9">
        <v>0</v>
      </c>
      <c r="AD539" s="45">
        <f t="shared" si="227"/>
        <v>12972553.4</v>
      </c>
      <c r="AE539" s="9">
        <v>0</v>
      </c>
      <c r="AF539" s="9">
        <f t="shared" si="224"/>
        <v>12972553.4</v>
      </c>
      <c r="AG539" s="60" t="s">
        <v>515</v>
      </c>
      <c r="AH539" s="14"/>
      <c r="AI539" s="1">
        <f>1307041.33-38227.08-43432.3-27216.51-57513.13</f>
        <v>1140652.31</v>
      </c>
      <c r="AJ539" s="1">
        <f>22158.67+38227.08+43432.3+27216.51+57513.13</f>
        <v>188547.69</v>
      </c>
    </row>
    <row r="540" spans="1:36" ht="279" customHeight="1" x14ac:dyDescent="0.25">
      <c r="A540" s="5">
        <f t="shared" si="228"/>
        <v>537</v>
      </c>
      <c r="B540" s="16">
        <v>129751</v>
      </c>
      <c r="C540" s="70">
        <v>719</v>
      </c>
      <c r="D540" s="56" t="s">
        <v>143</v>
      </c>
      <c r="E540" s="121" t="s">
        <v>1227</v>
      </c>
      <c r="F540" s="56" t="s">
        <v>1638</v>
      </c>
      <c r="G540" s="5" t="s">
        <v>1595</v>
      </c>
      <c r="H540" s="5" t="s">
        <v>1639</v>
      </c>
      <c r="I540" s="56" t="s">
        <v>1640</v>
      </c>
      <c r="J540" s="2">
        <v>43808</v>
      </c>
      <c r="K540" s="2">
        <v>44904</v>
      </c>
      <c r="L540" s="17">
        <f t="shared" si="218"/>
        <v>83.983863200175961</v>
      </c>
      <c r="M540" s="5" t="s">
        <v>1585</v>
      </c>
      <c r="N540" s="5" t="s">
        <v>262</v>
      </c>
      <c r="O540" s="5" t="s">
        <v>137</v>
      </c>
      <c r="P540" s="3" t="s">
        <v>138</v>
      </c>
      <c r="Q540" s="5" t="s">
        <v>1586</v>
      </c>
      <c r="R540" s="4">
        <f t="shared" si="220"/>
        <v>12249086.76</v>
      </c>
      <c r="S540" s="222">
        <v>9877821.2300000004</v>
      </c>
      <c r="T540" s="222">
        <v>2371265.5299999998</v>
      </c>
      <c r="U540" s="4">
        <f t="shared" si="221"/>
        <v>0</v>
      </c>
      <c r="V540" s="54">
        <v>0</v>
      </c>
      <c r="W540" s="54">
        <v>0</v>
      </c>
      <c r="X540" s="4">
        <f t="shared" si="222"/>
        <v>2335961.2399999998</v>
      </c>
      <c r="Y540" s="222">
        <v>1743144.92</v>
      </c>
      <c r="Z540" s="222">
        <v>592816.31999999995</v>
      </c>
      <c r="AA540" s="9">
        <v>0</v>
      </c>
      <c r="AB540" s="9">
        <v>0</v>
      </c>
      <c r="AC540" s="9">
        <v>0</v>
      </c>
      <c r="AD540" s="45">
        <f t="shared" si="227"/>
        <v>14585048</v>
      </c>
      <c r="AE540" s="9">
        <v>0</v>
      </c>
      <c r="AF540" s="9">
        <f t="shared" si="224"/>
        <v>14585048</v>
      </c>
      <c r="AG540" s="60" t="s">
        <v>515</v>
      </c>
      <c r="AH540" s="14" t="s">
        <v>2218</v>
      </c>
      <c r="AI540" s="1">
        <f>5479.11+803013.38+1418.49</f>
        <v>809910.98</v>
      </c>
      <c r="AJ540" s="1">
        <v>0</v>
      </c>
    </row>
    <row r="541" spans="1:36" ht="279" customHeight="1" x14ac:dyDescent="0.25">
      <c r="A541" s="5">
        <f t="shared" si="228"/>
        <v>538</v>
      </c>
      <c r="B541" s="16">
        <v>128013</v>
      </c>
      <c r="C541" s="5">
        <v>593</v>
      </c>
      <c r="D541" s="56" t="s">
        <v>143</v>
      </c>
      <c r="E541" s="121" t="s">
        <v>1125</v>
      </c>
      <c r="F541" s="127" t="s">
        <v>1647</v>
      </c>
      <c r="G541" s="5" t="s">
        <v>1648</v>
      </c>
      <c r="H541" s="5" t="s">
        <v>1649</v>
      </c>
      <c r="I541" s="61" t="s">
        <v>1650</v>
      </c>
      <c r="J541" s="2">
        <v>43817</v>
      </c>
      <c r="K541" s="2">
        <v>44730</v>
      </c>
      <c r="L541" s="17">
        <f t="shared" si="218"/>
        <v>83.983862832153392</v>
      </c>
      <c r="M541" s="5" t="s">
        <v>1585</v>
      </c>
      <c r="N541" s="5" t="s">
        <v>262</v>
      </c>
      <c r="O541" s="5" t="s">
        <v>137</v>
      </c>
      <c r="P541" s="3" t="s">
        <v>138</v>
      </c>
      <c r="Q541" s="5" t="s">
        <v>1586</v>
      </c>
      <c r="R541" s="4">
        <f t="shared" si="220"/>
        <v>25152543.590000004</v>
      </c>
      <c r="S541" s="222">
        <v>20283335.010000002</v>
      </c>
      <c r="T541" s="222">
        <v>4869208.58</v>
      </c>
      <c r="U541" s="4">
        <f t="shared" si="221"/>
        <v>1562953.45</v>
      </c>
      <c r="V541" s="54">
        <v>1155035.78</v>
      </c>
      <c r="W541" s="54">
        <v>407917.67</v>
      </c>
      <c r="X541" s="4">
        <f t="shared" si="222"/>
        <v>3233760.76</v>
      </c>
      <c r="Y541" s="222">
        <v>2424376.25</v>
      </c>
      <c r="Z541" s="222">
        <v>809384.51</v>
      </c>
      <c r="AA541" s="9">
        <v>0</v>
      </c>
      <c r="AB541" s="9">
        <v>0</v>
      </c>
      <c r="AC541" s="9">
        <v>0</v>
      </c>
      <c r="AD541" s="45">
        <f t="shared" si="227"/>
        <v>29949257.800000004</v>
      </c>
      <c r="AE541" s="9">
        <v>0</v>
      </c>
      <c r="AF541" s="9">
        <f t="shared" si="224"/>
        <v>29949257.800000004</v>
      </c>
      <c r="AG541" s="60" t="s">
        <v>515</v>
      </c>
      <c r="AH541" s="14"/>
      <c r="AI541" s="1">
        <v>0</v>
      </c>
      <c r="AJ541" s="1">
        <v>0</v>
      </c>
    </row>
    <row r="542" spans="1:36" ht="171" customHeight="1" x14ac:dyDescent="0.25">
      <c r="A542" s="5">
        <f t="shared" si="228"/>
        <v>539</v>
      </c>
      <c r="B542" s="16">
        <v>127465</v>
      </c>
      <c r="C542" s="16">
        <v>594</v>
      </c>
      <c r="D542" s="56" t="s">
        <v>143</v>
      </c>
      <c r="E542" s="121" t="s">
        <v>1125</v>
      </c>
      <c r="F542" s="127" t="s">
        <v>1651</v>
      </c>
      <c r="G542" s="5" t="s">
        <v>1648</v>
      </c>
      <c r="H542" s="8" t="s">
        <v>1652</v>
      </c>
      <c r="I542" s="61" t="s">
        <v>1653</v>
      </c>
      <c r="J542" s="2">
        <v>43817</v>
      </c>
      <c r="K542" s="2">
        <v>44730</v>
      </c>
      <c r="L542" s="17">
        <f t="shared" si="218"/>
        <v>83.983863769739614</v>
      </c>
      <c r="M542" s="5" t="s">
        <v>1585</v>
      </c>
      <c r="N542" s="5" t="s">
        <v>262</v>
      </c>
      <c r="O542" s="5" t="s">
        <v>137</v>
      </c>
      <c r="P542" s="3" t="s">
        <v>138</v>
      </c>
      <c r="Q542" s="5" t="s">
        <v>1586</v>
      </c>
      <c r="R542" s="4">
        <f t="shared" si="220"/>
        <v>12338346.380000001</v>
      </c>
      <c r="S542" s="222">
        <v>9949801.3300000019</v>
      </c>
      <c r="T542" s="222">
        <v>2388545.0499999989</v>
      </c>
      <c r="U542" s="4">
        <f t="shared" si="221"/>
        <v>378009.1399999999</v>
      </c>
      <c r="V542" s="54">
        <v>279351.9599999999</v>
      </c>
      <c r="W542" s="54">
        <v>98657.18</v>
      </c>
      <c r="X542" s="4">
        <f t="shared" si="222"/>
        <v>1974974.25</v>
      </c>
      <c r="Y542" s="222">
        <v>1476495.26</v>
      </c>
      <c r="Z542" s="222">
        <v>498478.99</v>
      </c>
      <c r="AA542" s="9">
        <f>AB542+AC542</f>
        <v>0</v>
      </c>
      <c r="AB542" s="9">
        <v>0</v>
      </c>
      <c r="AC542" s="9">
        <v>0</v>
      </c>
      <c r="AD542" s="45">
        <f t="shared" si="227"/>
        <v>14691329.770000001</v>
      </c>
      <c r="AE542" s="9">
        <v>0</v>
      </c>
      <c r="AF542" s="9">
        <f t="shared" si="224"/>
        <v>14691329.770000001</v>
      </c>
      <c r="AG542" s="60" t="s">
        <v>515</v>
      </c>
      <c r="AH542" s="14" t="s">
        <v>2154</v>
      </c>
      <c r="AI542" s="1">
        <f>487906.23+763317.08+465485.1+555858.59+806980.21+689889.1</f>
        <v>3769436.31</v>
      </c>
      <c r="AJ542" s="1">
        <f>24029.1+31800.36+7428.8+24992.88+36585.59+22948.98</f>
        <v>147785.71</v>
      </c>
    </row>
    <row r="543" spans="1:36" ht="279" customHeight="1" x14ac:dyDescent="0.25">
      <c r="A543" s="5">
        <f t="shared" si="228"/>
        <v>540</v>
      </c>
      <c r="B543" s="16">
        <v>127579</v>
      </c>
      <c r="C543" s="16">
        <v>610</v>
      </c>
      <c r="D543" s="56" t="s">
        <v>143</v>
      </c>
      <c r="E543" s="121" t="s">
        <v>1125</v>
      </c>
      <c r="F543" s="127" t="s">
        <v>1654</v>
      </c>
      <c r="G543" s="5" t="s">
        <v>1648</v>
      </c>
      <c r="H543" s="8" t="s">
        <v>1656</v>
      </c>
      <c r="I543" s="61" t="s">
        <v>1655</v>
      </c>
      <c r="J543" s="2">
        <v>43817</v>
      </c>
      <c r="K543" s="2">
        <v>44730</v>
      </c>
      <c r="L543" s="17">
        <f t="shared" si="218"/>
        <v>83.983862949682958</v>
      </c>
      <c r="M543" s="5" t="s">
        <v>1585</v>
      </c>
      <c r="N543" s="5" t="s">
        <v>262</v>
      </c>
      <c r="O543" s="5" t="s">
        <v>137</v>
      </c>
      <c r="P543" s="3" t="s">
        <v>138</v>
      </c>
      <c r="Q543" s="5" t="s">
        <v>1586</v>
      </c>
      <c r="R543" s="4">
        <f t="shared" si="220"/>
        <v>14412959.909999998</v>
      </c>
      <c r="S543" s="222">
        <v>11622796.469999999</v>
      </c>
      <c r="T543" s="222">
        <v>2790163.439999999</v>
      </c>
      <c r="U543" s="4">
        <f t="shared" si="221"/>
        <v>488856.25999999995</v>
      </c>
      <c r="V543" s="54">
        <v>361268.92999999993</v>
      </c>
      <c r="W543" s="54">
        <v>127587.33</v>
      </c>
      <c r="X543" s="4">
        <f t="shared" si="222"/>
        <v>2259766.31</v>
      </c>
      <c r="Y543" s="222">
        <v>1689812.74</v>
      </c>
      <c r="Z543" s="222">
        <v>569953.56999999995</v>
      </c>
      <c r="AA543" s="9">
        <f>AB543+AC543</f>
        <v>0</v>
      </c>
      <c r="AB543" s="9">
        <v>0</v>
      </c>
      <c r="AC543" s="9">
        <v>0</v>
      </c>
      <c r="AD543" s="45">
        <f t="shared" si="227"/>
        <v>17161582.479999997</v>
      </c>
      <c r="AE543" s="9">
        <v>0</v>
      </c>
      <c r="AF543" s="9">
        <f t="shared" si="224"/>
        <v>17161582.479999997</v>
      </c>
      <c r="AG543" s="60" t="s">
        <v>515</v>
      </c>
      <c r="AH543" s="14" t="s">
        <v>2213</v>
      </c>
      <c r="AI543" s="1">
        <f>130139.18+185592.98+455227.72+446096.57+278816.11</f>
        <v>1495872.56</v>
      </c>
      <c r="AJ543" s="1">
        <f>14582.67+13439.8+31835.77+41361.65+21148.02</f>
        <v>122367.91000000002</v>
      </c>
    </row>
    <row r="544" spans="1:36" ht="279" customHeight="1" x14ac:dyDescent="0.25">
      <c r="A544" s="5">
        <f t="shared" si="228"/>
        <v>541</v>
      </c>
      <c r="B544" s="16">
        <v>129170</v>
      </c>
      <c r="C544" s="16">
        <v>724</v>
      </c>
      <c r="D544" s="56" t="s">
        <v>143</v>
      </c>
      <c r="E544" s="121" t="s">
        <v>1227</v>
      </c>
      <c r="F544" s="127" t="s">
        <v>1660</v>
      </c>
      <c r="G544" s="5" t="s">
        <v>55</v>
      </c>
      <c r="H544" s="8" t="s">
        <v>1661</v>
      </c>
      <c r="I544" s="61" t="s">
        <v>1662</v>
      </c>
      <c r="J544" s="2">
        <v>43819</v>
      </c>
      <c r="K544" s="2">
        <v>44732</v>
      </c>
      <c r="L544" s="17">
        <f t="shared" si="218"/>
        <v>83.983863218572864</v>
      </c>
      <c r="M544" s="5" t="s">
        <v>1585</v>
      </c>
      <c r="N544" s="5" t="s">
        <v>262</v>
      </c>
      <c r="O544" s="5" t="s">
        <v>137</v>
      </c>
      <c r="P544" s="3" t="s">
        <v>138</v>
      </c>
      <c r="Q544" s="5" t="s">
        <v>1586</v>
      </c>
      <c r="R544" s="4">
        <f t="shared" si="220"/>
        <v>19868936.969999999</v>
      </c>
      <c r="S544" s="222">
        <v>16022566.539999999</v>
      </c>
      <c r="T544" s="222">
        <v>3846370.43</v>
      </c>
      <c r="U544" s="4">
        <f t="shared" si="221"/>
        <v>1348294.18</v>
      </c>
      <c r="V544" s="54">
        <v>996400.74</v>
      </c>
      <c r="W544" s="54">
        <v>351893.44</v>
      </c>
      <c r="X544" s="4">
        <f t="shared" si="222"/>
        <v>2440810.06</v>
      </c>
      <c r="Y544" s="222">
        <v>1831110.97</v>
      </c>
      <c r="Z544" s="222">
        <v>609699.09</v>
      </c>
      <c r="AA544" s="9">
        <f>AB544+AC544</f>
        <v>0</v>
      </c>
      <c r="AB544" s="9">
        <v>0</v>
      </c>
      <c r="AC544" s="9">
        <v>0</v>
      </c>
      <c r="AD544" s="45">
        <f t="shared" si="227"/>
        <v>23658041.209999997</v>
      </c>
      <c r="AE544" s="9">
        <v>0</v>
      </c>
      <c r="AF544" s="9">
        <f t="shared" si="224"/>
        <v>23658041.209999997</v>
      </c>
      <c r="AG544" s="60" t="s">
        <v>515</v>
      </c>
      <c r="AH544" s="14"/>
      <c r="AI544" s="1">
        <f>57948.86+247162.83+251292.32+1050536.25</f>
        <v>1606940.26</v>
      </c>
      <c r="AJ544" s="1">
        <f>9154.08+23419+115023.53</f>
        <v>147596.60999999999</v>
      </c>
    </row>
    <row r="545" spans="1:36" ht="279" customHeight="1" x14ac:dyDescent="0.25">
      <c r="A545" s="5">
        <f t="shared" si="228"/>
        <v>542</v>
      </c>
      <c r="B545" s="16">
        <v>127548</v>
      </c>
      <c r="C545" s="16">
        <v>591</v>
      </c>
      <c r="D545" s="56" t="s">
        <v>143</v>
      </c>
      <c r="E545" s="121" t="s">
        <v>1125</v>
      </c>
      <c r="F545" s="127" t="s">
        <v>1664</v>
      </c>
      <c r="G545" s="5" t="s">
        <v>1665</v>
      </c>
      <c r="H545" s="5" t="s">
        <v>299</v>
      </c>
      <c r="I545" s="61" t="s">
        <v>1666</v>
      </c>
      <c r="J545" s="2">
        <v>43822</v>
      </c>
      <c r="K545" s="2">
        <v>44918</v>
      </c>
      <c r="L545" s="17">
        <f t="shared" si="218"/>
        <v>83.983862716573014</v>
      </c>
      <c r="M545" s="5" t="s">
        <v>1585</v>
      </c>
      <c r="N545" s="5" t="s">
        <v>262</v>
      </c>
      <c r="O545" s="5" t="s">
        <v>137</v>
      </c>
      <c r="P545" s="3" t="s">
        <v>138</v>
      </c>
      <c r="Q545" s="5" t="s">
        <v>1586</v>
      </c>
      <c r="R545" s="4">
        <f t="shared" si="220"/>
        <v>14146050.210000001</v>
      </c>
      <c r="S545" s="222">
        <v>11407557.020000001</v>
      </c>
      <c r="T545" s="222">
        <v>2738493.19</v>
      </c>
      <c r="U545" s="4">
        <f t="shared" si="221"/>
        <v>0</v>
      </c>
      <c r="V545" s="54">
        <v>0</v>
      </c>
      <c r="W545" s="54">
        <v>0</v>
      </c>
      <c r="X545" s="4">
        <f t="shared" si="222"/>
        <v>2697721.62</v>
      </c>
      <c r="Y545" s="222">
        <v>2013098.31</v>
      </c>
      <c r="Z545" s="222">
        <v>684623.31</v>
      </c>
      <c r="AA545" s="9">
        <f>AB545+AC545</f>
        <v>0</v>
      </c>
      <c r="AB545" s="9">
        <v>0</v>
      </c>
      <c r="AC545" s="9">
        <v>0</v>
      </c>
      <c r="AD545" s="45">
        <f t="shared" si="227"/>
        <v>16843771.830000002</v>
      </c>
      <c r="AE545" s="9">
        <v>0</v>
      </c>
      <c r="AF545" s="9">
        <f t="shared" si="224"/>
        <v>16843771.830000002</v>
      </c>
      <c r="AG545" s="60" t="s">
        <v>515</v>
      </c>
      <c r="AH545" s="14" t="s">
        <v>1964</v>
      </c>
      <c r="AI545" s="1">
        <f>12852.93+100262.57+75904.63+91562.57+86924.98</f>
        <v>367507.68</v>
      </c>
      <c r="AJ545" s="1">
        <v>0</v>
      </c>
    </row>
    <row r="546" spans="1:36" ht="279" customHeight="1" x14ac:dyDescent="0.25">
      <c r="A546" s="5">
        <f t="shared" si="228"/>
        <v>543</v>
      </c>
      <c r="B546" s="16">
        <v>130709</v>
      </c>
      <c r="C546" s="70">
        <v>753</v>
      </c>
      <c r="D546" s="56" t="s">
        <v>144</v>
      </c>
      <c r="E546" s="121" t="s">
        <v>1613</v>
      </c>
      <c r="F546" s="56" t="s">
        <v>1615</v>
      </c>
      <c r="G546" s="5" t="s">
        <v>1614</v>
      </c>
      <c r="H546" s="5" t="s">
        <v>1616</v>
      </c>
      <c r="I546" s="8" t="s">
        <v>1617</v>
      </c>
      <c r="J546" s="2">
        <v>43783</v>
      </c>
      <c r="K546" s="2">
        <v>45183</v>
      </c>
      <c r="L546" s="17">
        <f t="shared" si="218"/>
        <v>83.983862999050473</v>
      </c>
      <c r="M546" s="5" t="s">
        <v>1585</v>
      </c>
      <c r="N546" s="5" t="s">
        <v>262</v>
      </c>
      <c r="O546" s="5" t="s">
        <v>137</v>
      </c>
      <c r="P546" s="3" t="s">
        <v>138</v>
      </c>
      <c r="Q546" s="5" t="s">
        <v>1586</v>
      </c>
      <c r="R546" s="4">
        <f t="shared" si="220"/>
        <v>41902444.089999996</v>
      </c>
      <c r="S546" s="9">
        <v>33790670.389999993</v>
      </c>
      <c r="T546" s="9">
        <v>8111773.7000000002</v>
      </c>
      <c r="U546" s="4">
        <f t="shared" si="221"/>
        <v>0</v>
      </c>
      <c r="V546" s="54">
        <v>0</v>
      </c>
      <c r="W546" s="54">
        <v>0</v>
      </c>
      <c r="X546" s="4">
        <f t="shared" si="222"/>
        <v>7991002.8099999996</v>
      </c>
      <c r="Y546" s="9">
        <v>5963059.4199999999</v>
      </c>
      <c r="Z546" s="9">
        <v>2027943.39</v>
      </c>
      <c r="AA546" s="9">
        <v>0</v>
      </c>
      <c r="AB546" s="9">
        <v>0</v>
      </c>
      <c r="AC546" s="9">
        <v>0</v>
      </c>
      <c r="AD546" s="45">
        <f t="shared" si="227"/>
        <v>49893446.899999999</v>
      </c>
      <c r="AE546" s="9">
        <v>27762.36</v>
      </c>
      <c r="AF546" s="9">
        <f t="shared" si="224"/>
        <v>49921209.259999998</v>
      </c>
      <c r="AG546" s="60" t="s">
        <v>515</v>
      </c>
      <c r="AH546" s="14" t="s">
        <v>2217</v>
      </c>
      <c r="AI546" s="1">
        <f>564656.74+805645.99+3598507.54</f>
        <v>4968810.2699999996</v>
      </c>
      <c r="AJ546" s="1">
        <v>0</v>
      </c>
    </row>
    <row r="547" spans="1:36" ht="279" customHeight="1" x14ac:dyDescent="0.25">
      <c r="A547" s="5">
        <f t="shared" si="228"/>
        <v>544</v>
      </c>
      <c r="B547" s="16">
        <v>130048</v>
      </c>
      <c r="C547" s="16">
        <v>729</v>
      </c>
      <c r="D547" s="56" t="s">
        <v>143</v>
      </c>
      <c r="E547" s="121" t="s">
        <v>1227</v>
      </c>
      <c r="F547" s="127" t="s">
        <v>1677</v>
      </c>
      <c r="G547" s="5" t="s">
        <v>1678</v>
      </c>
      <c r="H547" s="5"/>
      <c r="I547" s="61" t="s">
        <v>1679</v>
      </c>
      <c r="J547" s="2">
        <v>43858</v>
      </c>
      <c r="K547" s="2">
        <v>44954</v>
      </c>
      <c r="L547" s="17">
        <f t="shared" ref="L547:L578" si="229">R547/AD547*100</f>
        <v>83.983862842436835</v>
      </c>
      <c r="M547" s="5" t="s">
        <v>1585</v>
      </c>
      <c r="N547" s="5" t="s">
        <v>262</v>
      </c>
      <c r="O547" s="5" t="s">
        <v>137</v>
      </c>
      <c r="P547" s="3" t="s">
        <v>138</v>
      </c>
      <c r="Q547" s="5" t="s">
        <v>1586</v>
      </c>
      <c r="R547" s="4">
        <f t="shared" ref="R547:R588" si="230">S547+T547</f>
        <v>85646819.920000002</v>
      </c>
      <c r="S547" s="222">
        <v>69066698.280000001</v>
      </c>
      <c r="T547" s="222">
        <v>16580121.640000001</v>
      </c>
      <c r="U547" s="4">
        <f t="shared" ref="U547:U588" si="231">V547+W547</f>
        <v>0</v>
      </c>
      <c r="V547" s="54">
        <v>0</v>
      </c>
      <c r="W547" s="54">
        <v>0</v>
      </c>
      <c r="X547" s="4">
        <f t="shared" ref="X547:X588" si="232">Y547+Z547</f>
        <v>16333271.279999999</v>
      </c>
      <c r="Y547" s="222">
        <v>12188240.859999999</v>
      </c>
      <c r="Z547" s="222">
        <v>4145030.42</v>
      </c>
      <c r="AA547" s="9">
        <f t="shared" ref="AA547:AA588" si="233">AB547+AC547</f>
        <v>0</v>
      </c>
      <c r="AB547" s="9">
        <v>0</v>
      </c>
      <c r="AC547" s="9">
        <v>0</v>
      </c>
      <c r="AD547" s="45">
        <f t="shared" si="227"/>
        <v>101980091.2</v>
      </c>
      <c r="AE547" s="9">
        <v>0</v>
      </c>
      <c r="AF547" s="9">
        <f t="shared" ref="AF547:AF588" si="234">AD547+AE547</f>
        <v>101980091.2</v>
      </c>
      <c r="AG547" s="60" t="s">
        <v>515</v>
      </c>
      <c r="AH547" s="14" t="s">
        <v>151</v>
      </c>
      <c r="AI547" s="1">
        <f>49139.8+35424.39+151117.2+88973.34+157077.54</f>
        <v>481732.27</v>
      </c>
      <c r="AJ547" s="1">
        <v>0</v>
      </c>
    </row>
    <row r="548" spans="1:36" ht="375.75" customHeight="1" x14ac:dyDescent="0.25">
      <c r="A548" s="5">
        <f t="shared" si="228"/>
        <v>545</v>
      </c>
      <c r="B548" s="16">
        <v>127559</v>
      </c>
      <c r="C548" s="16">
        <v>601</v>
      </c>
      <c r="D548" s="56" t="s">
        <v>143</v>
      </c>
      <c r="E548" s="121" t="s">
        <v>1125</v>
      </c>
      <c r="F548" s="127" t="s">
        <v>1683</v>
      </c>
      <c r="G548" s="5" t="s">
        <v>1648</v>
      </c>
      <c r="H548" s="5" t="s">
        <v>1407</v>
      </c>
      <c r="I548" s="61" t="s">
        <v>1684</v>
      </c>
      <c r="J548" s="2">
        <v>43867</v>
      </c>
      <c r="K548" s="2">
        <v>44991</v>
      </c>
      <c r="L548" s="17">
        <f t="shared" si="229"/>
        <v>83.983863045863743</v>
      </c>
      <c r="M548" s="5" t="s">
        <v>1585</v>
      </c>
      <c r="N548" s="5" t="s">
        <v>262</v>
      </c>
      <c r="O548" s="5" t="s">
        <v>137</v>
      </c>
      <c r="P548" s="3" t="s">
        <v>138</v>
      </c>
      <c r="Q548" s="5" t="s">
        <v>1586</v>
      </c>
      <c r="R548" s="4">
        <f t="shared" si="230"/>
        <v>9288170.129999999</v>
      </c>
      <c r="S548" s="222">
        <v>7490100.0199999996</v>
      </c>
      <c r="T548" s="222">
        <v>1798070.11</v>
      </c>
      <c r="U548" s="4">
        <f t="shared" si="231"/>
        <v>735571.09</v>
      </c>
      <c r="V548" s="54">
        <v>543593.19999999995</v>
      </c>
      <c r="W548" s="54">
        <v>191977.89</v>
      </c>
      <c r="X548" s="4">
        <f t="shared" si="232"/>
        <v>1035728.77</v>
      </c>
      <c r="Y548" s="222">
        <v>778189.08</v>
      </c>
      <c r="Z548" s="222">
        <v>257539.69</v>
      </c>
      <c r="AA548" s="9">
        <f t="shared" si="233"/>
        <v>0</v>
      </c>
      <c r="AB548" s="9">
        <v>0</v>
      </c>
      <c r="AC548" s="9">
        <v>0</v>
      </c>
      <c r="AD548" s="45">
        <f t="shared" si="227"/>
        <v>11059469.989999998</v>
      </c>
      <c r="AE548" s="9">
        <v>0</v>
      </c>
      <c r="AF548" s="9">
        <f t="shared" si="234"/>
        <v>11059469.989999998</v>
      </c>
      <c r="AG548" s="60" t="s">
        <v>515</v>
      </c>
      <c r="AH548" s="14" t="s">
        <v>2179</v>
      </c>
      <c r="AI548" s="1">
        <f>259423.64</f>
        <v>259423.64</v>
      </c>
      <c r="AJ548" s="1">
        <f>30036.58</f>
        <v>30036.58</v>
      </c>
    </row>
    <row r="549" spans="1:36" ht="375.75" customHeight="1" x14ac:dyDescent="0.25">
      <c r="A549" s="5">
        <f t="shared" si="228"/>
        <v>546</v>
      </c>
      <c r="B549" s="16">
        <v>129439</v>
      </c>
      <c r="C549" s="16">
        <v>733</v>
      </c>
      <c r="D549" s="56" t="s">
        <v>143</v>
      </c>
      <c r="E549" s="121" t="s">
        <v>1227</v>
      </c>
      <c r="F549" s="127" t="s">
        <v>1686</v>
      </c>
      <c r="G549" s="5" t="s">
        <v>55</v>
      </c>
      <c r="H549" s="5" t="s">
        <v>1687</v>
      </c>
      <c r="I549" s="61" t="s">
        <v>1688</v>
      </c>
      <c r="J549" s="2">
        <v>43892</v>
      </c>
      <c r="K549" s="2">
        <v>44987</v>
      </c>
      <c r="L549" s="17">
        <f t="shared" si="229"/>
        <v>83.684692489870656</v>
      </c>
      <c r="M549" s="5" t="s">
        <v>1585</v>
      </c>
      <c r="N549" s="5" t="s">
        <v>262</v>
      </c>
      <c r="O549" s="5" t="s">
        <v>137</v>
      </c>
      <c r="P549" s="3" t="s">
        <v>138</v>
      </c>
      <c r="Q549" s="5" t="s">
        <v>1586</v>
      </c>
      <c r="R549" s="4">
        <f t="shared" si="230"/>
        <v>21087715.459999997</v>
      </c>
      <c r="S549" s="222">
        <v>17005405.329999998</v>
      </c>
      <c r="T549" s="222">
        <v>4082310.13</v>
      </c>
      <c r="U549" s="4">
        <f t="shared" si="231"/>
        <v>704463.35</v>
      </c>
      <c r="V549" s="54">
        <v>525685.84</v>
      </c>
      <c r="W549" s="54">
        <v>178777.51</v>
      </c>
      <c r="X549" s="4">
        <f t="shared" si="232"/>
        <v>3317067.9699999997</v>
      </c>
      <c r="Y549" s="223">
        <v>2475267.92</v>
      </c>
      <c r="Z549" s="223">
        <v>841800.05</v>
      </c>
      <c r="AA549" s="9">
        <f t="shared" si="233"/>
        <v>89764.93</v>
      </c>
      <c r="AB549" s="9">
        <v>71522.179999999993</v>
      </c>
      <c r="AC549" s="9">
        <v>18242.75</v>
      </c>
      <c r="AD549" s="45">
        <f t="shared" si="227"/>
        <v>25199011.709999997</v>
      </c>
      <c r="AE549" s="9">
        <v>0</v>
      </c>
      <c r="AF549" s="9">
        <f t="shared" si="234"/>
        <v>25199011.709999997</v>
      </c>
      <c r="AG549" s="60" t="s">
        <v>515</v>
      </c>
      <c r="AH549" s="14"/>
      <c r="AI549" s="1">
        <f>136005-607.39+307819.33+278885.5+644256.78</f>
        <v>1366359.22</v>
      </c>
      <c r="AJ549" s="1">
        <f>13919.68+26307.53+17343.02+36825.52</f>
        <v>94395.75</v>
      </c>
    </row>
    <row r="550" spans="1:36" ht="216" x14ac:dyDescent="0.25">
      <c r="A550" s="5">
        <f t="shared" si="228"/>
        <v>547</v>
      </c>
      <c r="B550" s="16">
        <v>129990</v>
      </c>
      <c r="C550" s="16">
        <v>705</v>
      </c>
      <c r="D550" s="56" t="s">
        <v>143</v>
      </c>
      <c r="E550" s="121" t="s">
        <v>1227</v>
      </c>
      <c r="F550" s="127" t="s">
        <v>1861</v>
      </c>
      <c r="G550" s="5" t="s">
        <v>1860</v>
      </c>
      <c r="H550" s="5" t="s">
        <v>849</v>
      </c>
      <c r="I550" s="61" t="s">
        <v>1862</v>
      </c>
      <c r="J550" s="2">
        <v>44014</v>
      </c>
      <c r="K550" s="2">
        <v>44744</v>
      </c>
      <c r="L550" s="17">
        <f t="shared" si="229"/>
        <v>83.983862938725991</v>
      </c>
      <c r="M550" s="5" t="s">
        <v>1585</v>
      </c>
      <c r="N550" s="5" t="s">
        <v>262</v>
      </c>
      <c r="O550" s="5" t="s">
        <v>137</v>
      </c>
      <c r="P550" s="3" t="s">
        <v>138</v>
      </c>
      <c r="Q550" s="5" t="s">
        <v>1586</v>
      </c>
      <c r="R550" s="4">
        <f t="shared" si="230"/>
        <v>16732528.039999999</v>
      </c>
      <c r="S550" s="222">
        <v>13493326.039999999</v>
      </c>
      <c r="T550" s="222">
        <v>3239202</v>
      </c>
      <c r="U550" s="4">
        <f t="shared" si="231"/>
        <v>2792505.58</v>
      </c>
      <c r="V550" s="54">
        <v>2063685.16</v>
      </c>
      <c r="W550" s="54">
        <v>728820.41999999993</v>
      </c>
      <c r="X550" s="4">
        <f t="shared" si="232"/>
        <v>398470.08</v>
      </c>
      <c r="Y550" s="223">
        <v>317490</v>
      </c>
      <c r="Z550" s="223">
        <v>80980.08</v>
      </c>
      <c r="AA550" s="9">
        <f t="shared" si="233"/>
        <v>0</v>
      </c>
      <c r="AB550" s="9">
        <v>0</v>
      </c>
      <c r="AC550" s="9">
        <v>0</v>
      </c>
      <c r="AD550" s="45">
        <f t="shared" si="227"/>
        <v>19923503.699999996</v>
      </c>
      <c r="AE550" s="9">
        <v>0</v>
      </c>
      <c r="AF550" s="9">
        <f t="shared" si="234"/>
        <v>19923503.699999996</v>
      </c>
      <c r="AG550" s="60" t="s">
        <v>515</v>
      </c>
      <c r="AH550" s="14"/>
      <c r="AI550" s="1">
        <f>246923.22+195477.64+569003.02</f>
        <v>1011403.88</v>
      </c>
      <c r="AJ550" s="1">
        <f>41209.23+32623.41+94961.39</f>
        <v>168794.03</v>
      </c>
    </row>
    <row r="551" spans="1:36" ht="141.75" x14ac:dyDescent="0.25">
      <c r="A551" s="5">
        <f t="shared" si="228"/>
        <v>548</v>
      </c>
      <c r="B551" s="16">
        <v>135331</v>
      </c>
      <c r="C551" s="16">
        <v>763</v>
      </c>
      <c r="D551" s="56" t="s">
        <v>145</v>
      </c>
      <c r="E551" s="121" t="s">
        <v>1381</v>
      </c>
      <c r="F551" s="127" t="s">
        <v>1898</v>
      </c>
      <c r="G551" s="5" t="s">
        <v>122</v>
      </c>
      <c r="H551" s="5" t="s">
        <v>1900</v>
      </c>
      <c r="I551" s="61" t="s">
        <v>1899</v>
      </c>
      <c r="J551" s="2">
        <v>44022</v>
      </c>
      <c r="K551" s="2">
        <v>44936</v>
      </c>
      <c r="L551" s="17">
        <f t="shared" si="229"/>
        <v>83.983862244196644</v>
      </c>
      <c r="M551" s="5" t="s">
        <v>1585</v>
      </c>
      <c r="N551" s="5" t="s">
        <v>262</v>
      </c>
      <c r="O551" s="5" t="s">
        <v>137</v>
      </c>
      <c r="P551" s="3" t="s">
        <v>138</v>
      </c>
      <c r="Q551" s="5" t="s">
        <v>34</v>
      </c>
      <c r="R551" s="4">
        <f t="shared" si="230"/>
        <v>3218611.31</v>
      </c>
      <c r="S551" s="222">
        <v>2595529.63</v>
      </c>
      <c r="T551" s="222">
        <v>623081.68000000005</v>
      </c>
      <c r="U551" s="4">
        <f t="shared" si="231"/>
        <v>0</v>
      </c>
      <c r="V551" s="54">
        <v>0</v>
      </c>
      <c r="W551" s="54">
        <v>0</v>
      </c>
      <c r="X551" s="4">
        <f t="shared" si="232"/>
        <v>613805.09</v>
      </c>
      <c r="Y551" s="223">
        <v>458034.63</v>
      </c>
      <c r="Z551" s="223">
        <v>155770.46</v>
      </c>
      <c r="AA551" s="9">
        <f t="shared" si="233"/>
        <v>0</v>
      </c>
      <c r="AB551" s="9">
        <v>0</v>
      </c>
      <c r="AC551" s="9">
        <v>0</v>
      </c>
      <c r="AD551" s="45">
        <f t="shared" si="227"/>
        <v>3832416.4</v>
      </c>
      <c r="AE551" s="9">
        <v>79730</v>
      </c>
      <c r="AF551" s="9">
        <f t="shared" si="234"/>
        <v>3912146.4</v>
      </c>
      <c r="AG551" s="60" t="s">
        <v>515</v>
      </c>
      <c r="AH551" s="14"/>
      <c r="AI551" s="1">
        <f>11666.2+16032.52</f>
        <v>27698.720000000001</v>
      </c>
      <c r="AJ551" s="1">
        <v>0</v>
      </c>
    </row>
    <row r="552" spans="1:36" ht="141.75" x14ac:dyDescent="0.25">
      <c r="A552" s="5">
        <f t="shared" si="228"/>
        <v>549</v>
      </c>
      <c r="B552" s="16">
        <v>133609</v>
      </c>
      <c r="C552" s="16">
        <v>756</v>
      </c>
      <c r="D552" s="56" t="s">
        <v>145</v>
      </c>
      <c r="E552" s="121" t="s">
        <v>1381</v>
      </c>
      <c r="F552" s="127" t="s">
        <v>1923</v>
      </c>
      <c r="G552" s="5" t="s">
        <v>99</v>
      </c>
      <c r="H552" s="5" t="s">
        <v>1900</v>
      </c>
      <c r="I552" s="61" t="s">
        <v>1924</v>
      </c>
      <c r="J552" s="2">
        <v>44041</v>
      </c>
      <c r="K552" s="2">
        <v>45014</v>
      </c>
      <c r="L552" s="17">
        <f t="shared" si="229"/>
        <v>83.983862912035761</v>
      </c>
      <c r="M552" s="5" t="s">
        <v>1585</v>
      </c>
      <c r="N552" s="5" t="s">
        <v>262</v>
      </c>
      <c r="O552" s="5" t="s">
        <v>137</v>
      </c>
      <c r="P552" s="3" t="s">
        <v>138</v>
      </c>
      <c r="Q552" s="5" t="s">
        <v>34</v>
      </c>
      <c r="R552" s="4">
        <f t="shared" si="230"/>
        <v>15409396.120000001</v>
      </c>
      <c r="S552" s="9">
        <v>12426335.420000002</v>
      </c>
      <c r="T552" s="9">
        <v>2983060.7</v>
      </c>
      <c r="U552" s="4">
        <f t="shared" si="231"/>
        <v>0</v>
      </c>
      <c r="V552" s="54">
        <v>0</v>
      </c>
      <c r="W552" s="54">
        <v>0</v>
      </c>
      <c r="X552" s="4">
        <f t="shared" si="232"/>
        <v>2938647.88</v>
      </c>
      <c r="Y552" s="54">
        <v>2192882.71</v>
      </c>
      <c r="Z552" s="54">
        <v>745765.17</v>
      </c>
      <c r="AA552" s="9">
        <f t="shared" si="233"/>
        <v>0</v>
      </c>
      <c r="AB552" s="9">
        <v>0</v>
      </c>
      <c r="AC552" s="9">
        <v>0</v>
      </c>
      <c r="AD552" s="45">
        <f t="shared" si="227"/>
        <v>18348044</v>
      </c>
      <c r="AE552" s="9">
        <v>0</v>
      </c>
      <c r="AF552" s="9">
        <f t="shared" si="234"/>
        <v>18348044</v>
      </c>
      <c r="AG552" s="60" t="s">
        <v>515</v>
      </c>
      <c r="AH552" s="14"/>
      <c r="AI552" s="1">
        <v>4635.91</v>
      </c>
      <c r="AJ552" s="1">
        <v>0</v>
      </c>
    </row>
    <row r="553" spans="1:36" ht="180" x14ac:dyDescent="0.25">
      <c r="A553" s="5">
        <f t="shared" si="228"/>
        <v>550</v>
      </c>
      <c r="B553" s="62">
        <v>135225</v>
      </c>
      <c r="C553" s="5">
        <v>760</v>
      </c>
      <c r="D553" s="56" t="s">
        <v>145</v>
      </c>
      <c r="E553" s="121" t="s">
        <v>1381</v>
      </c>
      <c r="F553" s="8" t="s">
        <v>1927</v>
      </c>
      <c r="G553" s="5" t="s">
        <v>908</v>
      </c>
      <c r="H553" s="5" t="s">
        <v>296</v>
      </c>
      <c r="I553" s="42" t="s">
        <v>1928</v>
      </c>
      <c r="J553" s="64">
        <v>44047</v>
      </c>
      <c r="K553" s="64">
        <v>45142</v>
      </c>
      <c r="L553" s="17">
        <f t="shared" si="229"/>
        <v>83.983862967148042</v>
      </c>
      <c r="M553" s="5" t="s">
        <v>1585</v>
      </c>
      <c r="N553" s="5" t="s">
        <v>262</v>
      </c>
      <c r="O553" s="5" t="s">
        <v>137</v>
      </c>
      <c r="P553" s="3" t="s">
        <v>138</v>
      </c>
      <c r="Q553" s="63" t="s">
        <v>34</v>
      </c>
      <c r="R553" s="4">
        <f t="shared" si="230"/>
        <v>15620059.060000001</v>
      </c>
      <c r="S553" s="67">
        <v>12596216.710000001</v>
      </c>
      <c r="T553" s="67">
        <v>3023842.35</v>
      </c>
      <c r="U553" s="4">
        <f t="shared" si="231"/>
        <v>0</v>
      </c>
      <c r="V553" s="54">
        <v>0</v>
      </c>
      <c r="W553" s="54">
        <v>0</v>
      </c>
      <c r="X553" s="4">
        <f t="shared" si="232"/>
        <v>2978822.33</v>
      </c>
      <c r="Y553" s="69">
        <v>2222861.7799999998</v>
      </c>
      <c r="Z553" s="69">
        <v>755960.55</v>
      </c>
      <c r="AA553" s="9">
        <f t="shared" si="233"/>
        <v>0</v>
      </c>
      <c r="AB553" s="9">
        <v>0</v>
      </c>
      <c r="AC553" s="9">
        <v>0</v>
      </c>
      <c r="AD553" s="45">
        <f t="shared" si="227"/>
        <v>18598881.390000001</v>
      </c>
      <c r="AE553" s="9">
        <v>0</v>
      </c>
      <c r="AF553" s="9">
        <f t="shared" si="234"/>
        <v>18598881.390000001</v>
      </c>
      <c r="AG553" s="60" t="s">
        <v>515</v>
      </c>
      <c r="AH553" s="14"/>
      <c r="AI553" s="1">
        <f>36440.6+102869.06+91428.19</f>
        <v>230737.85</v>
      </c>
      <c r="AJ553" s="1">
        <v>0</v>
      </c>
    </row>
    <row r="554" spans="1:36" ht="204.75" x14ac:dyDescent="0.25">
      <c r="A554" s="5">
        <f t="shared" si="228"/>
        <v>551</v>
      </c>
      <c r="B554" s="16">
        <v>133850</v>
      </c>
      <c r="C554" s="16">
        <v>761</v>
      </c>
      <c r="D554" s="56" t="s">
        <v>145</v>
      </c>
      <c r="E554" s="121" t="s">
        <v>1381</v>
      </c>
      <c r="F554" s="127" t="s">
        <v>1929</v>
      </c>
      <c r="G554" s="5" t="s">
        <v>908</v>
      </c>
      <c r="H554" s="5" t="s">
        <v>1900</v>
      </c>
      <c r="I554" s="61" t="s">
        <v>1930</v>
      </c>
      <c r="J554" s="64">
        <v>44047</v>
      </c>
      <c r="K554" s="64">
        <v>45142</v>
      </c>
      <c r="L554" s="17">
        <f t="shared" si="229"/>
        <v>83.983863128517754</v>
      </c>
      <c r="M554" s="5" t="s">
        <v>1585</v>
      </c>
      <c r="N554" s="5" t="s">
        <v>262</v>
      </c>
      <c r="O554" s="5" t="s">
        <v>137</v>
      </c>
      <c r="P554" s="3" t="s">
        <v>138</v>
      </c>
      <c r="Q554" s="63" t="s">
        <v>34</v>
      </c>
      <c r="R554" s="4">
        <f t="shared" si="230"/>
        <v>12939698.83</v>
      </c>
      <c r="S554" s="9">
        <v>10434739.720000001</v>
      </c>
      <c r="T554" s="9">
        <v>2504959.11</v>
      </c>
      <c r="U554" s="4">
        <f t="shared" si="231"/>
        <v>0</v>
      </c>
      <c r="V554" s="54">
        <v>0</v>
      </c>
      <c r="W554" s="54">
        <v>0</v>
      </c>
      <c r="X554" s="4">
        <f t="shared" si="232"/>
        <v>2467664.38</v>
      </c>
      <c r="Y554" s="54">
        <v>1841424.63</v>
      </c>
      <c r="Z554" s="54">
        <v>626239.75</v>
      </c>
      <c r="AA554" s="9">
        <f t="shared" si="233"/>
        <v>0</v>
      </c>
      <c r="AB554" s="9">
        <v>0</v>
      </c>
      <c r="AC554" s="9">
        <v>0</v>
      </c>
      <c r="AD554" s="45">
        <f t="shared" si="227"/>
        <v>15407363.210000001</v>
      </c>
      <c r="AE554" s="9">
        <v>0</v>
      </c>
      <c r="AF554" s="9">
        <f t="shared" si="234"/>
        <v>15407363.210000001</v>
      </c>
      <c r="AG554" s="60" t="s">
        <v>515</v>
      </c>
      <c r="AH554" s="14" t="s">
        <v>2188</v>
      </c>
      <c r="AI554" s="1">
        <f>61477.87+197727.26+736356.24</f>
        <v>995561.37</v>
      </c>
      <c r="AJ554" s="1">
        <v>0</v>
      </c>
    </row>
    <row r="555" spans="1:36" ht="180" x14ac:dyDescent="0.25">
      <c r="A555" s="5">
        <f t="shared" si="228"/>
        <v>552</v>
      </c>
      <c r="B555" s="16">
        <v>135456</v>
      </c>
      <c r="C555" s="16">
        <v>762</v>
      </c>
      <c r="D555" s="56" t="s">
        <v>145</v>
      </c>
      <c r="E555" s="121" t="s">
        <v>1381</v>
      </c>
      <c r="F555" s="127" t="s">
        <v>1931</v>
      </c>
      <c r="G555" s="5" t="s">
        <v>908</v>
      </c>
      <c r="H555" s="5" t="s">
        <v>1932</v>
      </c>
      <c r="I555" s="61" t="s">
        <v>1933</v>
      </c>
      <c r="J555" s="64">
        <v>44047</v>
      </c>
      <c r="K555" s="64">
        <v>45142</v>
      </c>
      <c r="L555" s="17">
        <f t="shared" si="229"/>
        <v>83.98386298283171</v>
      </c>
      <c r="M555" s="5" t="s">
        <v>1585</v>
      </c>
      <c r="N555" s="5" t="s">
        <v>262</v>
      </c>
      <c r="O555" s="5" t="s">
        <v>137</v>
      </c>
      <c r="P555" s="3" t="s">
        <v>138</v>
      </c>
      <c r="Q555" s="63" t="s">
        <v>34</v>
      </c>
      <c r="R555" s="4">
        <f t="shared" si="230"/>
        <v>29574774.769999988</v>
      </c>
      <c r="S555" s="9">
        <v>23849479.139999986</v>
      </c>
      <c r="T555" s="9">
        <v>5725295.6300000036</v>
      </c>
      <c r="U555" s="4">
        <f t="shared" si="231"/>
        <v>0</v>
      </c>
      <c r="V555" s="54">
        <v>0</v>
      </c>
      <c r="W555" s="54">
        <v>0</v>
      </c>
      <c r="X555" s="4">
        <f t="shared" si="232"/>
        <v>5640055.46</v>
      </c>
      <c r="Y555" s="54">
        <v>4208731.57</v>
      </c>
      <c r="Z555" s="54">
        <v>1431323.89</v>
      </c>
      <c r="AA555" s="9">
        <f t="shared" si="233"/>
        <v>0</v>
      </c>
      <c r="AB555" s="9">
        <v>0</v>
      </c>
      <c r="AC555" s="9">
        <v>0</v>
      </c>
      <c r="AD555" s="45">
        <f t="shared" si="227"/>
        <v>35214830.229999989</v>
      </c>
      <c r="AE555" s="9">
        <v>0</v>
      </c>
      <c r="AF555" s="9">
        <f t="shared" si="234"/>
        <v>35214830.229999989</v>
      </c>
      <c r="AG555" s="60" t="s">
        <v>515</v>
      </c>
      <c r="AH555" s="14"/>
      <c r="AI555" s="1">
        <f>197490.46+62364.74+154421.59</f>
        <v>414276.79</v>
      </c>
      <c r="AJ555" s="1">
        <v>0</v>
      </c>
    </row>
    <row r="556" spans="1:36" ht="180" x14ac:dyDescent="0.25">
      <c r="A556" s="5">
        <f t="shared" si="228"/>
        <v>553</v>
      </c>
      <c r="B556" s="16">
        <v>133394</v>
      </c>
      <c r="C556" s="16">
        <v>764</v>
      </c>
      <c r="D556" s="56" t="s">
        <v>145</v>
      </c>
      <c r="E556" s="121" t="s">
        <v>1381</v>
      </c>
      <c r="F556" s="127" t="s">
        <v>1936</v>
      </c>
      <c r="G556" s="5" t="s">
        <v>1900</v>
      </c>
      <c r="H556" s="8" t="s">
        <v>1938</v>
      </c>
      <c r="I556" s="61" t="s">
        <v>1937</v>
      </c>
      <c r="J556" s="64">
        <v>44049</v>
      </c>
      <c r="K556" s="64">
        <v>45144</v>
      </c>
      <c r="L556" s="17">
        <f t="shared" si="229"/>
        <v>83.983862862472989</v>
      </c>
      <c r="M556" s="5" t="s">
        <v>1585</v>
      </c>
      <c r="N556" s="5" t="s">
        <v>262</v>
      </c>
      <c r="O556" s="5" t="s">
        <v>137</v>
      </c>
      <c r="P556" s="3" t="s">
        <v>138</v>
      </c>
      <c r="Q556" s="63" t="s">
        <v>34</v>
      </c>
      <c r="R556" s="4">
        <f t="shared" si="230"/>
        <v>28246326.609999999</v>
      </c>
      <c r="S556" s="9">
        <v>22778201.460000001</v>
      </c>
      <c r="T556" s="9">
        <v>5468125.1499999985</v>
      </c>
      <c r="U556" s="4">
        <f t="shared" si="231"/>
        <v>0</v>
      </c>
      <c r="V556" s="54">
        <v>0</v>
      </c>
      <c r="W556" s="54">
        <v>0</v>
      </c>
      <c r="X556" s="4">
        <f t="shared" si="232"/>
        <v>5386713.8899999997</v>
      </c>
      <c r="Y556" s="54">
        <v>4019682.59</v>
      </c>
      <c r="Z556" s="54">
        <v>1367031.3</v>
      </c>
      <c r="AA556" s="9">
        <f t="shared" si="233"/>
        <v>0</v>
      </c>
      <c r="AB556" s="9">
        <v>0</v>
      </c>
      <c r="AC556" s="9">
        <v>0</v>
      </c>
      <c r="AD556" s="45">
        <f t="shared" si="227"/>
        <v>33633040.5</v>
      </c>
      <c r="AE556" s="9">
        <v>0</v>
      </c>
      <c r="AF556" s="9">
        <f t="shared" si="234"/>
        <v>33633040.5</v>
      </c>
      <c r="AG556" s="60" t="s">
        <v>515</v>
      </c>
      <c r="AH556" s="14"/>
      <c r="AI556" s="1">
        <f>60051.25+102684.04+97708.07</f>
        <v>260443.36</v>
      </c>
      <c r="AJ556" s="1">
        <v>0</v>
      </c>
    </row>
    <row r="557" spans="1:36" ht="180" x14ac:dyDescent="0.25">
      <c r="A557" s="5">
        <f t="shared" si="228"/>
        <v>554</v>
      </c>
      <c r="B557" s="16">
        <v>129604</v>
      </c>
      <c r="C557" s="16">
        <v>706</v>
      </c>
      <c r="D557" s="56" t="s">
        <v>143</v>
      </c>
      <c r="E557" s="121" t="s">
        <v>1227</v>
      </c>
      <c r="F557" s="127" t="s">
        <v>1944</v>
      </c>
      <c r="G557" s="5" t="s">
        <v>1592</v>
      </c>
      <c r="H557" s="5" t="s">
        <v>1946</v>
      </c>
      <c r="I557" s="61" t="s">
        <v>1945</v>
      </c>
      <c r="J557" s="64">
        <v>44053</v>
      </c>
      <c r="K557" s="64">
        <v>44905</v>
      </c>
      <c r="L557" s="17">
        <f t="shared" si="229"/>
        <v>83.983862832931337</v>
      </c>
      <c r="M557" s="5" t="s">
        <v>1585</v>
      </c>
      <c r="N557" s="5" t="s">
        <v>262</v>
      </c>
      <c r="O557" s="5" t="s">
        <v>137</v>
      </c>
      <c r="P557" s="3" t="s">
        <v>138</v>
      </c>
      <c r="Q557" s="63" t="s">
        <v>34</v>
      </c>
      <c r="R557" s="4">
        <f t="shared" si="230"/>
        <v>19376667.390000001</v>
      </c>
      <c r="S557" s="9">
        <v>15625594.039999999</v>
      </c>
      <c r="T557" s="9">
        <v>3751073.3500000006</v>
      </c>
      <c r="U557" s="4">
        <f t="shared" si="231"/>
        <v>0</v>
      </c>
      <c r="V557" s="54">
        <v>0</v>
      </c>
      <c r="W557" s="54">
        <v>0</v>
      </c>
      <c r="X557" s="4">
        <f t="shared" si="232"/>
        <v>3695226.11</v>
      </c>
      <c r="Y557" s="54">
        <v>2757457.79</v>
      </c>
      <c r="Z557" s="54">
        <v>937768.32</v>
      </c>
      <c r="AA557" s="9">
        <f t="shared" si="233"/>
        <v>0</v>
      </c>
      <c r="AB557" s="9">
        <v>0</v>
      </c>
      <c r="AC557" s="9">
        <v>0</v>
      </c>
      <c r="AD557" s="45">
        <f t="shared" si="227"/>
        <v>23071893.5</v>
      </c>
      <c r="AE557" s="9">
        <v>0</v>
      </c>
      <c r="AF557" s="9">
        <f t="shared" si="234"/>
        <v>23071893.5</v>
      </c>
      <c r="AG557" s="60" t="s">
        <v>515</v>
      </c>
      <c r="AH557" s="14"/>
      <c r="AI557" s="1">
        <f>122000.84+335475.68</f>
        <v>457476.52</v>
      </c>
      <c r="AJ557" s="1">
        <v>0</v>
      </c>
    </row>
    <row r="558" spans="1:36" ht="180" x14ac:dyDescent="0.25">
      <c r="A558" s="5">
        <f t="shared" si="228"/>
        <v>555</v>
      </c>
      <c r="B558" s="16">
        <v>130047</v>
      </c>
      <c r="C558" s="16">
        <v>721</v>
      </c>
      <c r="D558" s="56" t="s">
        <v>143</v>
      </c>
      <c r="E558" s="121" t="s">
        <v>1227</v>
      </c>
      <c r="F558" s="127" t="s">
        <v>1948</v>
      </c>
      <c r="G558" s="5" t="s">
        <v>1947</v>
      </c>
      <c r="H558" s="5" t="s">
        <v>362</v>
      </c>
      <c r="I558" s="61" t="s">
        <v>1949</v>
      </c>
      <c r="J558" s="64">
        <v>44055</v>
      </c>
      <c r="K558" s="64">
        <v>44785</v>
      </c>
      <c r="L558" s="17">
        <f t="shared" si="229"/>
        <v>83.98386283554224</v>
      </c>
      <c r="M558" s="5" t="s">
        <v>1585</v>
      </c>
      <c r="N558" s="5" t="s">
        <v>262</v>
      </c>
      <c r="O558" s="5" t="s">
        <v>137</v>
      </c>
      <c r="P558" s="3" t="s">
        <v>138</v>
      </c>
      <c r="Q558" s="63" t="s">
        <v>34</v>
      </c>
      <c r="R558" s="4">
        <f t="shared" si="230"/>
        <v>13238013.899999999</v>
      </c>
      <c r="S558" s="9">
        <v>10675304.85</v>
      </c>
      <c r="T558" s="9">
        <v>2562709.0499999998</v>
      </c>
      <c r="U558" s="4">
        <f t="shared" si="231"/>
        <v>0</v>
      </c>
      <c r="V558" s="54">
        <v>0</v>
      </c>
      <c r="W558" s="54">
        <v>0</v>
      </c>
      <c r="X558" s="4">
        <f t="shared" si="232"/>
        <v>2524554.59</v>
      </c>
      <c r="Y558" s="54">
        <v>1883877.32</v>
      </c>
      <c r="Z558" s="54">
        <v>640677.27</v>
      </c>
      <c r="AA558" s="9">
        <f t="shared" si="233"/>
        <v>0</v>
      </c>
      <c r="AB558" s="9">
        <v>0</v>
      </c>
      <c r="AC558" s="9">
        <v>0</v>
      </c>
      <c r="AD558" s="45">
        <f t="shared" si="227"/>
        <v>15762568.489999998</v>
      </c>
      <c r="AE558" s="9">
        <v>0</v>
      </c>
      <c r="AF558" s="9">
        <f t="shared" si="234"/>
        <v>15762568.489999998</v>
      </c>
      <c r="AG558" s="60" t="s">
        <v>515</v>
      </c>
      <c r="AH558" s="14"/>
      <c r="AI558" s="1">
        <f>67715.09</f>
        <v>67715.09</v>
      </c>
      <c r="AJ558" s="1">
        <v>0</v>
      </c>
    </row>
    <row r="559" spans="1:36" ht="409.5" x14ac:dyDescent="0.25">
      <c r="A559" s="5">
        <f t="shared" si="228"/>
        <v>556</v>
      </c>
      <c r="B559" s="16">
        <v>134289</v>
      </c>
      <c r="C559" s="16">
        <v>859</v>
      </c>
      <c r="D559" s="56" t="s">
        <v>143</v>
      </c>
      <c r="E559" s="121" t="s">
        <v>1954</v>
      </c>
      <c r="F559" s="127" t="s">
        <v>1950</v>
      </c>
      <c r="G559" s="5" t="s">
        <v>1648</v>
      </c>
      <c r="H559" s="5" t="s">
        <v>362</v>
      </c>
      <c r="I559" s="61" t="s">
        <v>1951</v>
      </c>
      <c r="J559" s="64">
        <v>44055</v>
      </c>
      <c r="K559" s="64">
        <v>44512</v>
      </c>
      <c r="L559" s="17">
        <f t="shared" si="229"/>
        <v>83.98386309112847</v>
      </c>
      <c r="M559" s="5" t="s">
        <v>1585</v>
      </c>
      <c r="N559" s="5" t="s">
        <v>262</v>
      </c>
      <c r="O559" s="5" t="s">
        <v>137</v>
      </c>
      <c r="P559" s="3" t="s">
        <v>138</v>
      </c>
      <c r="Q559" s="63" t="s">
        <v>34</v>
      </c>
      <c r="R559" s="4">
        <f t="shared" si="230"/>
        <v>5544465.1499999994</v>
      </c>
      <c r="S559" s="9">
        <v>4471128.0699999994</v>
      </c>
      <c r="T559" s="9">
        <v>1073337.0799999998</v>
      </c>
      <c r="U559" s="4">
        <f t="shared" si="231"/>
        <v>0</v>
      </c>
      <c r="V559" s="54">
        <v>0</v>
      </c>
      <c r="W559" s="54">
        <v>0</v>
      </c>
      <c r="X559" s="4">
        <f t="shared" si="232"/>
        <v>1057356.8500000001</v>
      </c>
      <c r="Y559" s="54">
        <v>789022.6</v>
      </c>
      <c r="Z559" s="54">
        <v>268334.25</v>
      </c>
      <c r="AA559" s="9">
        <f t="shared" si="233"/>
        <v>0</v>
      </c>
      <c r="AB559" s="9">
        <v>0</v>
      </c>
      <c r="AC559" s="9">
        <v>0</v>
      </c>
      <c r="AD559" s="45">
        <f t="shared" si="227"/>
        <v>6601822</v>
      </c>
      <c r="AE559" s="9">
        <v>0</v>
      </c>
      <c r="AF559" s="9">
        <f t="shared" si="234"/>
        <v>6601822</v>
      </c>
      <c r="AG559" s="60" t="s">
        <v>515</v>
      </c>
      <c r="AH559" s="14"/>
      <c r="AI559" s="1">
        <f>70951.01+138909.3+67691.66</f>
        <v>277551.96999999997</v>
      </c>
      <c r="AJ559" s="1">
        <v>0</v>
      </c>
    </row>
    <row r="560" spans="1:36" ht="180" x14ac:dyDescent="0.25">
      <c r="A560" s="5">
        <f t="shared" si="228"/>
        <v>557</v>
      </c>
      <c r="B560" s="16">
        <v>129714</v>
      </c>
      <c r="C560" s="16">
        <v>726</v>
      </c>
      <c r="D560" s="56" t="s">
        <v>143</v>
      </c>
      <c r="E560" s="121" t="s">
        <v>1227</v>
      </c>
      <c r="F560" s="127" t="s">
        <v>1955</v>
      </c>
      <c r="G560" s="5" t="s">
        <v>55</v>
      </c>
      <c r="H560" s="5" t="s">
        <v>362</v>
      </c>
      <c r="I560" s="61" t="s">
        <v>1956</v>
      </c>
      <c r="J560" s="64">
        <v>44061</v>
      </c>
      <c r="K560" s="64">
        <v>44791</v>
      </c>
      <c r="L560" s="17">
        <f t="shared" si="229"/>
        <v>83.983862951227977</v>
      </c>
      <c r="M560" s="5" t="s">
        <v>1585</v>
      </c>
      <c r="N560" s="5" t="s">
        <v>262</v>
      </c>
      <c r="O560" s="5" t="s">
        <v>137</v>
      </c>
      <c r="P560" s="3" t="s">
        <v>138</v>
      </c>
      <c r="Q560" s="63" t="s">
        <v>34</v>
      </c>
      <c r="R560" s="4">
        <f t="shared" si="230"/>
        <v>1775235.61</v>
      </c>
      <c r="S560" s="9">
        <v>1431572.85</v>
      </c>
      <c r="T560" s="9">
        <v>343662.76</v>
      </c>
      <c r="U560" s="4">
        <f t="shared" si="231"/>
        <v>0</v>
      </c>
      <c r="V560" s="54">
        <v>0</v>
      </c>
      <c r="W560" s="54">
        <v>0</v>
      </c>
      <c r="X560" s="4">
        <f t="shared" si="232"/>
        <v>338546.19</v>
      </c>
      <c r="Y560" s="9">
        <v>252630.5</v>
      </c>
      <c r="Z560" s="9">
        <v>85915.69</v>
      </c>
      <c r="AA560" s="9">
        <f t="shared" si="233"/>
        <v>0</v>
      </c>
      <c r="AB560" s="9">
        <v>0</v>
      </c>
      <c r="AC560" s="9">
        <v>0</v>
      </c>
      <c r="AD560" s="45">
        <f t="shared" si="227"/>
        <v>2113781.8000000003</v>
      </c>
      <c r="AE560" s="9">
        <v>0</v>
      </c>
      <c r="AF560" s="9">
        <f t="shared" si="234"/>
        <v>2113781.8000000003</v>
      </c>
      <c r="AG560" s="60" t="s">
        <v>515</v>
      </c>
      <c r="AH560" s="14"/>
      <c r="AI560" s="1">
        <v>0</v>
      </c>
      <c r="AJ560" s="1">
        <v>0</v>
      </c>
    </row>
    <row r="561" spans="1:36" ht="220.5" x14ac:dyDescent="0.25">
      <c r="A561" s="5">
        <f t="shared" si="228"/>
        <v>558</v>
      </c>
      <c r="B561" s="16">
        <v>134962</v>
      </c>
      <c r="C561" s="16">
        <v>858</v>
      </c>
      <c r="D561" s="56" t="s">
        <v>143</v>
      </c>
      <c r="E561" s="121" t="s">
        <v>1954</v>
      </c>
      <c r="F561" s="127" t="s">
        <v>1958</v>
      </c>
      <c r="G561" s="35" t="s">
        <v>1957</v>
      </c>
      <c r="H561" s="5" t="s">
        <v>362</v>
      </c>
      <c r="I561" s="61" t="s">
        <v>1961</v>
      </c>
      <c r="J561" s="64">
        <v>44062</v>
      </c>
      <c r="K561" s="64">
        <v>45157</v>
      </c>
      <c r="L561" s="17">
        <f t="shared" si="229"/>
        <v>83.983862883576052</v>
      </c>
      <c r="M561" s="5" t="s">
        <v>1585</v>
      </c>
      <c r="N561" s="5" t="s">
        <v>262</v>
      </c>
      <c r="O561" s="5" t="s">
        <v>137</v>
      </c>
      <c r="P561" s="3" t="s">
        <v>138</v>
      </c>
      <c r="Q561" s="63" t="s">
        <v>34</v>
      </c>
      <c r="R561" s="4">
        <f t="shared" si="230"/>
        <v>25127215.920000002</v>
      </c>
      <c r="S561" s="9">
        <v>20262910.43</v>
      </c>
      <c r="T561" s="9">
        <v>4864305.4900000012</v>
      </c>
      <c r="U561" s="4">
        <f t="shared" si="231"/>
        <v>0</v>
      </c>
      <c r="V561" s="54">
        <v>0</v>
      </c>
      <c r="W561" s="54">
        <v>0</v>
      </c>
      <c r="X561" s="4">
        <f t="shared" si="232"/>
        <v>4791884.08</v>
      </c>
      <c r="Y561" s="9">
        <v>3575807.71</v>
      </c>
      <c r="Z561" s="9">
        <v>1216076.3700000001</v>
      </c>
      <c r="AA561" s="9">
        <f t="shared" si="233"/>
        <v>0</v>
      </c>
      <c r="AB561" s="9">
        <v>0</v>
      </c>
      <c r="AC561" s="9">
        <v>0</v>
      </c>
      <c r="AD561" s="45">
        <f t="shared" si="227"/>
        <v>29919100</v>
      </c>
      <c r="AE561" s="9">
        <v>0</v>
      </c>
      <c r="AF561" s="9">
        <f t="shared" si="234"/>
        <v>29919100</v>
      </c>
      <c r="AG561" s="60" t="s">
        <v>515</v>
      </c>
      <c r="AH561" s="14"/>
      <c r="AI561" s="1">
        <f>67453.27+112356.03+125753.6</f>
        <v>305562.90000000002</v>
      </c>
      <c r="AJ561" s="1">
        <v>0</v>
      </c>
    </row>
    <row r="562" spans="1:36" ht="330.75" x14ac:dyDescent="0.25">
      <c r="A562" s="5">
        <f t="shared" si="228"/>
        <v>559</v>
      </c>
      <c r="B562" s="16">
        <v>134464</v>
      </c>
      <c r="C562" s="16">
        <v>866</v>
      </c>
      <c r="D562" s="56" t="s">
        <v>143</v>
      </c>
      <c r="E562" s="121" t="s">
        <v>1954</v>
      </c>
      <c r="F562" s="127" t="s">
        <v>1960</v>
      </c>
      <c r="G562" s="5" t="s">
        <v>1959</v>
      </c>
      <c r="H562" s="5" t="s">
        <v>362</v>
      </c>
      <c r="I562" s="61" t="s">
        <v>1962</v>
      </c>
      <c r="J562" s="64">
        <v>44061</v>
      </c>
      <c r="K562" s="64">
        <v>44791</v>
      </c>
      <c r="L562" s="17">
        <f t="shared" si="229"/>
        <v>83.983863140442111</v>
      </c>
      <c r="M562" s="5" t="s">
        <v>1585</v>
      </c>
      <c r="N562" s="5" t="s">
        <v>262</v>
      </c>
      <c r="O562" s="5" t="s">
        <v>137</v>
      </c>
      <c r="P562" s="3" t="s">
        <v>138</v>
      </c>
      <c r="Q562" s="63" t="s">
        <v>34</v>
      </c>
      <c r="R562" s="4">
        <f t="shared" si="230"/>
        <v>6673124.2899999991</v>
      </c>
      <c r="S562" s="9">
        <v>5381293.3300000001</v>
      </c>
      <c r="T562" s="9">
        <v>1291830.9599999995</v>
      </c>
      <c r="U562" s="4">
        <f t="shared" si="231"/>
        <v>0</v>
      </c>
      <c r="V562" s="54">
        <v>0</v>
      </c>
      <c r="W562" s="54">
        <v>0</v>
      </c>
      <c r="X562" s="4">
        <f t="shared" si="232"/>
        <v>1272597.71</v>
      </c>
      <c r="Y562" s="9">
        <v>949639.99</v>
      </c>
      <c r="Z562" s="9">
        <v>322957.71999999997</v>
      </c>
      <c r="AA562" s="9">
        <f t="shared" si="233"/>
        <v>0</v>
      </c>
      <c r="AB562" s="9">
        <v>0</v>
      </c>
      <c r="AC562" s="9">
        <v>0</v>
      </c>
      <c r="AD562" s="45">
        <f t="shared" si="227"/>
        <v>7945721.9999999991</v>
      </c>
      <c r="AE562" s="9">
        <v>0</v>
      </c>
      <c r="AF562" s="9">
        <f t="shared" si="234"/>
        <v>7945721.9999999991</v>
      </c>
      <c r="AG562" s="60" t="s">
        <v>515</v>
      </c>
      <c r="AH562" s="14"/>
      <c r="AI562" s="1">
        <f>21724.86+44015.51+21840.51</f>
        <v>87580.87999999999</v>
      </c>
      <c r="AJ562" s="1">
        <v>0</v>
      </c>
    </row>
    <row r="563" spans="1:36" ht="198" x14ac:dyDescent="0.25">
      <c r="A563" s="5">
        <f t="shared" si="228"/>
        <v>560</v>
      </c>
      <c r="B563" s="16">
        <v>136528</v>
      </c>
      <c r="C563" s="16">
        <v>863</v>
      </c>
      <c r="D563" s="56" t="s">
        <v>143</v>
      </c>
      <c r="E563" s="121" t="s">
        <v>1954</v>
      </c>
      <c r="F563" s="127" t="s">
        <v>1973</v>
      </c>
      <c r="G563" s="5" t="s">
        <v>1592</v>
      </c>
      <c r="H563" s="5" t="s">
        <v>1974</v>
      </c>
      <c r="I563" s="61" t="s">
        <v>1975</v>
      </c>
      <c r="J563" s="64">
        <v>44078</v>
      </c>
      <c r="K563" s="64">
        <v>44808</v>
      </c>
      <c r="L563" s="17">
        <f t="shared" si="229"/>
        <v>83.983863224435268</v>
      </c>
      <c r="M563" s="5" t="s">
        <v>1585</v>
      </c>
      <c r="N563" s="5" t="s">
        <v>262</v>
      </c>
      <c r="O563" s="5" t="s">
        <v>137</v>
      </c>
      <c r="P563" s="3" t="s">
        <v>138</v>
      </c>
      <c r="Q563" s="63" t="s">
        <v>34</v>
      </c>
      <c r="R563" s="4">
        <f t="shared" si="230"/>
        <v>4228188.5900000008</v>
      </c>
      <c r="S563" s="9">
        <v>3409665.7400000007</v>
      </c>
      <c r="T563" s="9">
        <v>818522.84999999986</v>
      </c>
      <c r="U563" s="4">
        <f t="shared" si="231"/>
        <v>0</v>
      </c>
      <c r="V563" s="54">
        <v>0</v>
      </c>
      <c r="W563" s="54">
        <v>0</v>
      </c>
      <c r="X563" s="4">
        <f t="shared" si="232"/>
        <v>806336.41</v>
      </c>
      <c r="Y563" s="9">
        <v>601705.67000000004</v>
      </c>
      <c r="Z563" s="9">
        <v>204630.74</v>
      </c>
      <c r="AA563" s="9">
        <f t="shared" si="233"/>
        <v>0</v>
      </c>
      <c r="AB563" s="9">
        <v>0</v>
      </c>
      <c r="AC563" s="9">
        <v>0</v>
      </c>
      <c r="AD563" s="45">
        <f t="shared" si="227"/>
        <v>5034525.0000000009</v>
      </c>
      <c r="AE563" s="9">
        <v>0</v>
      </c>
      <c r="AF563" s="9">
        <f t="shared" si="234"/>
        <v>5034525.0000000009</v>
      </c>
      <c r="AG563" s="60" t="s">
        <v>515</v>
      </c>
      <c r="AH563" s="14"/>
      <c r="AI563" s="1">
        <f>404831.05+187670.34+310479.1</f>
        <v>902980.49</v>
      </c>
      <c r="AJ563" s="1">
        <v>0</v>
      </c>
    </row>
    <row r="564" spans="1:36" ht="198" x14ac:dyDescent="0.25">
      <c r="A564" s="5">
        <f t="shared" si="228"/>
        <v>561</v>
      </c>
      <c r="B564" s="16">
        <v>130103</v>
      </c>
      <c r="C564" s="16">
        <v>737</v>
      </c>
      <c r="D564" s="56" t="s">
        <v>143</v>
      </c>
      <c r="E564" s="121" t="s">
        <v>1227</v>
      </c>
      <c r="F564" s="127" t="s">
        <v>1977</v>
      </c>
      <c r="G564" s="5" t="s">
        <v>2090</v>
      </c>
      <c r="H564" s="5" t="s">
        <v>362</v>
      </c>
      <c r="I564" s="61" t="s">
        <v>1978</v>
      </c>
      <c r="J564" s="64">
        <v>44083</v>
      </c>
      <c r="K564" s="64">
        <v>44813</v>
      </c>
      <c r="L564" s="17">
        <f t="shared" si="229"/>
        <v>83.983862888157404</v>
      </c>
      <c r="M564" s="5" t="s">
        <v>1585</v>
      </c>
      <c r="N564" s="5" t="s">
        <v>262</v>
      </c>
      <c r="O564" s="5" t="s">
        <v>137</v>
      </c>
      <c r="P564" s="3" t="s">
        <v>138</v>
      </c>
      <c r="Q564" s="63" t="s">
        <v>34</v>
      </c>
      <c r="R564" s="4">
        <f t="shared" si="230"/>
        <v>22633067.940000001</v>
      </c>
      <c r="S564" s="9">
        <v>18251597.380000003</v>
      </c>
      <c r="T564" s="9">
        <v>4381470.5599999996</v>
      </c>
      <c r="U564" s="4">
        <f t="shared" si="231"/>
        <v>0</v>
      </c>
      <c r="V564" s="54">
        <v>0</v>
      </c>
      <c r="W564" s="54">
        <v>0</v>
      </c>
      <c r="X564" s="4">
        <f t="shared" si="232"/>
        <v>4316237.75</v>
      </c>
      <c r="Y564" s="9">
        <v>3220870.12</v>
      </c>
      <c r="Z564" s="9">
        <v>1095367.6299999999</v>
      </c>
      <c r="AA564" s="9">
        <f t="shared" si="233"/>
        <v>0</v>
      </c>
      <c r="AB564" s="9">
        <v>0</v>
      </c>
      <c r="AC564" s="9">
        <v>0</v>
      </c>
      <c r="AD564" s="45">
        <f t="shared" si="227"/>
        <v>26949305.690000001</v>
      </c>
      <c r="AE564" s="9">
        <v>0</v>
      </c>
      <c r="AF564" s="9">
        <f t="shared" si="234"/>
        <v>26949305.690000001</v>
      </c>
      <c r="AG564" s="60" t="s">
        <v>515</v>
      </c>
      <c r="AH564" s="14"/>
      <c r="AI564" s="1">
        <f>42593.26</f>
        <v>42593.26</v>
      </c>
      <c r="AJ564" s="1">
        <v>0</v>
      </c>
    </row>
    <row r="565" spans="1:36" ht="198" x14ac:dyDescent="0.25">
      <c r="A565" s="5">
        <f t="shared" si="228"/>
        <v>562</v>
      </c>
      <c r="B565" s="16">
        <v>130101</v>
      </c>
      <c r="C565" s="16">
        <v>739</v>
      </c>
      <c r="D565" s="56" t="s">
        <v>143</v>
      </c>
      <c r="E565" s="121" t="s">
        <v>1227</v>
      </c>
      <c r="F565" s="127" t="s">
        <v>1979</v>
      </c>
      <c r="G565" s="5" t="s">
        <v>2090</v>
      </c>
      <c r="H565" s="5" t="s">
        <v>362</v>
      </c>
      <c r="I565" s="61" t="s">
        <v>1980</v>
      </c>
      <c r="J565" s="64">
        <v>44083</v>
      </c>
      <c r="K565" s="64">
        <v>44813</v>
      </c>
      <c r="L565" s="17">
        <f t="shared" si="229"/>
        <v>83.983862947138277</v>
      </c>
      <c r="M565" s="5" t="s">
        <v>1585</v>
      </c>
      <c r="N565" s="5" t="s">
        <v>262</v>
      </c>
      <c r="O565" s="5" t="s">
        <v>137</v>
      </c>
      <c r="P565" s="3" t="s">
        <v>138</v>
      </c>
      <c r="Q565" s="63" t="s">
        <v>34</v>
      </c>
      <c r="R565" s="4">
        <f t="shared" si="230"/>
        <v>20113401.559999999</v>
      </c>
      <c r="S565" s="9">
        <v>16219705.959999999</v>
      </c>
      <c r="T565" s="9">
        <v>3893695.6</v>
      </c>
      <c r="U565" s="4">
        <f t="shared" si="231"/>
        <v>0</v>
      </c>
      <c r="V565" s="54">
        <v>0</v>
      </c>
      <c r="W565" s="54">
        <v>0</v>
      </c>
      <c r="X565" s="4">
        <f t="shared" si="232"/>
        <v>3835724.92</v>
      </c>
      <c r="Y565" s="9">
        <v>2862301.04</v>
      </c>
      <c r="Z565" s="9">
        <v>973423.88</v>
      </c>
      <c r="AA565" s="9">
        <f t="shared" si="233"/>
        <v>0</v>
      </c>
      <c r="AB565" s="9">
        <v>0</v>
      </c>
      <c r="AC565" s="9">
        <v>0</v>
      </c>
      <c r="AD565" s="45">
        <f t="shared" si="227"/>
        <v>23949126.479999997</v>
      </c>
      <c r="AE565" s="9">
        <v>0</v>
      </c>
      <c r="AF565" s="9">
        <f t="shared" si="234"/>
        <v>23949126.479999997</v>
      </c>
      <c r="AG565" s="60" t="s">
        <v>515</v>
      </c>
      <c r="AH565" s="14"/>
      <c r="AI565" s="1">
        <f>28995.43</f>
        <v>28995.43</v>
      </c>
      <c r="AJ565" s="1">
        <v>0</v>
      </c>
    </row>
    <row r="566" spans="1:36" ht="180" x14ac:dyDescent="0.25">
      <c r="A566" s="5">
        <f t="shared" si="228"/>
        <v>563</v>
      </c>
      <c r="B566" s="16">
        <v>136610</v>
      </c>
      <c r="C566" s="16">
        <v>862</v>
      </c>
      <c r="D566" s="56" t="s">
        <v>143</v>
      </c>
      <c r="E566" s="121" t="s">
        <v>1954</v>
      </c>
      <c r="F566" s="127" t="s">
        <v>1986</v>
      </c>
      <c r="G566" s="5" t="s">
        <v>1592</v>
      </c>
      <c r="H566" s="5" t="s">
        <v>1987</v>
      </c>
      <c r="I566" s="61" t="s">
        <v>1988</v>
      </c>
      <c r="J566" s="64">
        <v>44090</v>
      </c>
      <c r="K566" s="64">
        <v>45001</v>
      </c>
      <c r="L566" s="17">
        <f t="shared" si="229"/>
        <v>83.983863078236666</v>
      </c>
      <c r="M566" s="5" t="s">
        <v>1585</v>
      </c>
      <c r="N566" s="5" t="s">
        <v>262</v>
      </c>
      <c r="O566" s="5" t="s">
        <v>137</v>
      </c>
      <c r="P566" s="3" t="s">
        <v>138</v>
      </c>
      <c r="Q566" s="63" t="s">
        <v>34</v>
      </c>
      <c r="R566" s="4">
        <f t="shared" si="230"/>
        <v>4326664.34</v>
      </c>
      <c r="S566" s="9">
        <v>3489077.81</v>
      </c>
      <c r="T566" s="9">
        <v>837586.5299999998</v>
      </c>
      <c r="U566" s="4">
        <f t="shared" si="231"/>
        <v>346722.08999999997</v>
      </c>
      <c r="V566" s="54">
        <v>256230.53</v>
      </c>
      <c r="W566" s="54">
        <v>90491.56</v>
      </c>
      <c r="X566" s="4">
        <f t="shared" si="232"/>
        <v>478394.14</v>
      </c>
      <c r="Y566" s="9">
        <v>359489.09</v>
      </c>
      <c r="Z566" s="9">
        <v>118905.05</v>
      </c>
      <c r="AA566" s="9">
        <f t="shared" si="233"/>
        <v>0</v>
      </c>
      <c r="AB566" s="9">
        <v>0</v>
      </c>
      <c r="AC566" s="9">
        <v>0</v>
      </c>
      <c r="AD566" s="45">
        <f t="shared" si="227"/>
        <v>5151780.5699999994</v>
      </c>
      <c r="AE566" s="9">
        <v>0</v>
      </c>
      <c r="AF566" s="9">
        <f t="shared" si="234"/>
        <v>5151780.5699999994</v>
      </c>
      <c r="AG566" s="60" t="s">
        <v>515</v>
      </c>
      <c r="AH566" s="14"/>
      <c r="AI566" s="1">
        <f>254057.43+298330.11+256434.88</f>
        <v>808822.42</v>
      </c>
      <c r="AJ566" s="1">
        <f>24107.34+30833.68+40118.42</f>
        <v>95059.44</v>
      </c>
    </row>
    <row r="567" spans="1:36" ht="180" x14ac:dyDescent="0.25">
      <c r="A567" s="5">
        <f t="shared" si="228"/>
        <v>564</v>
      </c>
      <c r="B567" s="16">
        <v>129959</v>
      </c>
      <c r="C567" s="16">
        <v>716</v>
      </c>
      <c r="D567" s="56" t="s">
        <v>143</v>
      </c>
      <c r="E567" s="121" t="s">
        <v>1227</v>
      </c>
      <c r="F567" s="122" t="s">
        <v>2013</v>
      </c>
      <c r="G567" s="63" t="s">
        <v>2088</v>
      </c>
      <c r="H567" s="5" t="s">
        <v>362</v>
      </c>
      <c r="I567" s="61" t="s">
        <v>2014</v>
      </c>
      <c r="J567" s="64">
        <v>44109</v>
      </c>
      <c r="K567" s="64">
        <v>45204</v>
      </c>
      <c r="L567" s="17">
        <f t="shared" si="229"/>
        <v>83.983862963761638</v>
      </c>
      <c r="M567" s="5" t="s">
        <v>1585</v>
      </c>
      <c r="N567" s="5" t="s">
        <v>262</v>
      </c>
      <c r="O567" s="5" t="s">
        <v>137</v>
      </c>
      <c r="P567" s="3" t="s">
        <v>138</v>
      </c>
      <c r="Q567" s="63" t="s">
        <v>34</v>
      </c>
      <c r="R567" s="4">
        <f t="shared" si="230"/>
        <v>14005620.699999999</v>
      </c>
      <c r="S567" s="9">
        <v>11294312.83</v>
      </c>
      <c r="T567" s="9">
        <v>2711307.87</v>
      </c>
      <c r="U567" s="4">
        <f t="shared" si="231"/>
        <v>0</v>
      </c>
      <c r="V567" s="54">
        <v>0</v>
      </c>
      <c r="W567" s="54">
        <v>0</v>
      </c>
      <c r="X567" s="4">
        <f t="shared" si="232"/>
        <v>2670940.9700000002</v>
      </c>
      <c r="Y567" s="9">
        <v>1993114.04</v>
      </c>
      <c r="Z567" s="9">
        <v>677826.93</v>
      </c>
      <c r="AA567" s="9">
        <f t="shared" si="233"/>
        <v>0</v>
      </c>
      <c r="AB567" s="9">
        <v>0</v>
      </c>
      <c r="AC567" s="9">
        <v>0</v>
      </c>
      <c r="AD567" s="45">
        <f t="shared" si="227"/>
        <v>16676561.67</v>
      </c>
      <c r="AE567" s="9">
        <v>0</v>
      </c>
      <c r="AF567" s="9">
        <f t="shared" si="234"/>
        <v>16676561.67</v>
      </c>
      <c r="AG567" s="60" t="s">
        <v>515</v>
      </c>
      <c r="AH567" s="14"/>
      <c r="AI567" s="1">
        <v>105759.32</v>
      </c>
      <c r="AJ567" s="1">
        <v>0</v>
      </c>
    </row>
    <row r="568" spans="1:36" ht="288" x14ac:dyDescent="0.25">
      <c r="A568" s="5">
        <f t="shared" si="228"/>
        <v>565</v>
      </c>
      <c r="B568" s="16">
        <v>129982</v>
      </c>
      <c r="C568" s="16">
        <v>720</v>
      </c>
      <c r="D568" s="56" t="s">
        <v>143</v>
      </c>
      <c r="E568" s="121" t="s">
        <v>1227</v>
      </c>
      <c r="F568" s="127" t="s">
        <v>2020</v>
      </c>
      <c r="G568" s="122" t="s">
        <v>2087</v>
      </c>
      <c r="H568" s="5" t="s">
        <v>2021</v>
      </c>
      <c r="I568" s="61" t="s">
        <v>2022</v>
      </c>
      <c r="J568" s="64">
        <v>44118</v>
      </c>
      <c r="K568" s="64">
        <v>44848</v>
      </c>
      <c r="L568" s="17">
        <f t="shared" si="229"/>
        <v>83.983862641097033</v>
      </c>
      <c r="M568" s="5" t="s">
        <v>1585</v>
      </c>
      <c r="N568" s="5" t="s">
        <v>262</v>
      </c>
      <c r="O568" s="5" t="s">
        <v>137</v>
      </c>
      <c r="P568" s="3" t="s">
        <v>138</v>
      </c>
      <c r="Q568" s="63" t="s">
        <v>34</v>
      </c>
      <c r="R568" s="4">
        <f t="shared" si="230"/>
        <v>7678495.0699999984</v>
      </c>
      <c r="S568" s="9">
        <v>6192037.2799999984</v>
      </c>
      <c r="T568" s="9">
        <v>1486457.7900000003</v>
      </c>
      <c r="U568" s="4">
        <f t="shared" si="231"/>
        <v>0</v>
      </c>
      <c r="V568" s="54">
        <v>0</v>
      </c>
      <c r="W568" s="54">
        <v>0</v>
      </c>
      <c r="X568" s="4">
        <f t="shared" si="232"/>
        <v>1464326.93</v>
      </c>
      <c r="Y568" s="9">
        <v>1092712.48</v>
      </c>
      <c r="Z568" s="9">
        <v>371614.45</v>
      </c>
      <c r="AA568" s="9">
        <f t="shared" si="233"/>
        <v>0</v>
      </c>
      <c r="AB568" s="9">
        <v>0</v>
      </c>
      <c r="AC568" s="9">
        <v>0</v>
      </c>
      <c r="AD568" s="45">
        <f t="shared" si="227"/>
        <v>9142821.9999999981</v>
      </c>
      <c r="AE568" s="9">
        <v>0</v>
      </c>
      <c r="AF568" s="9">
        <f t="shared" si="234"/>
        <v>9142821.9999999981</v>
      </c>
      <c r="AG568" s="60" t="s">
        <v>515</v>
      </c>
      <c r="AH568" s="14"/>
      <c r="AI568" s="1">
        <v>0</v>
      </c>
      <c r="AJ568" s="1">
        <v>0</v>
      </c>
    </row>
    <row r="569" spans="1:36" ht="180" x14ac:dyDescent="0.25">
      <c r="A569" s="5">
        <f t="shared" si="228"/>
        <v>566</v>
      </c>
      <c r="B569" s="16">
        <v>130587</v>
      </c>
      <c r="C569" s="16">
        <v>750</v>
      </c>
      <c r="D569" s="56" t="s">
        <v>143</v>
      </c>
      <c r="E569" s="121" t="s">
        <v>2031</v>
      </c>
      <c r="F569" s="127" t="s">
        <v>2032</v>
      </c>
      <c r="G569" s="3" t="s">
        <v>2091</v>
      </c>
      <c r="H569" s="8" t="s">
        <v>2033</v>
      </c>
      <c r="I569" s="61" t="s">
        <v>2034</v>
      </c>
      <c r="J569" s="64">
        <v>44162</v>
      </c>
      <c r="K569" s="64">
        <v>44892</v>
      </c>
      <c r="L569" s="17">
        <f t="shared" si="229"/>
        <v>82.822280549048671</v>
      </c>
      <c r="M569" s="5" t="s">
        <v>1585</v>
      </c>
      <c r="N569" s="5" t="s">
        <v>262</v>
      </c>
      <c r="O569" s="5" t="s">
        <v>137</v>
      </c>
      <c r="P569" s="3" t="s">
        <v>138</v>
      </c>
      <c r="Q569" s="63" t="s">
        <v>34</v>
      </c>
      <c r="R569" s="4">
        <f t="shared" si="230"/>
        <v>17080376.949999999</v>
      </c>
      <c r="S569" s="9">
        <v>13773835.85</v>
      </c>
      <c r="T569" s="9">
        <v>3306541.0999999996</v>
      </c>
      <c r="U569" s="4">
        <f t="shared" si="231"/>
        <v>2238506.0100000002</v>
      </c>
      <c r="V569" s="54">
        <v>1670421.7100000004</v>
      </c>
      <c r="W569" s="54">
        <v>568084.29999999981</v>
      </c>
      <c r="X569" s="4">
        <f t="shared" si="232"/>
        <v>1304042.22</v>
      </c>
      <c r="Y569" s="9">
        <v>987523.49</v>
      </c>
      <c r="Z569" s="9">
        <v>316518.73</v>
      </c>
      <c r="AA569" s="9">
        <f t="shared" si="233"/>
        <v>0</v>
      </c>
      <c r="AB569" s="9">
        <v>0</v>
      </c>
      <c r="AC569" s="9">
        <v>0</v>
      </c>
      <c r="AD569" s="45">
        <f t="shared" si="227"/>
        <v>20622925.18</v>
      </c>
      <c r="AE569" s="9">
        <v>0</v>
      </c>
      <c r="AF569" s="9">
        <f t="shared" si="234"/>
        <v>20622925.18</v>
      </c>
      <c r="AG569" s="60" t="s">
        <v>515</v>
      </c>
      <c r="AH569" s="14"/>
      <c r="AI569" s="1">
        <v>1407602.94</v>
      </c>
      <c r="AJ569" s="1">
        <v>0</v>
      </c>
    </row>
    <row r="570" spans="1:36" ht="180" x14ac:dyDescent="0.25">
      <c r="A570" s="5">
        <f t="shared" si="228"/>
        <v>567</v>
      </c>
      <c r="B570" s="16">
        <v>129878</v>
      </c>
      <c r="C570" s="16">
        <v>704</v>
      </c>
      <c r="D570" s="56" t="s">
        <v>143</v>
      </c>
      <c r="E570" s="121" t="s">
        <v>1227</v>
      </c>
      <c r="F570" s="127" t="s">
        <v>2038</v>
      </c>
      <c r="G570" s="122" t="s">
        <v>2037</v>
      </c>
      <c r="H570" s="8" t="s">
        <v>2039</v>
      </c>
      <c r="I570" s="61" t="s">
        <v>2040</v>
      </c>
      <c r="J570" s="64">
        <v>44168</v>
      </c>
      <c r="K570" s="64">
        <v>45266</v>
      </c>
      <c r="L570" s="17">
        <f t="shared" si="229"/>
        <v>83.98386311034065</v>
      </c>
      <c r="M570" s="5" t="s">
        <v>1585</v>
      </c>
      <c r="N570" s="5" t="s">
        <v>262</v>
      </c>
      <c r="O570" s="5" t="s">
        <v>137</v>
      </c>
      <c r="P570" s="3" t="s">
        <v>138</v>
      </c>
      <c r="Q570" s="63" t="s">
        <v>34</v>
      </c>
      <c r="R570" s="4">
        <f t="shared" si="230"/>
        <v>14631872.040000001</v>
      </c>
      <c r="S570" s="9">
        <v>11799329.99</v>
      </c>
      <c r="T570" s="9">
        <v>2832542.0500000007</v>
      </c>
      <c r="U570" s="4">
        <f t="shared" si="231"/>
        <v>2441925.3200000003</v>
      </c>
      <c r="V570" s="54">
        <v>1804603.3500000006</v>
      </c>
      <c r="W570" s="54">
        <v>637321.97</v>
      </c>
      <c r="X570" s="4">
        <f t="shared" si="232"/>
        <v>348444.84</v>
      </c>
      <c r="Y570" s="9">
        <v>277631.32</v>
      </c>
      <c r="Z570" s="9">
        <v>70813.52</v>
      </c>
      <c r="AA570" s="9">
        <f t="shared" si="233"/>
        <v>0</v>
      </c>
      <c r="AB570" s="9">
        <v>0</v>
      </c>
      <c r="AC570" s="9">
        <v>0</v>
      </c>
      <c r="AD570" s="45">
        <f t="shared" si="227"/>
        <v>17422242.199999999</v>
      </c>
      <c r="AE570" s="9">
        <v>0</v>
      </c>
      <c r="AF570" s="9">
        <f t="shared" si="234"/>
        <v>17422242.199999999</v>
      </c>
      <c r="AG570" s="60" t="s">
        <v>515</v>
      </c>
      <c r="AH570" s="14"/>
      <c r="AI570" s="1">
        <v>80297.81</v>
      </c>
      <c r="AJ570" s="1">
        <v>13400.970000000003</v>
      </c>
    </row>
    <row r="571" spans="1:36" ht="330.75" x14ac:dyDescent="0.25">
      <c r="A571" s="5">
        <f t="shared" si="228"/>
        <v>568</v>
      </c>
      <c r="B571" s="16">
        <v>134950</v>
      </c>
      <c r="C571" s="16">
        <v>869</v>
      </c>
      <c r="D571" s="56" t="s">
        <v>143</v>
      </c>
      <c r="E571" s="121" t="s">
        <v>1954</v>
      </c>
      <c r="F571" s="127" t="s">
        <v>2043</v>
      </c>
      <c r="G571" s="122" t="s">
        <v>1648</v>
      </c>
      <c r="H571" s="8" t="s">
        <v>2044</v>
      </c>
      <c r="I571" s="61" t="s">
        <v>2045</v>
      </c>
      <c r="J571" s="64">
        <v>44173</v>
      </c>
      <c r="K571" s="64">
        <v>44720</v>
      </c>
      <c r="L571" s="17">
        <f t="shared" si="229"/>
        <v>83.983863016010105</v>
      </c>
      <c r="M571" s="5" t="s">
        <v>1585</v>
      </c>
      <c r="N571" s="5" t="s">
        <v>262</v>
      </c>
      <c r="O571" s="5" t="s">
        <v>137</v>
      </c>
      <c r="P571" s="3" t="s">
        <v>138</v>
      </c>
      <c r="Q571" s="63" t="s">
        <v>34</v>
      </c>
      <c r="R571" s="4">
        <f t="shared" si="230"/>
        <v>3740241.21</v>
      </c>
      <c r="S571" s="9">
        <v>3016178.64</v>
      </c>
      <c r="T571" s="9">
        <v>724062.57000000007</v>
      </c>
      <c r="U571" s="4">
        <f t="shared" si="231"/>
        <v>0</v>
      </c>
      <c r="V571" s="54">
        <v>0</v>
      </c>
      <c r="W571" s="54">
        <v>0</v>
      </c>
      <c r="X571" s="4">
        <f t="shared" si="232"/>
        <v>713282.45</v>
      </c>
      <c r="Y571" s="9">
        <v>532266.84</v>
      </c>
      <c r="Z571" s="9">
        <v>181015.61</v>
      </c>
      <c r="AA571" s="9">
        <f t="shared" si="233"/>
        <v>0</v>
      </c>
      <c r="AB571" s="9">
        <v>0</v>
      </c>
      <c r="AC571" s="9">
        <v>0</v>
      </c>
      <c r="AD571" s="45">
        <f t="shared" si="227"/>
        <v>4453523.66</v>
      </c>
      <c r="AE571" s="9">
        <v>0</v>
      </c>
      <c r="AF571" s="9">
        <f t="shared" si="234"/>
        <v>4453523.66</v>
      </c>
      <c r="AG571" s="60" t="s">
        <v>515</v>
      </c>
      <c r="AH571" s="14"/>
      <c r="AI571" s="1">
        <v>27506.400000000001</v>
      </c>
      <c r="AJ571" s="1">
        <v>0</v>
      </c>
    </row>
    <row r="572" spans="1:36" ht="180" x14ac:dyDescent="0.25">
      <c r="A572" s="5">
        <f t="shared" si="228"/>
        <v>569</v>
      </c>
      <c r="B572" s="16">
        <v>140086</v>
      </c>
      <c r="C572" s="16">
        <v>870</v>
      </c>
      <c r="D572" s="56" t="s">
        <v>146</v>
      </c>
      <c r="E572" s="121" t="s">
        <v>2048</v>
      </c>
      <c r="F572" s="127" t="s">
        <v>2046</v>
      </c>
      <c r="G572" s="122" t="s">
        <v>133</v>
      </c>
      <c r="H572" s="8" t="s">
        <v>2047</v>
      </c>
      <c r="I572" s="61" t="s">
        <v>2049</v>
      </c>
      <c r="J572" s="64">
        <v>44173</v>
      </c>
      <c r="K572" s="64">
        <v>45085</v>
      </c>
      <c r="L572" s="17">
        <f t="shared" si="229"/>
        <v>83.983863083333333</v>
      </c>
      <c r="M572" s="5" t="s">
        <v>1585</v>
      </c>
      <c r="N572" s="5" t="s">
        <v>262</v>
      </c>
      <c r="O572" s="5" t="s">
        <v>137</v>
      </c>
      <c r="P572" s="3" t="s">
        <v>138</v>
      </c>
      <c r="Q572" s="63" t="s">
        <v>34</v>
      </c>
      <c r="R572" s="4">
        <f t="shared" si="230"/>
        <v>10078063.569999998</v>
      </c>
      <c r="S572" s="9">
        <v>8127080.1999999983</v>
      </c>
      <c r="T572" s="9">
        <v>1950983.3699999999</v>
      </c>
      <c r="U572" s="4">
        <f t="shared" si="231"/>
        <v>347356.29</v>
      </c>
      <c r="V572" s="54">
        <v>256699.24</v>
      </c>
      <c r="W572" s="54">
        <v>90657.05</v>
      </c>
      <c r="X572" s="4">
        <f t="shared" si="232"/>
        <v>1574580.1400000001</v>
      </c>
      <c r="Y572" s="9">
        <v>1177491.3700000001</v>
      </c>
      <c r="Z572" s="9">
        <v>397088.77</v>
      </c>
      <c r="AA572" s="9">
        <f t="shared" si="233"/>
        <v>0</v>
      </c>
      <c r="AB572" s="9">
        <v>0</v>
      </c>
      <c r="AC572" s="9">
        <v>0</v>
      </c>
      <c r="AD572" s="45">
        <f t="shared" si="227"/>
        <v>11999999.999999998</v>
      </c>
      <c r="AE572" s="9">
        <v>221760</v>
      </c>
      <c r="AF572" s="9">
        <f t="shared" si="234"/>
        <v>12221759.999999998</v>
      </c>
      <c r="AG572" s="60" t="s">
        <v>515</v>
      </c>
      <c r="AH572" s="14" t="s">
        <v>2186</v>
      </c>
      <c r="AI572" s="1">
        <f>21467.12+49840.23</f>
        <v>71307.350000000006</v>
      </c>
      <c r="AJ572" s="1">
        <f>166.51+868.29</f>
        <v>1034.8</v>
      </c>
    </row>
    <row r="573" spans="1:36" ht="283.5" x14ac:dyDescent="0.25">
      <c r="A573" s="5">
        <f t="shared" si="228"/>
        <v>570</v>
      </c>
      <c r="B573" s="16">
        <v>129968</v>
      </c>
      <c r="C573" s="16">
        <v>697</v>
      </c>
      <c r="D573" s="56" t="s">
        <v>143</v>
      </c>
      <c r="E573" s="121" t="s">
        <v>1227</v>
      </c>
      <c r="F573" s="127" t="s">
        <v>2053</v>
      </c>
      <c r="G573" s="122" t="s">
        <v>2052</v>
      </c>
      <c r="H573" s="5" t="s">
        <v>362</v>
      </c>
      <c r="I573" s="61" t="s">
        <v>2054</v>
      </c>
      <c r="J573" s="64">
        <v>44180</v>
      </c>
      <c r="K573" s="64">
        <v>45092</v>
      </c>
      <c r="L573" s="17">
        <f t="shared" si="229"/>
        <v>83.983862447702634</v>
      </c>
      <c r="M573" s="5" t="s">
        <v>1585</v>
      </c>
      <c r="N573" s="5" t="s">
        <v>281</v>
      </c>
      <c r="O573" s="5" t="s">
        <v>281</v>
      </c>
      <c r="P573" s="3" t="s">
        <v>138</v>
      </c>
      <c r="Q573" s="63" t="s">
        <v>34</v>
      </c>
      <c r="R573" s="4">
        <f t="shared" si="230"/>
        <v>4995589.0699999994</v>
      </c>
      <c r="S573" s="9">
        <v>4028507.3399999994</v>
      </c>
      <c r="T573" s="9">
        <v>967081.7300000001</v>
      </c>
      <c r="U573" s="4">
        <f t="shared" si="231"/>
        <v>833718.07</v>
      </c>
      <c r="V573" s="54">
        <v>616124.67999999993</v>
      </c>
      <c r="W573" s="54">
        <v>217593.39</v>
      </c>
      <c r="X573" s="4">
        <f t="shared" si="232"/>
        <v>118965.45000000001</v>
      </c>
      <c r="Y573" s="9">
        <v>94788.41</v>
      </c>
      <c r="Z573" s="9">
        <v>24177.040000000001</v>
      </c>
      <c r="AA573" s="9">
        <f t="shared" si="233"/>
        <v>0</v>
      </c>
      <c r="AB573" s="9">
        <v>0</v>
      </c>
      <c r="AC573" s="9">
        <v>0</v>
      </c>
      <c r="AD573" s="45">
        <f t="shared" si="227"/>
        <v>5948272.5899999999</v>
      </c>
      <c r="AE573" s="9">
        <v>0</v>
      </c>
      <c r="AF573" s="9">
        <f t="shared" si="234"/>
        <v>5948272.5899999999</v>
      </c>
      <c r="AG573" s="60" t="s">
        <v>515</v>
      </c>
      <c r="AH573" s="14"/>
      <c r="AI573" s="1">
        <v>0</v>
      </c>
      <c r="AJ573" s="1">
        <v>0</v>
      </c>
    </row>
    <row r="574" spans="1:36" ht="236.25" x14ac:dyDescent="0.25">
      <c r="A574" s="5">
        <f t="shared" si="228"/>
        <v>571</v>
      </c>
      <c r="B574" s="16">
        <v>129831</v>
      </c>
      <c r="C574" s="16">
        <v>735</v>
      </c>
      <c r="D574" s="56" t="s">
        <v>143</v>
      </c>
      <c r="E574" s="121" t="s">
        <v>1227</v>
      </c>
      <c r="F574" s="127" t="s">
        <v>2055</v>
      </c>
      <c r="G574" s="122" t="s">
        <v>1619</v>
      </c>
      <c r="H574" s="5" t="s">
        <v>362</v>
      </c>
      <c r="I574" s="61" t="s">
        <v>2056</v>
      </c>
      <c r="J574" s="64">
        <v>44180</v>
      </c>
      <c r="K574" s="64">
        <v>45092</v>
      </c>
      <c r="L574" s="17">
        <f t="shared" si="229"/>
        <v>83.983862896657286</v>
      </c>
      <c r="M574" s="5" t="s">
        <v>1585</v>
      </c>
      <c r="N574" s="5" t="s">
        <v>262</v>
      </c>
      <c r="O574" s="5" t="s">
        <v>137</v>
      </c>
      <c r="P574" s="3" t="s">
        <v>138</v>
      </c>
      <c r="Q574" s="63" t="s">
        <v>34</v>
      </c>
      <c r="R574" s="4">
        <f t="shared" si="230"/>
        <v>22026311.919999998</v>
      </c>
      <c r="S574" s="9">
        <v>17762301.509999998</v>
      </c>
      <c r="T574" s="9">
        <v>4264010.41</v>
      </c>
      <c r="U574" s="4">
        <f t="shared" si="231"/>
        <v>0</v>
      </c>
      <c r="V574" s="54">
        <v>0</v>
      </c>
      <c r="W574" s="54">
        <v>0</v>
      </c>
      <c r="X574" s="4">
        <f t="shared" si="232"/>
        <v>4200526.38</v>
      </c>
      <c r="Y574" s="9">
        <v>3134523.79</v>
      </c>
      <c r="Z574" s="9">
        <v>1066002.5900000001</v>
      </c>
      <c r="AA574" s="9">
        <f t="shared" si="233"/>
        <v>0</v>
      </c>
      <c r="AB574" s="9">
        <v>0</v>
      </c>
      <c r="AC574" s="9">
        <v>0</v>
      </c>
      <c r="AD574" s="45">
        <f t="shared" si="227"/>
        <v>26226838.299999997</v>
      </c>
      <c r="AE574" s="9">
        <v>0</v>
      </c>
      <c r="AF574" s="9">
        <f t="shared" si="234"/>
        <v>26226838.299999997</v>
      </c>
      <c r="AG574" s="60" t="s">
        <v>515</v>
      </c>
      <c r="AH574" s="14"/>
      <c r="AI574" s="1">
        <f>21447.73</f>
        <v>21447.73</v>
      </c>
      <c r="AJ574" s="1">
        <v>0</v>
      </c>
    </row>
    <row r="575" spans="1:36" ht="180" x14ac:dyDescent="0.25">
      <c r="A575" s="5">
        <f t="shared" si="228"/>
        <v>572</v>
      </c>
      <c r="B575" s="16">
        <v>147622</v>
      </c>
      <c r="C575" s="16">
        <v>872</v>
      </c>
      <c r="D575" s="56" t="s">
        <v>143</v>
      </c>
      <c r="E575" s="121" t="s">
        <v>2057</v>
      </c>
      <c r="F575" s="127" t="s">
        <v>2058</v>
      </c>
      <c r="G575" s="122" t="s">
        <v>1592</v>
      </c>
      <c r="H575" s="5" t="s">
        <v>362</v>
      </c>
      <c r="I575" s="61" t="s">
        <v>2059</v>
      </c>
      <c r="J575" s="64">
        <v>44182</v>
      </c>
      <c r="K575" s="64">
        <v>44547</v>
      </c>
      <c r="L575" s="17">
        <f t="shared" si="229"/>
        <v>83.911615729320985</v>
      </c>
      <c r="M575" s="5" t="s">
        <v>1585</v>
      </c>
      <c r="N575" s="5" t="s">
        <v>262</v>
      </c>
      <c r="O575" s="5" t="s">
        <v>137</v>
      </c>
      <c r="P575" s="3" t="s">
        <v>138</v>
      </c>
      <c r="Q575" s="63" t="s">
        <v>34</v>
      </c>
      <c r="R575" s="4">
        <f t="shared" si="230"/>
        <v>5698223.4299999988</v>
      </c>
      <c r="S575" s="9">
        <v>4515672.5999999987</v>
      </c>
      <c r="T575" s="9">
        <v>1182550.83</v>
      </c>
      <c r="U575" s="4">
        <f t="shared" si="231"/>
        <v>0</v>
      </c>
      <c r="V575" s="54">
        <v>0</v>
      </c>
      <c r="W575" s="54">
        <v>0</v>
      </c>
      <c r="X575" s="4">
        <f t="shared" si="232"/>
        <v>1092521.07</v>
      </c>
      <c r="Y575" s="9">
        <v>796883.4</v>
      </c>
      <c r="Z575" s="9">
        <v>295637.67</v>
      </c>
      <c r="AA575" s="9">
        <f t="shared" si="233"/>
        <v>0</v>
      </c>
      <c r="AB575" s="9">
        <v>0</v>
      </c>
      <c r="AC575" s="9">
        <v>0</v>
      </c>
      <c r="AD575" s="45">
        <f t="shared" si="227"/>
        <v>6790744.4999999991</v>
      </c>
      <c r="AE575" s="9">
        <v>0</v>
      </c>
      <c r="AF575" s="9">
        <f t="shared" si="234"/>
        <v>6790744.4999999991</v>
      </c>
      <c r="AG575" s="60" t="s">
        <v>515</v>
      </c>
      <c r="AH575" s="14"/>
      <c r="AI575" s="1">
        <f>4503721.85+76276.87</f>
        <v>4579998.72</v>
      </c>
      <c r="AJ575" s="1">
        <v>0</v>
      </c>
    </row>
    <row r="576" spans="1:36" ht="230.25" customHeight="1" x14ac:dyDescent="0.25">
      <c r="A576" s="5">
        <f t="shared" si="228"/>
        <v>573</v>
      </c>
      <c r="B576" s="16">
        <v>129973</v>
      </c>
      <c r="C576" s="16">
        <v>698</v>
      </c>
      <c r="D576" s="56" t="s">
        <v>143</v>
      </c>
      <c r="E576" s="121" t="s">
        <v>1227</v>
      </c>
      <c r="F576" s="127" t="s">
        <v>2061</v>
      </c>
      <c r="G576" s="122" t="s">
        <v>2060</v>
      </c>
      <c r="H576" s="5" t="s">
        <v>362</v>
      </c>
      <c r="I576" s="61" t="s">
        <v>2062</v>
      </c>
      <c r="J576" s="64">
        <v>44186</v>
      </c>
      <c r="K576" s="64">
        <v>45098</v>
      </c>
      <c r="L576" s="17">
        <f t="shared" si="229"/>
        <v>83.983862827834926</v>
      </c>
      <c r="M576" s="5" t="s">
        <v>1585</v>
      </c>
      <c r="N576" s="5" t="s">
        <v>262</v>
      </c>
      <c r="O576" s="5" t="s">
        <v>137</v>
      </c>
      <c r="P576" s="3" t="s">
        <v>138</v>
      </c>
      <c r="Q576" s="63" t="s">
        <v>34</v>
      </c>
      <c r="R576" s="4">
        <f t="shared" si="230"/>
        <v>11483727.939999996</v>
      </c>
      <c r="S576" s="9">
        <v>9260626.0799999963</v>
      </c>
      <c r="T576" s="9">
        <v>2223101.86</v>
      </c>
      <c r="U576" s="4">
        <f t="shared" si="231"/>
        <v>0</v>
      </c>
      <c r="V576" s="54">
        <v>0</v>
      </c>
      <c r="W576" s="54">
        <v>0</v>
      </c>
      <c r="X576" s="4">
        <f t="shared" si="232"/>
        <v>2190003.6</v>
      </c>
      <c r="Y576" s="9">
        <v>1634228.11</v>
      </c>
      <c r="Z576" s="9">
        <v>555775.49</v>
      </c>
      <c r="AA576" s="9">
        <f t="shared" si="233"/>
        <v>0</v>
      </c>
      <c r="AB576" s="9">
        <v>0</v>
      </c>
      <c r="AC576" s="9">
        <v>0</v>
      </c>
      <c r="AD576" s="45">
        <f t="shared" si="227"/>
        <v>13673731.539999995</v>
      </c>
      <c r="AE576" s="9">
        <v>0</v>
      </c>
      <c r="AF576" s="9">
        <f t="shared" si="234"/>
        <v>13673731.539999995</v>
      </c>
      <c r="AG576" s="60" t="s">
        <v>515</v>
      </c>
      <c r="AH576" s="14"/>
      <c r="AI576" s="1">
        <f>10340.09</f>
        <v>10340.09</v>
      </c>
      <c r="AJ576" s="1">
        <v>0</v>
      </c>
    </row>
    <row r="577" spans="1:36" ht="252" x14ac:dyDescent="0.25">
      <c r="A577" s="5">
        <f t="shared" si="228"/>
        <v>574</v>
      </c>
      <c r="B577" s="16">
        <v>130045</v>
      </c>
      <c r="C577" s="16">
        <v>742</v>
      </c>
      <c r="D577" s="56" t="s">
        <v>143</v>
      </c>
      <c r="E577" s="121" t="s">
        <v>1227</v>
      </c>
      <c r="F577" s="127" t="s">
        <v>2064</v>
      </c>
      <c r="G577" s="122" t="s">
        <v>2063</v>
      </c>
      <c r="H577" s="5" t="s">
        <v>362</v>
      </c>
      <c r="I577" s="61" t="s">
        <v>2065</v>
      </c>
      <c r="J577" s="64">
        <v>44187</v>
      </c>
      <c r="K577" s="64">
        <v>44917</v>
      </c>
      <c r="L577" s="17">
        <f t="shared" si="229"/>
        <v>83.983862703045403</v>
      </c>
      <c r="M577" s="5" t="s">
        <v>1585</v>
      </c>
      <c r="N577" s="5" t="s">
        <v>262</v>
      </c>
      <c r="O577" s="5" t="s">
        <v>137</v>
      </c>
      <c r="P577" s="3" t="s">
        <v>138</v>
      </c>
      <c r="Q577" s="63" t="s">
        <v>34</v>
      </c>
      <c r="R577" s="4">
        <f t="shared" si="230"/>
        <v>11892012.700000003</v>
      </c>
      <c r="S577" s="9">
        <v>9589872.1600000039</v>
      </c>
      <c r="T577" s="9">
        <v>2302140.54</v>
      </c>
      <c r="U577" s="4">
        <f t="shared" si="231"/>
        <v>0</v>
      </c>
      <c r="V577" s="54">
        <v>0</v>
      </c>
      <c r="W577" s="54">
        <v>0</v>
      </c>
      <c r="X577" s="4">
        <f t="shared" si="232"/>
        <v>2267865.54</v>
      </c>
      <c r="Y577" s="9">
        <v>1692330.39</v>
      </c>
      <c r="Z577" s="9">
        <v>575535.15</v>
      </c>
      <c r="AA577" s="9">
        <f t="shared" si="233"/>
        <v>0</v>
      </c>
      <c r="AB577" s="9">
        <v>0</v>
      </c>
      <c r="AC577" s="9">
        <v>0</v>
      </c>
      <c r="AD577" s="45">
        <f t="shared" si="227"/>
        <v>14159878.240000002</v>
      </c>
      <c r="AE577" s="9">
        <v>0</v>
      </c>
      <c r="AF577" s="9">
        <f t="shared" si="234"/>
        <v>14159878.240000002</v>
      </c>
      <c r="AG577" s="60" t="s">
        <v>515</v>
      </c>
      <c r="AH577" s="14"/>
      <c r="AI577" s="1">
        <v>0</v>
      </c>
      <c r="AJ577" s="1">
        <v>0</v>
      </c>
    </row>
    <row r="578" spans="1:36" ht="236.25" x14ac:dyDescent="0.25">
      <c r="A578" s="5">
        <f t="shared" si="228"/>
        <v>575</v>
      </c>
      <c r="B578" s="16">
        <v>130054</v>
      </c>
      <c r="C578" s="16">
        <v>743</v>
      </c>
      <c r="D578" s="56" t="s">
        <v>143</v>
      </c>
      <c r="E578" s="121" t="s">
        <v>1227</v>
      </c>
      <c r="F578" s="127" t="s">
        <v>2067</v>
      </c>
      <c r="G578" s="122" t="s">
        <v>2066</v>
      </c>
      <c r="H578" s="5" t="s">
        <v>362</v>
      </c>
      <c r="I578" s="61" t="s">
        <v>2068</v>
      </c>
      <c r="J578" s="64">
        <v>44186</v>
      </c>
      <c r="K578" s="64">
        <v>45098</v>
      </c>
      <c r="L578" s="17">
        <f t="shared" si="229"/>
        <v>83.983862881970154</v>
      </c>
      <c r="M578" s="5" t="s">
        <v>1585</v>
      </c>
      <c r="N578" s="5" t="s">
        <v>262</v>
      </c>
      <c r="O578" s="5" t="s">
        <v>137</v>
      </c>
      <c r="P578" s="3" t="s">
        <v>138</v>
      </c>
      <c r="Q578" s="63" t="s">
        <v>34</v>
      </c>
      <c r="R578" s="4">
        <f t="shared" si="230"/>
        <v>12463109.93</v>
      </c>
      <c r="S578" s="9">
        <v>10050412.300000001</v>
      </c>
      <c r="T578" s="9">
        <v>2412697.63</v>
      </c>
      <c r="U578" s="4">
        <f t="shared" si="231"/>
        <v>0</v>
      </c>
      <c r="V578" s="54">
        <v>0</v>
      </c>
      <c r="W578" s="54">
        <v>0</v>
      </c>
      <c r="X578" s="4">
        <f t="shared" si="232"/>
        <v>2376776.5699999998</v>
      </c>
      <c r="Y578" s="9">
        <v>1773602.17</v>
      </c>
      <c r="Z578" s="9">
        <v>603174.40000000002</v>
      </c>
      <c r="AA578" s="9">
        <f t="shared" si="233"/>
        <v>0</v>
      </c>
      <c r="AB578" s="9">
        <v>0</v>
      </c>
      <c r="AC578" s="9">
        <v>0</v>
      </c>
      <c r="AD578" s="45">
        <f t="shared" si="227"/>
        <v>14839886.5</v>
      </c>
      <c r="AE578" s="9">
        <v>0</v>
      </c>
      <c r="AF578" s="9">
        <f t="shared" si="234"/>
        <v>14839886.5</v>
      </c>
      <c r="AG578" s="60" t="s">
        <v>515</v>
      </c>
      <c r="AH578" s="14"/>
      <c r="AI578" s="1">
        <v>0</v>
      </c>
      <c r="AJ578" s="1">
        <v>0</v>
      </c>
    </row>
    <row r="579" spans="1:36" ht="198" x14ac:dyDescent="0.25">
      <c r="A579" s="5">
        <f t="shared" si="228"/>
        <v>576</v>
      </c>
      <c r="B579" s="16">
        <v>135024</v>
      </c>
      <c r="C579" s="16">
        <v>868</v>
      </c>
      <c r="D579" s="56" t="s">
        <v>143</v>
      </c>
      <c r="E579" s="121" t="s">
        <v>1954</v>
      </c>
      <c r="F579" s="127" t="s">
        <v>2069</v>
      </c>
      <c r="G579" s="122" t="s">
        <v>550</v>
      </c>
      <c r="H579" s="5" t="s">
        <v>2070</v>
      </c>
      <c r="I579" s="61" t="s">
        <v>2071</v>
      </c>
      <c r="J579" s="64">
        <v>44186</v>
      </c>
      <c r="K579" s="64">
        <v>45098</v>
      </c>
      <c r="L579" s="17">
        <f>R579/AD579*100</f>
        <v>83.98386335793829</v>
      </c>
      <c r="M579" s="5" t="s">
        <v>1585</v>
      </c>
      <c r="N579" s="5" t="s">
        <v>262</v>
      </c>
      <c r="O579" s="5" t="s">
        <v>137</v>
      </c>
      <c r="P579" s="3" t="s">
        <v>138</v>
      </c>
      <c r="Q579" s="63" t="s">
        <v>34</v>
      </c>
      <c r="R579" s="4">
        <f t="shared" si="230"/>
        <v>10518279.300000001</v>
      </c>
      <c r="S579" s="9">
        <v>8482075.9199999999</v>
      </c>
      <c r="T579" s="9">
        <v>2036203.38</v>
      </c>
      <c r="U579" s="4">
        <f t="shared" si="231"/>
        <v>826424.82000000007</v>
      </c>
      <c r="V579" s="54">
        <v>610734.86</v>
      </c>
      <c r="W579" s="54">
        <v>215689.96000000002</v>
      </c>
      <c r="X579" s="4">
        <f t="shared" si="232"/>
        <v>1179462.8800000001</v>
      </c>
      <c r="Y579" s="9">
        <v>886101.92</v>
      </c>
      <c r="Z579" s="9">
        <v>293360.96000000002</v>
      </c>
      <c r="AA579" s="9">
        <f t="shared" si="233"/>
        <v>0</v>
      </c>
      <c r="AB579" s="9">
        <v>0</v>
      </c>
      <c r="AC579" s="9">
        <v>0</v>
      </c>
      <c r="AD579" s="45">
        <f t="shared" si="227"/>
        <v>12524167.000000002</v>
      </c>
      <c r="AE579" s="9">
        <v>0</v>
      </c>
      <c r="AF579" s="9">
        <f t="shared" si="234"/>
        <v>12524167.000000002</v>
      </c>
      <c r="AG579" s="60" t="s">
        <v>515</v>
      </c>
      <c r="AH579" s="14"/>
      <c r="AI579" s="1">
        <v>31769.95</v>
      </c>
      <c r="AJ579" s="1">
        <v>5302.12</v>
      </c>
    </row>
    <row r="580" spans="1:36" ht="378" x14ac:dyDescent="0.25">
      <c r="A580" s="5">
        <f t="shared" si="228"/>
        <v>577</v>
      </c>
      <c r="B580" s="16">
        <v>129541</v>
      </c>
      <c r="C580" s="16">
        <v>709</v>
      </c>
      <c r="D580" s="56" t="s">
        <v>143</v>
      </c>
      <c r="E580" s="121" t="s">
        <v>1227</v>
      </c>
      <c r="F580" s="127" t="s">
        <v>2073</v>
      </c>
      <c r="G580" s="128" t="s">
        <v>2072</v>
      </c>
      <c r="H580" s="5" t="s">
        <v>2074</v>
      </c>
      <c r="I580" s="61" t="s">
        <v>2075</v>
      </c>
      <c r="J580" s="64">
        <v>44187</v>
      </c>
      <c r="K580" s="64">
        <v>45038</v>
      </c>
      <c r="L580" s="17">
        <f t="shared" ref="L580:L588" si="235">R580/AD580*100</f>
        <v>83.98386306929801</v>
      </c>
      <c r="M580" s="5" t="s">
        <v>1585</v>
      </c>
      <c r="N580" s="5" t="s">
        <v>262</v>
      </c>
      <c r="O580" s="5" t="s">
        <v>137</v>
      </c>
      <c r="P580" s="3" t="s">
        <v>138</v>
      </c>
      <c r="Q580" s="63" t="s">
        <v>34</v>
      </c>
      <c r="R580" s="4">
        <f t="shared" si="230"/>
        <v>5951029.3500000043</v>
      </c>
      <c r="S580" s="9">
        <v>4798986.7300000042</v>
      </c>
      <c r="T580" s="9">
        <v>1152042.6200000003</v>
      </c>
      <c r="U580" s="4">
        <f t="shared" si="231"/>
        <v>551557.41999999993</v>
      </c>
      <c r="V580" s="54">
        <v>407605.53999999986</v>
      </c>
      <c r="W580" s="54">
        <v>143951.88</v>
      </c>
      <c r="X580" s="4">
        <f t="shared" si="232"/>
        <v>583333.23</v>
      </c>
      <c r="Y580" s="9">
        <v>439274.4</v>
      </c>
      <c r="Z580" s="9">
        <v>144058.82999999999</v>
      </c>
      <c r="AA580" s="9">
        <f t="shared" si="233"/>
        <v>0</v>
      </c>
      <c r="AB580" s="9">
        <v>0</v>
      </c>
      <c r="AC580" s="9">
        <v>0</v>
      </c>
      <c r="AD580" s="45">
        <f t="shared" si="227"/>
        <v>7085920.0000000037</v>
      </c>
      <c r="AE580" s="9">
        <v>0</v>
      </c>
      <c r="AF580" s="9">
        <f t="shared" si="234"/>
        <v>7085920.0000000037</v>
      </c>
      <c r="AG580" s="60" t="s">
        <v>515</v>
      </c>
      <c r="AH580" s="14"/>
      <c r="AI580" s="1">
        <v>0</v>
      </c>
      <c r="AJ580" s="1">
        <v>0</v>
      </c>
    </row>
    <row r="581" spans="1:36" ht="180" x14ac:dyDescent="0.25">
      <c r="A581" s="5">
        <f t="shared" si="228"/>
        <v>578</v>
      </c>
      <c r="B581" s="16">
        <v>134024</v>
      </c>
      <c r="C581" s="16">
        <v>754</v>
      </c>
      <c r="D581" s="56" t="s">
        <v>143</v>
      </c>
      <c r="E581" s="121" t="s">
        <v>1954</v>
      </c>
      <c r="F581" s="127" t="s">
        <v>2076</v>
      </c>
      <c r="G581" s="122" t="s">
        <v>74</v>
      </c>
      <c r="H581" s="5" t="s">
        <v>2077</v>
      </c>
      <c r="I581" s="61" t="s">
        <v>2078</v>
      </c>
      <c r="J581" s="64">
        <v>44186</v>
      </c>
      <c r="K581" s="64">
        <v>45037</v>
      </c>
      <c r="L581" s="17">
        <f t="shared" si="235"/>
        <v>83.208378225753307</v>
      </c>
      <c r="M581" s="5" t="s">
        <v>1585</v>
      </c>
      <c r="N581" s="5" t="s">
        <v>262</v>
      </c>
      <c r="O581" s="5" t="s">
        <v>137</v>
      </c>
      <c r="P581" s="3" t="s">
        <v>138</v>
      </c>
      <c r="Q581" s="63" t="s">
        <v>34</v>
      </c>
      <c r="R581" s="4">
        <f t="shared" si="230"/>
        <v>9711600.1300000008</v>
      </c>
      <c r="S581" s="9">
        <v>7831559.3700000001</v>
      </c>
      <c r="T581" s="9">
        <v>1880040.7600000005</v>
      </c>
      <c r="U581" s="4">
        <f t="shared" si="231"/>
        <v>845775.4</v>
      </c>
      <c r="V581" s="54">
        <v>631135.92000000004</v>
      </c>
      <c r="W581" s="54">
        <v>214639.48</v>
      </c>
      <c r="X581" s="4">
        <f t="shared" si="232"/>
        <v>1006274.6499999999</v>
      </c>
      <c r="Y581" s="9">
        <v>750903.95</v>
      </c>
      <c r="Z581" s="9">
        <v>255370.7</v>
      </c>
      <c r="AA581" s="9">
        <f t="shared" si="233"/>
        <v>107770.81999999999</v>
      </c>
      <c r="AB581" s="9">
        <v>85868.84</v>
      </c>
      <c r="AC581" s="9">
        <v>21901.98</v>
      </c>
      <c r="AD581" s="45">
        <f t="shared" ref="AD581:AD588" si="236">R581+U581+X581+AA581</f>
        <v>11671421.000000002</v>
      </c>
      <c r="AE581" s="9">
        <v>0</v>
      </c>
      <c r="AF581" s="9">
        <f t="shared" si="234"/>
        <v>11671421.000000002</v>
      </c>
      <c r="AG581" s="60" t="s">
        <v>515</v>
      </c>
      <c r="AH581" s="14"/>
      <c r="AI581" s="1">
        <f>538854.1+63624.76+538184.06</f>
        <v>1140662.92</v>
      </c>
      <c r="AJ581" s="1">
        <f>44378.82+49792.27</f>
        <v>94171.09</v>
      </c>
    </row>
    <row r="582" spans="1:36" ht="180" x14ac:dyDescent="0.25">
      <c r="A582" s="5">
        <f t="shared" ref="A582:A588" si="237">A581+1</f>
        <v>579</v>
      </c>
      <c r="B582" s="16">
        <v>129365</v>
      </c>
      <c r="C582" s="16">
        <v>695</v>
      </c>
      <c r="D582" s="56" t="s">
        <v>143</v>
      </c>
      <c r="E582" s="121" t="s">
        <v>1227</v>
      </c>
      <c r="F582" s="127" t="s">
        <v>2079</v>
      </c>
      <c r="G582" s="122" t="s">
        <v>74</v>
      </c>
      <c r="H582" s="5" t="s">
        <v>362</v>
      </c>
      <c r="I582" s="61" t="s">
        <v>2080</v>
      </c>
      <c r="J582" s="64">
        <v>44188</v>
      </c>
      <c r="K582" s="64">
        <v>45069</v>
      </c>
      <c r="L582" s="17">
        <f t="shared" si="235"/>
        <v>83.983862328307552</v>
      </c>
      <c r="M582" s="5" t="s">
        <v>1585</v>
      </c>
      <c r="N582" s="5" t="s">
        <v>262</v>
      </c>
      <c r="O582" s="5" t="s">
        <v>137</v>
      </c>
      <c r="P582" s="3" t="s">
        <v>138</v>
      </c>
      <c r="Q582" s="63" t="s">
        <v>34</v>
      </c>
      <c r="R582" s="4">
        <f t="shared" si="230"/>
        <v>5064322.6399999997</v>
      </c>
      <c r="S582" s="9">
        <v>4083934.8599999994</v>
      </c>
      <c r="T582" s="9">
        <v>980387.78</v>
      </c>
      <c r="U582" s="4">
        <f t="shared" si="231"/>
        <v>0</v>
      </c>
      <c r="V582" s="54">
        <v>0</v>
      </c>
      <c r="W582" s="54">
        <v>0</v>
      </c>
      <c r="X582" s="4">
        <f t="shared" si="232"/>
        <v>965791.3600000001</v>
      </c>
      <c r="Y582" s="9">
        <v>720694.56</v>
      </c>
      <c r="Z582" s="9">
        <v>245096.8</v>
      </c>
      <c r="AA582" s="9">
        <f t="shared" si="233"/>
        <v>0</v>
      </c>
      <c r="AB582" s="9">
        <v>0</v>
      </c>
      <c r="AC582" s="9">
        <v>0</v>
      </c>
      <c r="AD582" s="45">
        <f t="shared" si="236"/>
        <v>6030114</v>
      </c>
      <c r="AE582" s="9">
        <v>0</v>
      </c>
      <c r="AF582" s="9">
        <f t="shared" si="234"/>
        <v>6030114</v>
      </c>
      <c r="AG582" s="60" t="s">
        <v>515</v>
      </c>
      <c r="AH582" s="14"/>
      <c r="AI582" s="1">
        <f>66550.23</f>
        <v>66550.23</v>
      </c>
      <c r="AJ582" s="1">
        <v>0</v>
      </c>
    </row>
    <row r="583" spans="1:36" ht="204.75" x14ac:dyDescent="0.25">
      <c r="A583" s="5">
        <f t="shared" si="237"/>
        <v>580</v>
      </c>
      <c r="B583" s="16">
        <v>136668</v>
      </c>
      <c r="C583" s="16">
        <v>865</v>
      </c>
      <c r="D583" s="56" t="s">
        <v>143</v>
      </c>
      <c r="E583" s="121" t="s">
        <v>1954</v>
      </c>
      <c r="F583" s="127" t="s">
        <v>2081</v>
      </c>
      <c r="G583" s="122" t="s">
        <v>550</v>
      </c>
      <c r="H583" s="5" t="s">
        <v>1987</v>
      </c>
      <c r="I583" s="61" t="s">
        <v>2082</v>
      </c>
      <c r="J583" s="64">
        <v>44188</v>
      </c>
      <c r="K583" s="64">
        <v>45089</v>
      </c>
      <c r="L583" s="17">
        <f t="shared" si="235"/>
        <v>83.983862732578785</v>
      </c>
      <c r="M583" s="5" t="s">
        <v>1585</v>
      </c>
      <c r="N583" s="5" t="s">
        <v>262</v>
      </c>
      <c r="O583" s="5" t="s">
        <v>137</v>
      </c>
      <c r="P583" s="3" t="s">
        <v>138</v>
      </c>
      <c r="Q583" s="63" t="s">
        <v>34</v>
      </c>
      <c r="R583" s="4">
        <f t="shared" si="230"/>
        <v>9968940.4899999965</v>
      </c>
      <c r="S583" s="9">
        <v>8039081.9599999972</v>
      </c>
      <c r="T583" s="9">
        <v>1929858.5299999996</v>
      </c>
      <c r="U583" s="4">
        <f t="shared" si="231"/>
        <v>698109.6399999999</v>
      </c>
      <c r="V583" s="54">
        <v>515908.92</v>
      </c>
      <c r="W583" s="54">
        <v>182200.71999999997</v>
      </c>
      <c r="X583" s="4">
        <f t="shared" si="232"/>
        <v>1203016.53</v>
      </c>
      <c r="Y583" s="9">
        <v>902752.61</v>
      </c>
      <c r="Z583" s="9">
        <v>300263.92</v>
      </c>
      <c r="AA583" s="9">
        <f t="shared" si="233"/>
        <v>0</v>
      </c>
      <c r="AB583" s="9">
        <v>0</v>
      </c>
      <c r="AC583" s="9">
        <v>0</v>
      </c>
      <c r="AD583" s="45">
        <f t="shared" si="236"/>
        <v>11870066.659999996</v>
      </c>
      <c r="AE583" s="9">
        <v>0</v>
      </c>
      <c r="AF583" s="9">
        <f t="shared" si="234"/>
        <v>11870066.659999996</v>
      </c>
      <c r="AG583" s="60" t="s">
        <v>515</v>
      </c>
      <c r="AH583" s="14"/>
      <c r="AI583" s="1">
        <f>498000+242382.68</f>
        <v>740382.67999999993</v>
      </c>
      <c r="AJ583" s="1">
        <v>40451.449999999997</v>
      </c>
    </row>
    <row r="584" spans="1:36" ht="180" x14ac:dyDescent="0.25">
      <c r="A584" s="5">
        <f t="shared" si="237"/>
        <v>581</v>
      </c>
      <c r="B584" s="16">
        <v>136584</v>
      </c>
      <c r="C584" s="16">
        <v>867</v>
      </c>
      <c r="D584" s="56" t="s">
        <v>143</v>
      </c>
      <c r="E584" s="121" t="s">
        <v>1954</v>
      </c>
      <c r="F584" s="127" t="s">
        <v>2083</v>
      </c>
      <c r="G584" s="5" t="s">
        <v>2193</v>
      </c>
      <c r="H584" s="5" t="s">
        <v>1987</v>
      </c>
      <c r="I584" s="61" t="s">
        <v>2084</v>
      </c>
      <c r="J584" s="64">
        <v>44188</v>
      </c>
      <c r="K584" s="64">
        <v>45283</v>
      </c>
      <c r="L584" s="17">
        <f t="shared" si="235"/>
        <v>83.983863185742621</v>
      </c>
      <c r="M584" s="5" t="s">
        <v>1585</v>
      </c>
      <c r="N584" s="5" t="s">
        <v>262</v>
      </c>
      <c r="O584" s="5" t="s">
        <v>137</v>
      </c>
      <c r="P584" s="3" t="s">
        <v>138</v>
      </c>
      <c r="Q584" s="63" t="s">
        <v>34</v>
      </c>
      <c r="R584" s="4">
        <f t="shared" si="230"/>
        <v>8836684.2599999998</v>
      </c>
      <c r="S584" s="9">
        <v>7126015.9400000004</v>
      </c>
      <c r="T584" s="9">
        <v>1710668.3199999987</v>
      </c>
      <c r="U584" s="4">
        <f t="shared" si="231"/>
        <v>721551.53999999992</v>
      </c>
      <c r="V584" s="54">
        <v>533232.69999999995</v>
      </c>
      <c r="W584" s="54">
        <v>188318.83999999997</v>
      </c>
      <c r="X584" s="4">
        <f t="shared" si="232"/>
        <v>963647.72</v>
      </c>
      <c r="Y584" s="9">
        <v>724299.51</v>
      </c>
      <c r="Z584" s="9">
        <v>239348.21</v>
      </c>
      <c r="AA584" s="9">
        <f t="shared" si="233"/>
        <v>0</v>
      </c>
      <c r="AB584" s="9">
        <v>0</v>
      </c>
      <c r="AC584" s="9">
        <v>0</v>
      </c>
      <c r="AD584" s="45">
        <f t="shared" si="236"/>
        <v>10521883.52</v>
      </c>
      <c r="AE584" s="9">
        <v>0</v>
      </c>
      <c r="AF584" s="9">
        <f t="shared" si="234"/>
        <v>10521883.52</v>
      </c>
      <c r="AG584" s="60" t="s">
        <v>515</v>
      </c>
      <c r="AH584" s="14"/>
      <c r="AI584" s="1">
        <f>500000-26815.53</f>
        <v>473184.47</v>
      </c>
      <c r="AJ584" s="1">
        <v>26815.53</v>
      </c>
    </row>
    <row r="585" spans="1:36" ht="180" x14ac:dyDescent="0.25">
      <c r="A585" s="5">
        <f t="shared" si="237"/>
        <v>582</v>
      </c>
      <c r="B585" s="16">
        <v>142520</v>
      </c>
      <c r="C585" s="16">
        <v>871</v>
      </c>
      <c r="D585" s="56" t="s">
        <v>2110</v>
      </c>
      <c r="E585" s="121" t="s">
        <v>2109</v>
      </c>
      <c r="F585" s="127" t="s">
        <v>2106</v>
      </c>
      <c r="G585" s="122" t="s">
        <v>99</v>
      </c>
      <c r="H585" s="5" t="s">
        <v>2107</v>
      </c>
      <c r="I585" s="61" t="s">
        <v>2108</v>
      </c>
      <c r="J585" s="64">
        <v>44237</v>
      </c>
      <c r="K585" s="64">
        <v>45270</v>
      </c>
      <c r="L585" s="17">
        <f t="shared" si="235"/>
        <v>83.983862838235396</v>
      </c>
      <c r="M585" s="5" t="s">
        <v>1585</v>
      </c>
      <c r="N585" s="5" t="s">
        <v>262</v>
      </c>
      <c r="O585" s="5" t="s">
        <v>137</v>
      </c>
      <c r="P585" s="3" t="s">
        <v>138</v>
      </c>
      <c r="Q585" s="63" t="s">
        <v>34</v>
      </c>
      <c r="R585" s="4">
        <f t="shared" si="230"/>
        <v>98115055.239999995</v>
      </c>
      <c r="S585" s="9">
        <v>79121243.75999999</v>
      </c>
      <c r="T585" s="9">
        <v>18993811.48</v>
      </c>
      <c r="U585" s="4">
        <f t="shared" si="231"/>
        <v>0</v>
      </c>
      <c r="V585" s="54">
        <v>0</v>
      </c>
      <c r="W585" s="54">
        <v>0</v>
      </c>
      <c r="X585" s="4">
        <f t="shared" si="232"/>
        <v>18711025.300000001</v>
      </c>
      <c r="Y585" s="9">
        <v>13962572.42954802</v>
      </c>
      <c r="Z585" s="9">
        <v>4748452.8704519821</v>
      </c>
      <c r="AA585" s="9">
        <f t="shared" si="233"/>
        <v>0</v>
      </c>
      <c r="AB585" s="9">
        <v>0</v>
      </c>
      <c r="AC585" s="9">
        <v>0</v>
      </c>
      <c r="AD585" s="45">
        <f t="shared" si="236"/>
        <v>116826080.53999999</v>
      </c>
      <c r="AE585" s="9">
        <v>17637270.609999999</v>
      </c>
      <c r="AF585" s="9">
        <f t="shared" si="234"/>
        <v>134463351.14999998</v>
      </c>
      <c r="AG585" s="60" t="s">
        <v>1667</v>
      </c>
      <c r="AH585" s="14"/>
      <c r="AI585" s="1">
        <v>0</v>
      </c>
      <c r="AJ585" s="1">
        <v>0</v>
      </c>
    </row>
    <row r="586" spans="1:36" ht="180" x14ac:dyDescent="0.25">
      <c r="A586" s="5">
        <f t="shared" si="237"/>
        <v>583</v>
      </c>
      <c r="B586" s="16">
        <v>134321</v>
      </c>
      <c r="C586" s="16">
        <v>860</v>
      </c>
      <c r="D586" s="56" t="s">
        <v>143</v>
      </c>
      <c r="E586" s="121" t="s">
        <v>1954</v>
      </c>
      <c r="F586" s="127" t="s">
        <v>2121</v>
      </c>
      <c r="G586" s="122" t="s">
        <v>2120</v>
      </c>
      <c r="H586" s="5" t="s">
        <v>362</v>
      </c>
      <c r="I586" s="61" t="s">
        <v>2122</v>
      </c>
      <c r="J586" s="64">
        <v>44252</v>
      </c>
      <c r="K586" s="64">
        <v>45163</v>
      </c>
      <c r="L586" s="17">
        <f t="shared" si="235"/>
        <v>83.983862849138816</v>
      </c>
      <c r="M586" s="5" t="s">
        <v>1585</v>
      </c>
      <c r="N586" s="5" t="s">
        <v>262</v>
      </c>
      <c r="O586" s="5" t="s">
        <v>137</v>
      </c>
      <c r="P586" s="3" t="s">
        <v>138</v>
      </c>
      <c r="Q586" s="63" t="s">
        <v>34</v>
      </c>
      <c r="R586" s="4">
        <f t="shared" si="230"/>
        <v>6163224.3899999987</v>
      </c>
      <c r="S586" s="9">
        <v>4970103.5099999988</v>
      </c>
      <c r="T586" s="9">
        <v>1193120.8799999999</v>
      </c>
      <c r="U586" s="4">
        <f t="shared" si="231"/>
        <v>0</v>
      </c>
      <c r="V586" s="54">
        <v>0</v>
      </c>
      <c r="W586" s="54">
        <v>0</v>
      </c>
      <c r="X586" s="4">
        <f t="shared" si="232"/>
        <v>1175357.31</v>
      </c>
      <c r="Y586" s="9">
        <v>877077.08</v>
      </c>
      <c r="Z586" s="9">
        <v>298280.23</v>
      </c>
      <c r="AA586" s="9">
        <f t="shared" si="233"/>
        <v>0</v>
      </c>
      <c r="AB586" s="9">
        <v>0</v>
      </c>
      <c r="AC586" s="9">
        <v>0</v>
      </c>
      <c r="AD586" s="45">
        <f t="shared" si="236"/>
        <v>7338581.6999999993</v>
      </c>
      <c r="AE586" s="9">
        <v>0</v>
      </c>
      <c r="AF586" s="9">
        <f t="shared" si="234"/>
        <v>7338581.6999999993</v>
      </c>
      <c r="AG586" s="60" t="s">
        <v>1667</v>
      </c>
      <c r="AH586" s="14"/>
      <c r="AI586" s="1">
        <v>42780.58</v>
      </c>
      <c r="AJ586" s="1">
        <v>0</v>
      </c>
    </row>
    <row r="587" spans="1:36" ht="180" x14ac:dyDescent="0.25">
      <c r="A587" s="5">
        <f t="shared" si="237"/>
        <v>584</v>
      </c>
      <c r="B587" s="16">
        <v>134092</v>
      </c>
      <c r="C587" s="16">
        <v>864</v>
      </c>
      <c r="D587" s="56" t="s">
        <v>143</v>
      </c>
      <c r="E587" s="121" t="s">
        <v>1954</v>
      </c>
      <c r="F587" s="127" t="s">
        <v>2129</v>
      </c>
      <c r="G587" s="122" t="s">
        <v>2128</v>
      </c>
      <c r="H587" s="5" t="s">
        <v>2130</v>
      </c>
      <c r="I587" s="61" t="s">
        <v>2131</v>
      </c>
      <c r="J587" s="64">
        <v>44267</v>
      </c>
      <c r="K587" s="64">
        <v>44816</v>
      </c>
      <c r="L587" s="17">
        <f t="shared" si="235"/>
        <v>83.983862883683784</v>
      </c>
      <c r="M587" s="5" t="s">
        <v>1585</v>
      </c>
      <c r="N587" s="5" t="s">
        <v>262</v>
      </c>
      <c r="O587" s="5" t="s">
        <v>137</v>
      </c>
      <c r="P587" s="3" t="s">
        <v>138</v>
      </c>
      <c r="Q587" s="63" t="s">
        <v>34</v>
      </c>
      <c r="R587" s="4">
        <f t="shared" si="230"/>
        <v>3719903.0000000009</v>
      </c>
      <c r="S587" s="9">
        <v>2999777.6600000006</v>
      </c>
      <c r="T587" s="9">
        <v>720125.34000000008</v>
      </c>
      <c r="U587" s="4">
        <f t="shared" si="231"/>
        <v>0</v>
      </c>
      <c r="V587" s="54">
        <v>0</v>
      </c>
      <c r="W587" s="54">
        <v>0</v>
      </c>
      <c r="X587" s="4">
        <f t="shared" si="232"/>
        <v>709403.8600000001</v>
      </c>
      <c r="Y587" s="9">
        <v>529372.54</v>
      </c>
      <c r="Z587" s="9">
        <v>180031.32</v>
      </c>
      <c r="AA587" s="9">
        <f t="shared" si="233"/>
        <v>0</v>
      </c>
      <c r="AB587" s="9">
        <v>0</v>
      </c>
      <c r="AC587" s="9">
        <v>0</v>
      </c>
      <c r="AD587" s="45">
        <f t="shared" si="236"/>
        <v>4429306.8600000013</v>
      </c>
      <c r="AE587" s="9">
        <v>0</v>
      </c>
      <c r="AF587" s="9">
        <f t="shared" si="234"/>
        <v>4429306.8600000013</v>
      </c>
      <c r="AG587" s="60" t="s">
        <v>1667</v>
      </c>
      <c r="AH587" s="14"/>
      <c r="AI587" s="1">
        <v>0</v>
      </c>
      <c r="AJ587" s="1">
        <v>0</v>
      </c>
    </row>
    <row r="588" spans="1:36" ht="180" x14ac:dyDescent="0.25">
      <c r="A588" s="5">
        <f t="shared" si="237"/>
        <v>585</v>
      </c>
      <c r="B588" s="16">
        <v>129984</v>
      </c>
      <c r="C588" s="16">
        <v>727</v>
      </c>
      <c r="D588" s="56" t="s">
        <v>143</v>
      </c>
      <c r="E588" s="121" t="s">
        <v>1227</v>
      </c>
      <c r="F588" s="127" t="s">
        <v>2135</v>
      </c>
      <c r="G588" s="122" t="s">
        <v>2136</v>
      </c>
      <c r="H588" s="5" t="s">
        <v>362</v>
      </c>
      <c r="I588" s="61" t="s">
        <v>2137</v>
      </c>
      <c r="J588" s="64">
        <v>44273</v>
      </c>
      <c r="K588" s="64">
        <v>45003</v>
      </c>
      <c r="L588" s="17">
        <f t="shared" si="235"/>
        <v>83.983862919401076</v>
      </c>
      <c r="M588" s="5" t="s">
        <v>1585</v>
      </c>
      <c r="N588" s="5" t="s">
        <v>262</v>
      </c>
      <c r="O588" s="5" t="s">
        <v>137</v>
      </c>
      <c r="P588" s="3" t="s">
        <v>138</v>
      </c>
      <c r="Q588" s="63" t="s">
        <v>34</v>
      </c>
      <c r="R588" s="4">
        <f t="shared" si="230"/>
        <v>4109527.38</v>
      </c>
      <c r="S588" s="9">
        <v>3313975.8</v>
      </c>
      <c r="T588" s="9">
        <v>795551.58000000007</v>
      </c>
      <c r="U588" s="4">
        <f t="shared" si="231"/>
        <v>0</v>
      </c>
      <c r="V588" s="54">
        <v>0</v>
      </c>
      <c r="W588" s="54">
        <v>0</v>
      </c>
      <c r="X588" s="4">
        <f t="shared" si="232"/>
        <v>783707.15</v>
      </c>
      <c r="Y588" s="9">
        <v>584819.24180504959</v>
      </c>
      <c r="Z588" s="9">
        <v>198887.9081949504</v>
      </c>
      <c r="AA588" s="9">
        <f t="shared" si="233"/>
        <v>0</v>
      </c>
      <c r="AB588" s="9">
        <v>0</v>
      </c>
      <c r="AC588" s="9">
        <v>0</v>
      </c>
      <c r="AD588" s="45">
        <f t="shared" si="236"/>
        <v>4893234.53</v>
      </c>
      <c r="AE588" s="9">
        <v>0</v>
      </c>
      <c r="AF588" s="9">
        <f t="shared" si="234"/>
        <v>4893234.53</v>
      </c>
      <c r="AG588" s="60" t="s">
        <v>1667</v>
      </c>
      <c r="AH588" s="14"/>
      <c r="AI588" s="1">
        <v>0</v>
      </c>
      <c r="AJ588" s="1">
        <v>0</v>
      </c>
    </row>
    <row r="589" spans="1:36" x14ac:dyDescent="0.25">
      <c r="R589" s="24">
        <f>SUM(R4:R588)</f>
        <v>3291205236.9083905</v>
      </c>
      <c r="S589" s="24">
        <f t="shared" ref="S589:AJ589" si="238">SUM(S4:S588)</f>
        <v>2744042444.5826197</v>
      </c>
      <c r="T589" s="24">
        <f t="shared" si="238"/>
        <v>547162792.32576787</v>
      </c>
      <c r="U589" s="24">
        <f t="shared" si="238"/>
        <v>146233100.88999993</v>
      </c>
      <c r="V589" s="24">
        <f t="shared" si="238"/>
        <v>122402511.15000008</v>
      </c>
      <c r="W589" s="24">
        <f t="shared" si="238"/>
        <v>23830589.74000001</v>
      </c>
      <c r="X589" s="24">
        <f t="shared" si="238"/>
        <v>474777320.65894473</v>
      </c>
      <c r="Y589" s="24">
        <f t="shared" si="238"/>
        <v>361880505.51316369</v>
      </c>
      <c r="Z589" s="24">
        <f t="shared" si="238"/>
        <v>112896815.14578106</v>
      </c>
      <c r="AA589" s="24">
        <f t="shared" si="238"/>
        <v>3924903.2038636641</v>
      </c>
      <c r="AB589" s="24">
        <f t="shared" si="238"/>
        <v>3197089.3699999992</v>
      </c>
      <c r="AC589" s="24">
        <f t="shared" si="238"/>
        <v>727813.83386366197</v>
      </c>
      <c r="AD589" s="24">
        <f t="shared" si="238"/>
        <v>3916140561.6611986</v>
      </c>
      <c r="AE589" s="24">
        <f t="shared" si="238"/>
        <v>47638045.349999994</v>
      </c>
      <c r="AF589" s="24">
        <f t="shared" si="238"/>
        <v>3963778607.0111985</v>
      </c>
      <c r="AG589" s="24"/>
      <c r="AH589" s="24"/>
      <c r="AI589" s="24">
        <f t="shared" si="238"/>
        <v>1058815359.0799991</v>
      </c>
      <c r="AJ589" s="24">
        <f t="shared" si="238"/>
        <v>56586617.347299956</v>
      </c>
    </row>
    <row r="590" spans="1:36" x14ac:dyDescent="0.25">
      <c r="R590" s="24"/>
      <c r="S590" s="24"/>
      <c r="T590" s="24"/>
      <c r="U590" s="24"/>
      <c r="X590" s="24"/>
      <c r="Y590" s="24"/>
      <c r="Z590" s="24"/>
      <c r="AA590" s="24"/>
      <c r="AB590" s="24"/>
      <c r="AC590" s="24"/>
      <c r="AD590" s="24"/>
      <c r="AE590" s="24"/>
    </row>
    <row r="591" spans="1:36" x14ac:dyDescent="0.25">
      <c r="R591" s="24"/>
      <c r="S591" s="24"/>
      <c r="T591" s="24"/>
      <c r="U591" s="24"/>
      <c r="X591" s="24"/>
      <c r="Y591" s="24"/>
      <c r="Z591" s="10" t="s">
        <v>2228</v>
      </c>
      <c r="AA591" s="227">
        <v>4.9215</v>
      </c>
      <c r="AB591" s="10"/>
      <c r="AC591" s="10"/>
      <c r="AD591" s="10">
        <f>AD589/AA591</f>
        <v>795720930.94812524</v>
      </c>
      <c r="AE591" s="24"/>
    </row>
    <row r="592" spans="1:36" x14ac:dyDescent="0.25">
      <c r="R592" s="24"/>
      <c r="S592" s="24"/>
      <c r="T592" s="24"/>
      <c r="U592" s="24"/>
      <c r="X592" s="24"/>
      <c r="Y592" s="24"/>
      <c r="Z592" s="24"/>
      <c r="AA592" s="24"/>
      <c r="AB592" s="24"/>
      <c r="AC592" s="24"/>
      <c r="AD592" s="24"/>
      <c r="AE592" s="24"/>
    </row>
    <row r="593" spans="18:31" x14ac:dyDescent="0.25">
      <c r="R593" s="24"/>
      <c r="S593" s="24"/>
      <c r="T593" s="24"/>
      <c r="U593" s="24"/>
      <c r="X593" s="24"/>
      <c r="Y593" s="24"/>
      <c r="Z593" s="24"/>
      <c r="AA593" s="24"/>
      <c r="AB593" s="24"/>
      <c r="AC593" s="24"/>
      <c r="AD593" s="24"/>
      <c r="AE593" s="24"/>
    </row>
    <row r="594" spans="18:31" x14ac:dyDescent="0.25">
      <c r="R594" s="24"/>
      <c r="S594" s="24"/>
      <c r="T594" s="24"/>
      <c r="U594" s="24"/>
      <c r="X594" s="24"/>
      <c r="Y594" s="24"/>
      <c r="Z594" s="24"/>
      <c r="AA594" s="24"/>
      <c r="AB594" s="24"/>
      <c r="AC594" s="24"/>
      <c r="AD594" s="24"/>
      <c r="AE594" s="24"/>
    </row>
    <row r="595" spans="18:31" x14ac:dyDescent="0.25">
      <c r="R595" s="24"/>
      <c r="S595" s="24"/>
      <c r="T595" s="24"/>
      <c r="U595" s="24"/>
      <c r="X595" s="24"/>
      <c r="Y595" s="24"/>
      <c r="Z595" s="24"/>
      <c r="AA595" s="24"/>
      <c r="AB595" s="24"/>
      <c r="AC595" s="24"/>
      <c r="AD595" s="24"/>
      <c r="AE595" s="24"/>
    </row>
    <row r="596" spans="18:31" x14ac:dyDescent="0.25">
      <c r="R596" s="24"/>
      <c r="S596" s="24"/>
      <c r="T596" s="24"/>
      <c r="U596" s="24"/>
      <c r="X596" s="24"/>
      <c r="Y596" s="24"/>
      <c r="Z596" s="24"/>
      <c r="AA596" s="24"/>
      <c r="AB596" s="24"/>
      <c r="AC596" s="24"/>
      <c r="AD596" s="24"/>
      <c r="AE596" s="24"/>
    </row>
    <row r="597" spans="18:31" x14ac:dyDescent="0.25">
      <c r="R597" s="24"/>
      <c r="S597" s="24"/>
      <c r="T597" s="24"/>
      <c r="U597" s="24"/>
      <c r="X597" s="24"/>
      <c r="Y597" s="24"/>
      <c r="Z597" s="24"/>
      <c r="AA597" s="24"/>
      <c r="AB597" s="24"/>
      <c r="AC597" s="24"/>
      <c r="AD597" s="24"/>
      <c r="AE597" s="24"/>
    </row>
    <row r="598" spans="18:31" x14ac:dyDescent="0.25">
      <c r="R598" s="24"/>
      <c r="S598" s="24"/>
      <c r="T598" s="24"/>
      <c r="U598" s="24"/>
      <c r="X598" s="24"/>
      <c r="Y598" s="24"/>
      <c r="Z598" s="24"/>
      <c r="AA598" s="24"/>
      <c r="AB598" s="24"/>
      <c r="AC598" s="24"/>
      <c r="AD598" s="24"/>
      <c r="AE598" s="24"/>
    </row>
    <row r="599" spans="18:31" x14ac:dyDescent="0.25">
      <c r="R599" s="24"/>
      <c r="S599" s="24"/>
      <c r="T599" s="24"/>
      <c r="U599" s="24"/>
      <c r="X599" s="24"/>
      <c r="Y599" s="24"/>
      <c r="Z599" s="24"/>
      <c r="AA599" s="24"/>
      <c r="AB599" s="24"/>
      <c r="AC599" s="24"/>
      <c r="AD599" s="24"/>
      <c r="AE599" s="24"/>
    </row>
    <row r="600" spans="18:31" x14ac:dyDescent="0.25">
      <c r="R600" s="24"/>
      <c r="S600" s="24"/>
      <c r="T600" s="24"/>
      <c r="U600" s="24"/>
      <c r="X600" s="24"/>
      <c r="Y600" s="24"/>
      <c r="Z600" s="24"/>
      <c r="AA600" s="24"/>
      <c r="AB600" s="24"/>
      <c r="AC600" s="24"/>
      <c r="AD600" s="24"/>
      <c r="AE600" s="24"/>
    </row>
    <row r="601" spans="18:31" x14ac:dyDescent="0.25">
      <c r="R601" s="24"/>
      <c r="S601" s="24"/>
      <c r="T601" s="24"/>
      <c r="U601" s="24"/>
      <c r="X601" s="24"/>
      <c r="Y601" s="24"/>
      <c r="Z601" s="24"/>
      <c r="AA601" s="24"/>
      <c r="AB601" s="24"/>
      <c r="AC601" s="24"/>
      <c r="AD601" s="24"/>
      <c r="AE601" s="24"/>
    </row>
    <row r="602" spans="18:31" x14ac:dyDescent="0.25">
      <c r="R602" s="24"/>
      <c r="S602" s="24"/>
      <c r="T602" s="24"/>
      <c r="U602" s="24"/>
      <c r="X602" s="24"/>
      <c r="Y602" s="24"/>
      <c r="Z602" s="24"/>
      <c r="AA602" s="24"/>
      <c r="AB602" s="24"/>
      <c r="AC602" s="24"/>
      <c r="AD602" s="24"/>
      <c r="AE602" s="24"/>
    </row>
    <row r="603" spans="18:31" x14ac:dyDescent="0.25">
      <c r="R603" s="24"/>
      <c r="S603" s="24"/>
      <c r="T603" s="24"/>
      <c r="U603" s="24"/>
      <c r="X603" s="24"/>
      <c r="Y603" s="24"/>
      <c r="Z603" s="24"/>
      <c r="AA603" s="24"/>
      <c r="AB603" s="24"/>
      <c r="AC603" s="24"/>
      <c r="AD603" s="24"/>
      <c r="AE603" s="24"/>
    </row>
    <row r="604" spans="18:31" x14ac:dyDescent="0.25">
      <c r="R604" s="24"/>
      <c r="S604" s="24"/>
      <c r="T604" s="24"/>
      <c r="U604" s="24"/>
      <c r="X604" s="24"/>
      <c r="Y604" s="24"/>
      <c r="Z604" s="24"/>
      <c r="AA604" s="24"/>
      <c r="AB604" s="24"/>
      <c r="AC604" s="24"/>
      <c r="AD604" s="24"/>
      <c r="AE604" s="24"/>
    </row>
    <row r="605" spans="18:31" x14ac:dyDescent="0.25">
      <c r="R605" s="24"/>
      <c r="S605" s="24"/>
      <c r="T605" s="24"/>
      <c r="U605" s="24"/>
      <c r="X605" s="24"/>
      <c r="Y605" s="24"/>
      <c r="Z605" s="24"/>
      <c r="AA605" s="24"/>
      <c r="AB605" s="24"/>
      <c r="AC605" s="24"/>
      <c r="AD605" s="24"/>
      <c r="AE605" s="24"/>
    </row>
  </sheetData>
  <protectedRanges>
    <protectedRange sqref="H1:H2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C389 AB391:AC393 Y225:Z231 AB221:AC223 W94 E400 Y397:Z399 V390:W399 S390:T399 AE390:AE399 C270 AB395:AC399 E397:K399 AH391:AJ392 M205 B20:C21 D401:K403 C264 AH403:AJ403 C245 B154:B156 M157:M160 D409:K412 Q413 Q401:Q410 R83:T83 W83 F195:K195 AE196:AE198 AB196:AC198 E167:K167 R26:T26 Q381:Q399 F220 E26:K26 E303:K303 AH415:AJ415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3 V465:W466 AE215 AB465:AC466 C253:C258 E30:K33 F447:K447 G450 F271:K271 F448:G449 Q447:Q466 F148:K148 R93:T94 AB71:AC73 AE305 E448:E455 B265:C269 C273 D406 E270:K270 E205:F206 E379:K380 D390:K390 B63:C69 S215:T215 Y215:Z215 E459:E466 F461:K463 M215:O215 R234:T234 Y157:Z160 AH57:AH59 AH119:AH121 AK128:XFD130 AK142:XFD146 AH181:AH188 AK200:XFD203 AK220:XFD223 P37:P38 B271:C272 AH261:XFD276 M83:P83 M49:P49 S31:T33 F93:K94 E71:K71 I1:XFD3 C232 M119:P119 E468:E470 AE214:AF214 Y447:Z466 AB447:AC447 S447:T466 V447:W463 H448:K450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B119:C121 Y220:Z223 AB126:AC126 M126:Q126 S128:T130 I128:K130 AB205:AC208 S205:T213 AE205:AE213 E64:E67 H63:K69 AK93:XFD99 B132:C140 V132:W138 AE132:AE140 AB132:AC134 Y132:Z139 S132:T139 B49:C51 E132:K137 F138:K139 F96:K98 E182:E184 F181:K184 E284:E287 S170:T173 Y170:Z173 AB170:AC171 V170:W173 E52 H52:H54 M50:Q50 E49:K51 AE49:AE51 AH49:AH51 AB189:AC194 S189:S191 E189 S49:T54 Y49:Z54 AB49:AC54 B148:C151 W139 S260:T279 V260:W279 Y260:Z279 AE260:AE279 AB260:AC264 B225:C231 Y14:Z14 S14:T14 AB14:AC14 AH14:AH18 E14:F14 M170:O173 F73:K73 Y305:Z305 S305:T305 E111:E112 O181:O184 M181:M184 AH305 B6:C11 M192:P194 AK63:XFD69 AB119:AC121 AE119:AE126 S119:T126 C235 Q235 S235:T235 V233:W235 AE225:AE235 Y233:Z235 AB225:AC235 M235:O235 M303:O303 AB401:AC406 Y303:Z303 AE303 V303:W303 S303:T303 Q425:Q443 E431:K437 AK14:XFD18 AH240:XFD241 B35:C38 AK236:XFD239 B305 E253:K254 AB377:AC380 Y205:Z213 AK496:XFD509 AB35:AC38 I35:K38 E35:G35 E142:K146 M145:P146 C376:C399 M234:P234 M30:P33 AK157:XFD160 M93:P94 M264:Q264 M265:P265 M84:T86 M240:T241 M232:T232 M270:Q276 M95:T98 M214:T214 AB163:AC165 AH162:AH165 E163:E164 G89 M135:Q136 P23 G23 AE14 V56:W59 V142:W146 V200:W203 V14:W14 V49:W54 V63:W69 V305:W305 V93:W93 V95:W98 V181:W184 V128:W130 V220:W223 Y85:AC85 Y86:Z86 Y200:Z203 Y119:Z126 Y93:Z98 Y181:Z184 Y189:Z194 Y214:AC214 AK26:XFD26 AK162:XFD165 B14:C14 B157:C160 AK167:XFD174 B71:C75 AH225:AH229 AK225:XFD229 AK7:XFD11 AI260:XFD260 AK49:XFD54 AI376:XFD376 AK305:XFD305 B233:C234 AH447:XFD450 AK205:XFD218 AH429:AJ431 AI298:XFD298 E511:E522 AB173:AC173 AB266:AC270 AB272:AC275 AB382:AC387 AB303:AC303 AB430:AC430 AB432:AC445 AB450:AC459 AB461:AC463 AB75:AC76 AB78:AC84 AB136:AC140 AB146:AC146 E46:E47 AI277:XFD279 V119:W126 V189:W194 V205:W218 AH379:XFD379 E222:F223 E496:E509 AH434:AJ445 AH455:AJ467 AH299:XFD299 AH387:XFD388 AK511:XFD588 E9:K9 H305:K305 G185:G188 F36:G36 O35:P36 B220:C223 F37:F38 AE148:AE152 E272:K276 F277:G279 I277:K279 E200:K201 F202:G203 I202:K203 M200:Q201 AH200:AH201 E207:K207 M207:Q209 M216:T216 Y216:AC218 M266:Q267 C461:C466 F217:K218 F268:K269 E157:K159 O157:P160 F160:K160 G99 R99 AK119:XFD126 AE94:AE99 AH253:XFD258 F231:K232 M202:P203 B200:C203 F130 M128:M130 AK132:XFD140 N27:N29 P27:P29 AK30:XFD44 H242:H244 M253:T254 M268:P269 B142:C146 B193:C194 AK148:XFD152 M138:Q139 M140:P140 B290:C295 AH135:AH140 F255:K258 M255:O258 R255:T257 AE245:AE258 R258 T258 AE290:AE295 V290:Z295 F198:I198 B196:C198 AH230:XFD235 M217:P218 R217:T218 AH216:AH218 AE216:AF218 B216:C218 E40:G44 M40:P44 A1:G3 C372:C374 AH290:XFD295 M210:P213 AH205:AH214 F59 AH303:XFD303 H189:H191 B260:C263 F263:K263 M260:M263 O260:P263 M238:M239 AH238:AH239 M245:P252 R245:T252 V246:Z258 C303 M72:Q72 M78:Q82 H76:K76 H78:K82 AK71:XFD86 V71:W76 V78:W82 AH71:AH76 AH78:AH86 S71:T76 S78:T82 Y71:Z76 Y78:Z84 B76 B78:B82 AE71:AE76 AE78:AE86 E472:E480 AB408:AC428 S401:T445 V401:W445 AE401:AE445 Y402:Z445 AK389:XFD445 Q416:Q421 E413:K428 C403:C445 C122:C125 H101:H102 H104:H105 F295:K295 M277:O279 M122:O125 AH126 E86:K86 E95:K95 B126:C126 AK181:XFD198 E126:K126 B205:C214 E192:K194 E196:K196 E197:I197 E214:K214 E216:K216 E233:F233 E260:K262 E404:K408 E382:K388 D393:K396 E391:K392 O62:O63 E234:K235 E119:K121 F122:K125 E245:I249 F250:I252 G34 E11:K11 E10:F10 H10:K10 H14:K14 E72:F72 H72:K72 F74 H74:K74 F75:K75 G76:G82 E85:F85 H85:K85 G154 G156 F210:K213 F215:K215 E439:K445 E438:F438 H438:K438 G52 F292:K293 G224 E225:K230 E209:K209 E208:F208 H208:K208 AH381:XFD381 N573:O573 G312 G332 G348 G351:G353 G363 G487 G518 G526 G529 G533 G569 E429:F430 H429:K430 E525:E588 O65 O68:O69 M71:N71 P71:Q71 M74:Q76 M73:N73 P73:Q73 N296 M290:T295 M298:O299 N300:O300 N304:O304 M305:Q305 N306:O338 N340:O340 N342:O343 N345:O348 N351:O353 N375:O376 M378:O399 M401:O443 N444:O446 M447:O466 F465:K466 F464 H464:K464 E264:K267 E483:E494 AK451:XFD494 AE389:AF389 AE93:AF93 A589:XFD590 A592:XFD1048576 A591:Y591 AE591:XFD591" name="maria" securityDescriptor="O:WDG:WDD:(A;;CC;;;S-1-5-21-3048853270-2157241324-869001692-3245)(A;;CC;;;S-1-5-21-3048853270-2157241324-869001692-1007)"/>
    <protectedRange sqref="R4:AH4 AA5:AA11 R12:T13 AA14 AB5:AC5 AH55 AH222:AH223 AE12:AE13 AH12:AH13 V12:W13 Y12:AC13 AG5:AG588 AD5:AD588"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F5:AF14 U5:U14 X5:X14 U305 X305 AF19:AF44 X19:X76 X78:X89 U19:U76 U78:U89 X277:X279 U277:U279 U93:U184 X189:X231 U189:U231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G24 D297 D301:D303 D388 D391:D392 D404:D405 D407:D408 D415 D430:D431 D435 D443 D460:D461 D482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O66:O67 E60:K60 M60:O60 N61:N69 O61 O64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7:AF466 AF298:AF299 AF166:AF173 AF179:AF184 AF219:AF232 Y60:Z60 AF496:AF509 AF484:AF494 AF189:AF213 AF234:AF241 AF61:AF86 AF303:AF388 AF468:AF481 AF390:AF445 AF245:AF295 AF94:AF161 AF511:AF588 AE60:AF60" name="maria_1_1_7" securityDescriptor="O:WDG:WDD:(A;;CC;;;S-1-5-21-3048853270-2157241324-869001692-3245)(A;;CC;;;S-1-5-21-3048853270-2157241324-869001692-1007)"/>
    <protectedRange sqref="AE61:AE62 S61:T62 V61:W62 Y61:Z62 AB61:AC62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O73 AB70:AC70 E70:K70 AK70:XFD70 G72 G74 M70:O70 O71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O117 M107:O107 E107:K107 AK107:XFD107 O108 O110:O111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M110:N111 AH108:AH111 E138:E139 E108:K110 E101:E102 AK108:XFD117 AE108:AE117 M109:O109 M117:N117 G117 F111:K116 M108:N108 M112:O116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09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AA78:AA84 AA49 E55:K55 G233 M233 AA86 AK55:XFD55 O233 AA298:AA299 Q233:Q234 AA240:AA241 AA179:AA181 AH56 AA219:AA234 AA126:AA173 AA93:AA121 AA192:AA213 M55:O59 Q55:Q59 AA245:AA295 AA56:AA76 AA304:AA313 G56:G59 B55:C55"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8:U299 R233 AF233 X233:X234 U240:U241 AF55:AF59 R55:R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39:Q339 C401:C402 AA215 B215 R215 I349:K353 B461:B467 AK304:XFD304 U447:U466 R447:R466 B447:B459 AA447:AA466 X447:X466 AH304 H310:K340 H309:J309 M304 X77 U77 R77 R483 X483 T189:T191 R486:AC494 B122:B125 AA122:AA125 R303 AA303 X303 U303 B34 AA34 R34 B235:B239 R307:R405 AA314:AA388 X323:X388 U306:U388 AA77 R495 U495 X495 AA495 R496:AC501 Y512 AA511:AC512 Y511:Z511 R511:X512 R502:AA502 AB319:AC319 AB341:AC341 R503:AC509 G584 G486 R513:AC536 AA235:AA239 R235:R239 X235:X239 U235:U239 AE304 AE306:AE353 B306:B399 B303 AA468:AA481 R468:R481 U468:U481 X468:X481 U390:U445 X391:X445 AA390:AA445 B403:B445 R407:R445 R122:R125 AH260 D338:G340 E336:G336 E345:K347 G477:G479 E321:G321 D342:K344 G495 D333:G335 G488 G521 G527 G532 G538 G544 G549 G560 D337:F337 D324:G330 D322:F323 D320:F320 D306:G311 G460 G564:G565 D312:F312 D331:F332 E348:F348 H348:K348 D350:F353 H350:H353 AA537:AC588 U537:X588 R537:R588 P304:Z304 P306:T306 M306:M338 P307:Q338 M341:Q341 M340 P340:Q340 M344:Q344 M342:M343 P342:Q343 M349:Q350 M345:M348 P345:Q348 M351:M353 P351:Q353 D341:F341 D313:G319 R484:AA485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AB484:AC485 Z236 AB245:AC245 AB265:AC265 AB271:AC271 AB276:AC283 AB286:AC286 AB290:AC290 AB315:AC318 AB342:AC353 AB376:AC376 AB381:AC381 AB388:AC388 AB407:AC407 AB429:AC429 AB431:AC431 AB446:AC446 AB448:AC449 AB460:AC460 AB502:AC502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H34:K34 AB161:AC162 C236:C239"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8:D494 D432:D434 D496:D509 D511:D522 D416:D418 D436:D437 D525:D588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AH376 D387 D379 AH364 AK364:XFD364 D363:F363 H363:K363 H375:K375 M375:M376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483:O509 S467:T467 Y467:Z467 E467:K467 N471:O471 M467:O470 Q467:Q470 Q472:Q475 M77:O77 N510 N52:O54 N189:O191 M472:O481 N511:O572 N574:O588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3"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7:O297 M296 O296" name="maria_48_1" securityDescriptor="O:WDG:WDD:(A;;CC;;;S-1-5-21-3048853270-2157241324-869001692-3245)(A;;CC;;;S-1-5-21-3048853270-2157241324-869001692-1007)"/>
    <protectedRange sqref="F300:G302 R300:T302 V300:Z302 AB300:AC302 I300:K302 M301:O302 AE300:AE302 M300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sqref="AK175:XFD178 V174:W178 AH174:AH178 M174:O178 R174:T178 Y174:AC178 E174:E175 G174:J178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C244 B242:C244 AH242:XFD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0:AC510 O510:P510 AK510:XFD510 AH510 B510:K510 AE510:AF510" name="maria_73" securityDescriptor="O:WDG:WDD:(A;;CC;;;S-1-5-21-3048853270-2157241324-869001692-3245)(A;;CC;;;S-1-5-21-3048853270-2157241324-869001692-1007)"/>
    <protectedRange sqref="Q510"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3:E524" name="maria_2" securityDescriptor="O:WDG:WDD:(A;;CC;;;S-1-5-21-3048853270-2157241324-869001692-3245)(A;;CC;;;S-1-5-21-3048853270-2157241324-869001692-1007)"/>
    <protectedRange sqref="D523:D524" name="maria_36_1_1" securityDescriptor="O:WDG:WDD:(A;;CC;;;S-1-5-21-3048853270-2157241324-869001692-3245)(A;;CC;;;S-1-5-21-3048853270-2157241324-869001692-1007)"/>
    <protectedRange sqref="G523" name="maria_1_42" securityDescriptor="O:WDG:WDD:(A;;CC;;;S-1-5-21-3048853270-2157241324-869001692-3245)(A;;CC;;;S-1-5-21-3048853270-2157241324-869001692-1007)"/>
    <protectedRange sqref="J535:K535" name="maria_1_44" securityDescriptor="O:WDG:WDD:(A;;CC;;;S-1-5-21-3048853270-2157241324-869001692-3245)(A;;CC;;;S-1-5-21-3048853270-2157241324-869001692-1007)"/>
    <protectedRange sqref="I535" name="maria_1_48" securityDescriptor="O:WDG:WDD:(A;;CC;;;S-1-5-21-3048853270-2157241324-869001692-3245)(A;;CC;;;S-1-5-21-3048853270-2157241324-869001692-1007)"/>
    <protectedRange sqref="J537:K552" name="maria_1_2" securityDescriptor="O:WDG:WDD:(A;;CC;;;S-1-5-21-3048853270-2157241324-869001692-3245)(A;;CC;;;S-1-5-21-3048853270-2157241324-869001692-1007)"/>
    <protectedRange sqref="S537:T546" name="maria_1_43" securityDescriptor="O:WDG:WDD:(A;;CC;;;S-1-5-21-3048853270-2157241324-869001692-3245)(A;;CC;;;S-1-5-21-3048853270-2157241324-869001692-1007)"/>
    <protectedRange sqref="Y537:Z552 Y554:Z588" name="maria_1_45" securityDescriptor="O:WDG:WDD:(A;;CC;;;S-1-5-21-3048853270-2157241324-869001692-3245)(A;;CC;;;S-1-5-21-3048853270-2157241324-869001692-1007)"/>
    <protectedRange sqref="B554:C588 B541:C552" name="maria_1_46" securityDescriptor="O:WDG:WDD:(A;;CC;;;S-1-5-21-3048853270-2157241324-869001692-3245)(A;;CC;;;S-1-5-21-3048853270-2157241324-869001692-1007)"/>
    <protectedRange sqref="H545:H552 G331 G556:G559 F544 H544:I544 G561:G563 G548 F541:I543 G530 G524 G506 G499 G375 G350 G337 G322:G323 G320 G566 H554:H588" name="maria_1_47" securityDescriptor="O:WDG:WDD:(A;;CC;;;S-1-5-21-3048853270-2157241324-869001692-3245)(A;;CC;;;S-1-5-21-3048853270-2157241324-869001692-1007)"/>
    <protectedRange sqref="F545:G547 F554:G555 F556:F566 F550:G552 F548:F549" name="maria_1_49" securityDescriptor="O:WDG:WDD:(A;;CC;;;S-1-5-21-3048853270-2157241324-869001692-3245)(A;;CC;;;S-1-5-21-3048853270-2157241324-869001692-1007)"/>
    <protectedRange sqref="I545:I552 I554:I566" name="maria_1_50" securityDescriptor="O:WDG:WDD:(A;;CC;;;S-1-5-21-3048853270-2157241324-869001692-3245)(A;;CC;;;S-1-5-21-3048853270-2157241324-869001692-1007)"/>
    <protectedRange sqref="S547:T552 S554:T588"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3:I553 F553 B553:C553" name="maria_5_47" securityDescriptor="O:WDG:WDD:(A;;CC;;;S-1-5-21-3048853270-2157241324-869001692-3245)(A;;CC;;;S-1-5-21-3048853270-2157241324-869001692-1007)"/>
    <protectedRange sqref="J553:K588" name="maria_5_48" securityDescriptor="O:WDG:WDD:(A;;CC;;;S-1-5-21-3048853270-2157241324-869001692-3245)(A;;CC;;;S-1-5-21-3048853270-2157241324-869001692-1007)"/>
    <protectedRange sqref="Q553:Q588" name="maria_1_5_20" securityDescriptor="O:WDG:WDD:(A;;CC;;;S-1-5-21-3048853270-2157241324-869001692-3245)(A;;CC;;;S-1-5-21-3048853270-2157241324-869001692-1007)"/>
    <protectedRange sqref="S553:T553" name="maria_5_49" securityDescriptor="O:WDG:WDD:(A;;CC;;;S-1-5-21-3048853270-2157241324-869001692-3245)(A;;CC;;;S-1-5-21-3048853270-2157241324-869001692-1007)"/>
    <protectedRange sqref="Y553:Z553" name="maria_5_50" securityDescriptor="O:WDG:WDD:(A;;CC;;;S-1-5-21-3048853270-2157241324-869001692-3245)(A;;CC;;;S-1-5-21-3048853270-2157241324-869001692-1007)"/>
    <protectedRange sqref="G567:G568 G570:G583 G429 G484 G464 G341 G305 G585:G588" name="maria_90" securityDescriptor="O:WDG:WDD:(A;;CC;;;S-1-5-21-3048853270-2157241324-869001692-3245)(A;;CC;;;S-1-5-21-3048853270-2157241324-869001692-1007)"/>
    <protectedRange sqref="F567:F588 I567:I588" name="maria_5_51" securityDescriptor="O:WDG:WDD:(A;;CC;;;S-1-5-21-3048853270-2157241324-869001692-3245)(A;;CC;;;S-1-5-21-3048853270-2157241324-869001692-1007)"/>
    <protectedRange sqref="Z591:AD591" name="maria_94"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4C3EDBAE-0793-411B-9A25-F699663947E1}">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93E5AA04-017F-4DEE-AC14-5745EA9D89F0}"/>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02B7D1B1-BC62-4BC0-859C-7E45F7691440}">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6B3EEB4D-C899-4F1A-88D6-7CE61411599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D3FE645C-92AA-4FAE-8FC2-56A0492E67B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F08B7120-7259-407C-9BBC-A18AE59E7163}"/>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BBFA76B3-F825-4867-ABD3-968B179FC099}"/>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255CFF72-1416-43B2-A226-813CA6D34622}"/>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D774C491-2B7B-4839-8019-3939E451275B}">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6CDD0DDD-ABDA-4144-BA27-7B66AC041604}">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64C4D63B-1558-4C23-942E-05679DA986D2}">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39B78332-06A8-4933-A300-F851AB36C5D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DC8A884A-146A-402E-AE41-6C0557FA26BE}"/>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1AAEF201-AB7D-4FE5-8D1B-D8412CDFD7CB}"/>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6099CE5D-DBE1-47E1-B41F-85224E877C0C}"/>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BACC1887-C742-4985-AF2F-86524688E29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98068AE9-FC03-4FFC-A9F5-400CF2651D3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4BECBE4A-F871-4CC3-A24B-EB8C21DED687}">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B1E71B92-ED8D-4E10-976C-F383C7A8AE2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CE8ED10A-BA71-40AD-95A5-64BC35EA70C0}">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E4CBE5E5-E15E-4095-AB1B-C96648193AF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BB752325-952B-4E01-B94B-68CDD6FE2FF5}"/>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EA908C54-C9F3-44AD-B3D0-AE9FBE15064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461B07AF-7896-4D71-BA21-6881B064B518}">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A6A9BFD3-760C-4F4C-B1F3-2EA4C6C8543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D14F8ED3-80B5-4E5A-B5EA-6941FF9491D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7EA60C4C-24E0-48F8-B5A7-EFBE572A6FFA}"/>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BAE90804-3961-4664-9A0A-E5DB0B34D3D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2021-08-13T10:55:48Z</dcterms:modified>
</cp:coreProperties>
</file>