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mc:AlternateContent xmlns:mc="http://schemas.openxmlformats.org/markup-compatibility/2006">
    <mc:Choice Requires="x15">
      <x15ac:absPath xmlns:x15ac="http://schemas.microsoft.com/office/spreadsheetml/2010/11/ac" url="D:\New\Comunicare\Site-AMPOCA\"/>
    </mc:Choice>
  </mc:AlternateContent>
  <xr:revisionPtr revIDLastSave="0" documentId="13_ncr:8001_{36BB55E5-B070-480E-99D2-3950A9B16676}" xr6:coauthVersionLast="47" xr6:coauthVersionMax="47" xr10:uidLastSave="{00000000-0000-0000-0000-000000000000}"/>
  <workbookProtection workbookPassword="CA39" lockStructure="1"/>
  <bookViews>
    <workbookView xWindow="-120" yWindow="-120" windowWidth="29040" windowHeight="15840" xr2:uid="{00000000-000D-0000-FFFF-FFFF00000000}"/>
  </bookViews>
  <sheets>
    <sheet name="Sheet1" sheetId="1" r:id="rId1"/>
  </sheets>
  <definedNames>
    <definedName name="_xlnm._FilterDatabase" localSheetId="0" hidden="1">Sheet1!$1:$892</definedName>
    <definedName name="_Hlk1048507" localSheetId="0">Sheet1!$H$786</definedName>
    <definedName name="_Hlk511228962">Sheet1!#REF!</definedName>
    <definedName name="_Hlk511229340">Sheet1!#REF!</definedName>
    <definedName name="_Hlk516490095" localSheetId="0">Sheet1!$H$751</definedName>
    <definedName name="_Hlk526934001" localSheetId="0">Sheet1!$F$193</definedName>
    <definedName name="_xlnm.Print_Area" localSheetId="0">Sheet1!$A$1:$AJ$892</definedName>
    <definedName name="Z_0585DD1B_89D4_4278_953B_FA6D57DCCE82_.wvu.FilterData" localSheetId="0" hidden="1">Sheet1!$A$4:$AJ$892</definedName>
    <definedName name="Z_0663978D_0EB1_40D5_9B2D_AA0E4175AE10_.wvu.FilterData" localSheetId="0" hidden="1">Sheet1!$C$1:$C$892</definedName>
    <definedName name="Z_0781B6C2_B440_4971_9809_BD16245A70FD_.wvu.FilterData" localSheetId="0" hidden="1">Sheet1!$A$1:$AJ$431</definedName>
    <definedName name="Z_0781B6C2_B440_4971_9809_BD16245A70FD_.wvu.PrintArea" localSheetId="0" hidden="1">Sheet1!$A$1:$AJ$892</definedName>
    <definedName name="Z_0948D5BA_8172_4FA8_BECB_CED738B20AF4_.wvu.FilterData" localSheetId="0" hidden="1">Sheet1!$A$4:$DE$892</definedName>
    <definedName name="Z_0A043D96_6DF8_4E40_9D1E_818A39BAFD81_.wvu.FilterData" localSheetId="0" hidden="1">Sheet1!$A$4:$AJ$892</definedName>
    <definedName name="Z_0BFEEF2C_C946_41CF_AC23_6881BEA2051C_.wvu.FilterData" localSheetId="0" hidden="1">Sheet1!$A$4:$AJ$892</definedName>
    <definedName name="Z_0D4E932E_8E85_4001_9304_AAB4DBAD8A65_.wvu.FilterData" localSheetId="0" hidden="1">Sheet1!$A$4:$DE$767</definedName>
    <definedName name="Z_122B486E_8EE5_41FD_B958_74B116FA5D23_.wvu.FilterData" localSheetId="0" hidden="1">Sheet1!$A$1:$DE$767</definedName>
    <definedName name="Z_1278E668_633E_4AB5_BA11_904BA4B2301D_.wvu.FilterData" localSheetId="0" hidden="1">Sheet1!$A$1:$DE$767</definedName>
    <definedName name="Z_136D924E_DA88_48BB_818E_2A0E48CDE443_.wvu.FilterData" localSheetId="0" hidden="1">Sheet1!$A$4:$DE$892</definedName>
    <definedName name="Z_13FEC0EB_A6AC_4EB9_BE0B_BA91B5951E65_.wvu.FilterData" localSheetId="0" hidden="1">Sheet1!$A$4:$DE$892</definedName>
    <definedName name="Z_15F03B40_FCDD_463A_AE42_63F6121ACBED_.wvu.FilterData" localSheetId="0" hidden="1">Sheet1!$C$1:$C$892</definedName>
    <definedName name="Z_16C0F8F6_73C2_446B_943F_E6331B612307_.wvu.FilterData" localSheetId="0" hidden="1">Sheet1!$A$1:$DE$815</definedName>
    <definedName name="Z_17F4A6A1_469E_46FB_A3A0_041FC3712E3B_.wvu.FilterData" localSheetId="0" hidden="1">Sheet1!$A$4:$AJ$892</definedName>
    <definedName name="Z_19FC3531_0DA5_4817_A3AD_017115B33D3C_.wvu.FilterData" localSheetId="0" hidden="1">Sheet1!#REF!</definedName>
    <definedName name="Z_1AA32817_7AF7_4644_968C_56F1D5DDD6B5_.wvu.FilterData" localSheetId="0" hidden="1">Sheet1!$A$1:$DE$892</definedName>
    <definedName name="Z_1CC91F84_AEF4_4042_AB5F_6C7D03A1F066_.wvu.FilterData" localSheetId="0" hidden="1">Sheet1!$4:$892</definedName>
    <definedName name="Z_1CC91F84_AEF4_4042_AB5F_6C7D03A1F066_.wvu.PrintArea" localSheetId="0" hidden="1">Sheet1!$A$1:$AJ$892</definedName>
    <definedName name="Z_1D1B5983_ECDA_4FB5_B5BD_5FCDD6AA2303_.wvu.Cols" localSheetId="0" hidden="1">Sheet1!$D:$I</definedName>
    <definedName name="Z_1D1B5983_ECDA_4FB5_B5BD_5FCDD6AA2303_.wvu.FilterData" localSheetId="0" hidden="1">Sheet1!$A$1:$DE$910</definedName>
    <definedName name="Z_1D1B5983_ECDA_4FB5_B5BD_5FCDD6AA2303_.wvu.PrintArea" localSheetId="0" hidden="1">Sheet1!$A$1:$AJ$892</definedName>
    <definedName name="Z_22D79F88_81A2_49FE_923A_13405540BBB2_.wvu.FilterData" localSheetId="0" hidden="1">Sheet1!$A$4:$DE$767</definedName>
    <definedName name="Z_2355B1FA_E7E3_44CD_A529_24812589AA28_.wvu.FilterData" localSheetId="0" hidden="1">Sheet1!$A$4:$AJ$892</definedName>
    <definedName name="Z_2416AE9F_2D01_4174_B7DC_0545588F9C27_.wvu.FilterData" localSheetId="0" hidden="1">Sheet1!$A$1:$AJ$892</definedName>
    <definedName name="Z_250231BB_5F02_4B46_B1CA_B904A9B40BA2_.wvu.FilterData" localSheetId="0" hidden="1">Sheet1!$A$3:$AJ$892</definedName>
    <definedName name="Z_25084D9D_9C92_4823_A653_D1AEC60737AD_.wvu.FilterData" localSheetId="0" hidden="1">Sheet1!$A$4:$DE$767</definedName>
    <definedName name="Z_2547C3D7_22F7_4CAF_8E48_C8F3425DB942_.wvu.FilterData" localSheetId="0" hidden="1">Sheet1!$A$4:$AJ$892</definedName>
    <definedName name="Z_280C391A_EEDA_43A4_BCD2_EE017A1C1AE2_.wvu.FilterData" localSheetId="0" hidden="1">Sheet1!$A$4:$DE$892</definedName>
    <definedName name="Z_29604E0D_C6E2_434A_B2B5_DCD40EFF623F_.wvu.FilterData" localSheetId="0" hidden="1">Sheet1!$A$4:$DE$892</definedName>
    <definedName name="Z_297CB86E_F816_4839_BE0B_A075145D0E50_.wvu.FilterData" localSheetId="0" hidden="1">Sheet1!$A$1:$DE$767</definedName>
    <definedName name="Z_2A26C971_CCE6_49C7_89EC_0B2699E5DD98_.wvu.FilterData" localSheetId="0" hidden="1">Sheet1!$A$4:$AJ$892</definedName>
    <definedName name="Z_2A657C48_B241_4C19_9A74_98ECFC665F2A_.wvu.FilterData" localSheetId="0" hidden="1">Sheet1!$A$4:$DE$892</definedName>
    <definedName name="Z_2C296388_EDB5_4F1F_B0F4_90EC07CCD947_.wvu.FilterData" localSheetId="0" hidden="1">Sheet1!$A$1:$DE$892</definedName>
    <definedName name="Z_2C296388_EDB5_4F1F_B0F4_90EC07CCD947_.wvu.PrintArea" localSheetId="0" hidden="1">Sheet1!$A$1:$AJ$892</definedName>
    <definedName name="Z_2E491347_3C24_4F24_80DE_5DC574AA2438_.wvu.FilterData" localSheetId="0" hidden="1">Sheet1!$A$4:$AJ$892</definedName>
    <definedName name="Z_3051DDA2_2F87_4403_87CC_F6C9C4F5B52F_.wvu.FilterData" localSheetId="0" hidden="1">Sheet1!$A$4:$DE$892</definedName>
    <definedName name="Z_305BEEB9_C99E_4E52_A4AB_56EA1595A366_.wvu.FilterData" localSheetId="0" hidden="1">Sheet1!$A$4:$AJ$892</definedName>
    <definedName name="Z_31567BC0_5366_4F93_AE32_123F006BC234_.wvu.FilterData" localSheetId="0" hidden="1">Sheet1!$A$4:$DE$892</definedName>
    <definedName name="Z_324E461A_DC75_4814_87BA_41F170D0ED0B_.wvu.FilterData" localSheetId="0" hidden="1">Sheet1!$A$4:$AJ$892</definedName>
    <definedName name="Z_33E976A7_3353_44E9_8131_0E68AAF18A21_.wvu.FilterData" localSheetId="0" hidden="1">Sheet1!$A$1:$AJ$892</definedName>
    <definedName name="Z_340EDCDE_FAE5_4319_AEAD_F8264DCA5D27_.wvu.FilterData" localSheetId="0" hidden="1">Sheet1!$A$4:$DE$892</definedName>
    <definedName name="Z_34BB42D3_88F0_437E_91ED_3E3C369B9525_.wvu.FilterData" localSheetId="0" hidden="1">Sheet1!$A$4:$AJ$892</definedName>
    <definedName name="Z_3656F679_79F6_439C_98F9_E05AFC52CE40_.wvu.FilterData" localSheetId="0" hidden="1">Sheet1!$A$4:$DE$892</definedName>
    <definedName name="Z_36624B2D_80F9_4F79_AC4A_B3547C36F23F_.wvu.FilterData" localSheetId="0" hidden="1">Sheet1!$A$4:$DE$892</definedName>
    <definedName name="Z_36624B2D_80F9_4F79_AC4A_B3547C36F23F_.wvu.PrintArea" localSheetId="0" hidden="1">Sheet1!$A$1:$AJ$892</definedName>
    <definedName name="Z_377DA8E3_6D61_4CAB_8EDD_2C41FF81A19E_.wvu.FilterData" localSheetId="0" hidden="1">Sheet1!$A$4:$AJ$892</definedName>
    <definedName name="Z_38C68E87_361F_434A_8BE4_BA2AF4CB3868_.wvu.FilterData" localSheetId="0" hidden="1">Sheet1!$A$4:$AJ$892</definedName>
    <definedName name="Z_3A00607E_664E_4ED3_AB65_1F25AC8DBC86_.wvu.FilterData" localSheetId="0" hidden="1">Sheet1!$C$1:$C$892</definedName>
    <definedName name="Z_3A3E83F9_303A_4CDE_BDDB_A2D752554829_.wvu.FilterData" localSheetId="0" hidden="1">Sheet1!$A$4:$AJ$892</definedName>
    <definedName name="Z_3A5F5F2B_AEA1_437C_9251_4F0D15756423_.wvu.FilterData" localSheetId="0" hidden="1">Sheet1!$A$1:$AJ$892</definedName>
    <definedName name="Z_3AFE79CE_CE75_447D_8C73_1AE63A224CBA_.wvu.FilterData" localSheetId="0" hidden="1">Sheet1!$A$4:$AJ$892</definedName>
    <definedName name="Z_3AFE79CE_CE75_447D_8C73_1AE63A224CBA_.wvu.PrintArea" localSheetId="0" hidden="1">Sheet1!$A$1:$AJ$892</definedName>
    <definedName name="Z_3E15816F_2EBF_42BD_89BB_84C7827E4C28_.wvu.FilterData" localSheetId="0" hidden="1">Sheet1!$A$4:$AJ$892</definedName>
    <definedName name="Z_3E7AD119_0031_4735_857B_FBC0C47AB231_.wvu.FilterData" localSheetId="0" hidden="1">Sheet1!$A$4:$AJ$892</definedName>
    <definedName name="Z_3F70E84F_60E2_4042_91AA_EFB3B23DDDDF_.wvu.FilterData" localSheetId="0" hidden="1">Sheet1!$A$1:$DE$767</definedName>
    <definedName name="Z_406022D5_A780_4A99_8362_68428BA49313_.wvu.FilterData" localSheetId="0" hidden="1">Sheet1!$A$1:$AJ$134</definedName>
    <definedName name="Z_4179C3D9_D1C3_46CD_B643_627525757C5E_.wvu.FilterData" localSheetId="0" hidden="1">Sheet1!$A$1:$AJ$679</definedName>
    <definedName name="Z_417D6CD8_690F_495B_A03E_2A89D52B6CE8_.wvu.FilterData" localSheetId="0" hidden="1">Sheet1!$A$4:$AJ$892</definedName>
    <definedName name="Z_41AA4E5D_9625_4478_B720_2BD6AE34E699_.wvu.FilterData" localSheetId="0" hidden="1">Sheet1!$A$4:$AJ$892</definedName>
    <definedName name="Z_471339A8_E0FA_4CA1_8194_04936068CF02_.wvu.FilterData" localSheetId="0" hidden="1">Sheet1!$A$1:$AJ$892</definedName>
    <definedName name="Z_497C7126_2491_461C_AFC3_03C2E163F15C_.wvu.FilterData" localSheetId="0" hidden="1">Sheet1!$A$4:$DE$767</definedName>
    <definedName name="Z_4AAB8139_F2B6_43E5_8C9F_E607BD4F44E4_.wvu.FilterData" localSheetId="0" hidden="1">Sheet1!$A$1:$AJ$767</definedName>
    <definedName name="Z_4B17E318_54E7_429F_ADB9_77F4B7D2DC42_.wvu.FilterData" localSheetId="0" hidden="1">Sheet1!$A$4:$AJ$892</definedName>
    <definedName name="Z_4B676F92_6D7B_43D7_8EB6_33FF3E7F6B6A_.wvu.FilterData" localSheetId="0" hidden="1">Sheet1!$A$4:$AJ$892</definedName>
    <definedName name="Z_4B7976D2_7781_4E51_BDF6_6AB2114A11DF_.wvu.FilterData" localSheetId="0" hidden="1">Sheet1!$A$4:$DE$892</definedName>
    <definedName name="Z_4BA8C48D_4728_4875_A249_068862BEA31A_.wvu.FilterData" localSheetId="0" hidden="1">Sheet1!$A$1:$DE$892</definedName>
    <definedName name="Z_4C2A0B30_0070_415E_A110_A9BCC2779710_.wvu.FilterData" localSheetId="0" hidden="1">Sheet1!$C$1:$C$892</definedName>
    <definedName name="Z_4FDB167B_D56E_45D4_B120_847D0871AA6B_.wvu.FilterData" localSheetId="0" hidden="1">Sheet1!$A$4:$AJ$892</definedName>
    <definedName name="Z_50FD82E6_2F75_4C53_A6D0_12482428C160_.wvu.FilterData" localSheetId="0" hidden="1">Sheet1!$A$1:$AJ$892</definedName>
    <definedName name="Z_529F67B3_DE0D_4FDC_BFEA_8F16107265EB_.wvu.FilterData" localSheetId="0" hidden="1">Sheet1!$A$4:$AJ$892</definedName>
    <definedName name="Z_53ED3D47_B2C0_43A1_9A1E_F030D529F74C_.wvu.FilterData" localSheetId="0" hidden="1">Sheet1!$A$4:$AJ$892</definedName>
    <definedName name="Z_53ED3D47_B2C0_43A1_9A1E_F030D529F74C_.wvu.PrintArea" localSheetId="0" hidden="1">Sheet1!$A$1:$AJ$892</definedName>
    <definedName name="Z_5789AB6A_B04B_4240_920E_89274E9F5C82_.wvu.FilterData" localSheetId="0" hidden="1">Sheet1!$A$4:$DE$683</definedName>
    <definedName name="Z_59EBF1CB_AF85_469A_B1D0_E57CB0203158_.wvu.FilterData" localSheetId="0" hidden="1">Sheet1!$C$1:$C$892</definedName>
    <definedName name="Z_5A66C3D0_FC57_4AA7_B0C6_C5E9A7DE2A79_.wvu.FilterData" localSheetId="0" hidden="1">Sheet1!$A$4:$AJ$892</definedName>
    <definedName name="Z_5AAA4DFE_88B1_4674_95ED_5FCD7A50BC22_.wvu.FilterData" localSheetId="0" hidden="1">Sheet1!$A$4:$DE$892</definedName>
    <definedName name="Z_5AAA4DFE_88B1_4674_95ED_5FCD7A50BC22_.wvu.PrintArea" localSheetId="0" hidden="1">Sheet1!$A$1:$AJ$892</definedName>
    <definedName name="Z_5E661ABE_E06E_455E_A661_DDD1907219D0_.wvu.FilterData" localSheetId="0" hidden="1">Sheet1!$A$1:$AJ$767</definedName>
    <definedName name="Z_6408B19F_539D_4190_A77D_CCE77E163803_.wvu.FilterData" localSheetId="0" hidden="1">Sheet1!$A$1:$DE$767</definedName>
    <definedName name="Z_65B035E3_87FA_46C5_996E_864F2C8D0EBC_.wvu.Cols" localSheetId="0" hidden="1">Sheet1!$G:$M</definedName>
    <definedName name="Z_65B035E3_87FA_46C5_996E_864F2C8D0EBC_.wvu.FilterData" localSheetId="0" hidden="1">Sheet1!$A$4:$DE$892</definedName>
    <definedName name="Z_65B035E3_87FA_46C5_996E_864F2C8D0EBC_.wvu.PrintArea" localSheetId="0" hidden="1">Sheet1!$A$1:$AJ$892</definedName>
    <definedName name="Z_65C35D6D_934F_4431_BA92_90255FC17BA4_.wvu.FilterData" localSheetId="0" hidden="1">Sheet1!$A$1:$AJ$892</definedName>
    <definedName name="Z_65C35D6D_934F_4431_BA92_90255FC17BA4_.wvu.PrintArea" localSheetId="0" hidden="1">Sheet1!$A$1:$AJ$892</definedName>
    <definedName name="Z_68CBE436_F3A0_4F45_B6A3_D7A57411F3B9_.wvu.FilterData" localSheetId="0" hidden="1">Sheet1!$A$4:$AJ$892</definedName>
    <definedName name="Z_6A81BAE2_3ABE_4D5F_A832_52D0E2F517F4_.wvu.FilterData" localSheetId="0" hidden="1">Sheet1!$A$1:$AJ$892</definedName>
    <definedName name="Z_6ABCD3C6_C29E_4027_B252_6CC3A2739142_.wvu.FilterData" localSheetId="0" hidden="1">Sheet1!$A$4:$AJ$892</definedName>
    <definedName name="Z_6B2EC822_DCDB_4711_A946_1038FC40FACE_.wvu.FilterData" localSheetId="0" hidden="1">Sheet1!$A$1:$DE$767</definedName>
    <definedName name="Z_6C96816B_17C2_4EA9_846E_8E6B5AD26B6D_.wvu.FilterData" localSheetId="0" hidden="1">Sheet1!#REF!</definedName>
    <definedName name="Z_6CE52079_5576_45A5_9A9F_9CA970D849EF_.wvu.FilterData" localSheetId="0" hidden="1">Sheet1!$A$4:$AJ$892</definedName>
    <definedName name="Z_6D5D71F0_C25E_4A20_AAD9_13707D9E0AED_.wvu.FilterData" localSheetId="0" hidden="1">Sheet1!$A$4:$DE$892</definedName>
    <definedName name="Z_6D5D71F0_C25E_4A20_AAD9_13707D9E0AED_.wvu.PrintArea" localSheetId="0" hidden="1">Sheet1!$A$1:$AJ$892</definedName>
    <definedName name="Z_7110BCB5_C242_4006_B056_E3ADAD3578E7_.wvu.FilterData" localSheetId="0" hidden="1">Sheet1!$A$4:$DE$892</definedName>
    <definedName name="Z_747340EB_2B31_46D2_ACDE_4FA91E2B50F6_.wvu.FilterData" localSheetId="0" hidden="1">Sheet1!$A$1:$DE$892</definedName>
    <definedName name="Z_747340EB_2B31_46D2_ACDE_4FA91E2B50F6_.wvu.PrintArea" localSheetId="0" hidden="1">Sheet1!$A$1:$AJ$892</definedName>
    <definedName name="Z_75FC0278_6C09_4E89_A68B_B06C003CBF69_.wvu.FilterData" localSheetId="0" hidden="1">Sheet1!$A$1:$AJ$892</definedName>
    <definedName name="Z_799A65B0_D762_4257_9EEB_02578FD2A697_.wvu.FilterData" localSheetId="0" hidden="1">Sheet1!$C$1:$C$892</definedName>
    <definedName name="Z_7A12EF56_0E17_493A_8E1E_6DFC6553C116_.wvu.FilterData" localSheetId="0" hidden="1">Sheet1!$A$4:$DE$767</definedName>
    <definedName name="Z_7A17A8CA_AF99_4D96_BCEC_898141635826_.wvu.FilterData" localSheetId="0" hidden="1">Sheet1!$A$4:$AJ$892</definedName>
    <definedName name="Z_7C1B4D6D_D666_48DD_AB17_E00791B6F0B6_.wvu.FilterData" localSheetId="0" hidden="1">Sheet1!$4:$892</definedName>
    <definedName name="Z_7C1B4D6D_D666_48DD_AB17_E00791B6F0B6_.wvu.PrintArea" localSheetId="0" hidden="1">Sheet1!$A$1:$AJ$892</definedName>
    <definedName name="Z_7C389A6C_C379_45EF_8779_FEC15F27C7E7_.wvu.FilterData" localSheetId="0" hidden="1">Sheet1!$C$1:$C$892</definedName>
    <definedName name="Z_7C3B80B0_9566_4DDC_9DF7_3BBB2DE77950_.wvu.FilterData" localSheetId="0" hidden="1">Sheet1!$A$1:$AJ$892</definedName>
    <definedName name="Z_7D2F4374_D571_49E4_B659_129D2AFDC43C_.wvu.FilterData" localSheetId="0" hidden="1">Sheet1!$A$4:$AJ$892</definedName>
    <definedName name="Z_7DFDB102_AB8E_41EB_81A4_CD36F3B45121_.wvu.FilterData" localSheetId="0" hidden="1">Sheet1!$A$4:$DE$892</definedName>
    <definedName name="Z_83085181_C77C_4D05_8C8A_9B8FFC5A1DD7_.wvu.FilterData" localSheetId="0" hidden="1">Sheet1!$A$4:$AJ$892</definedName>
    <definedName name="Z_831F7439_6937_483F_B601_184FEF5CECFD_.wvu.FilterData" localSheetId="0" hidden="1">Sheet1!$A$4:$AJ$892</definedName>
    <definedName name="Z_84FB199A_D56E_4FDD_AC4A_70CE86CD87BC_.wvu.FilterData" localSheetId="0" hidden="1">Sheet1!$A$1:$AK$892</definedName>
    <definedName name="Z_84FB199A_D56E_4FDD_AC4A_70CE86CD87BC_.wvu.PrintArea" localSheetId="0" hidden="1">Sheet1!$A$1:$AJ$892</definedName>
    <definedName name="Z_85F3C892_C52D_490E_9A31_2EBB79CFE6B3_.wvu.FilterData" localSheetId="0" hidden="1">Sheet1!$A$4:$DE$892</definedName>
    <definedName name="Z_87F9ACD0_3200_450C_B310_DAAD5FC85307_.wvu.FilterData" localSheetId="0" hidden="1">Sheet1!$A$4:$AJ$892</definedName>
    <definedName name="Z_89EE8E7D_C811_4C16_975A_830983580DAD_.wvu.FilterData" localSheetId="0" hidden="1">Sheet1!$A$4:$DE$892</definedName>
    <definedName name="Z_89F20599_320E_4C2A_9159_8E9F2F24F61C_.wvu.FilterData" localSheetId="0" hidden="1">Sheet1!$A$4:$AJ$892</definedName>
    <definedName name="Z_8A10B14C_0158_4D10_BD20_3EA3BE79AE5C_.wvu.FilterData" localSheetId="0" hidden="1">Sheet1!$A$1:$AJ$892</definedName>
    <definedName name="Z_8AA945B4_D724_4D85_9940_66A1F18CFF54_.wvu.FilterData" localSheetId="0" hidden="1">Sheet1!$A$1:$AJ$892</definedName>
    <definedName name="Z_8EDB8BF9_8BBB_4EEE_B4F0_C5928D0746DD_.wvu.FilterData" localSheetId="0" hidden="1">Sheet1!$A$1:$DE$892</definedName>
    <definedName name="Z_901F9774_8BE7_424D_87C2_1026F3FA2E93_.wvu.FilterData" localSheetId="0" hidden="1">Sheet1!$1:$910</definedName>
    <definedName name="Z_901F9774_8BE7_424D_87C2_1026F3FA2E93_.wvu.PrintArea" localSheetId="0" hidden="1">Sheet1!$A$1:$AJ$892</definedName>
    <definedName name="Z_902D3CAF_0577_4A3F_A86A_C01FD8CA4695_.wvu.FilterData" localSheetId="0" hidden="1">Sheet1!$A$4:$AJ$892</definedName>
    <definedName name="Z_9048650B_365B_48D5_8FC2_A911C6E66865_.wvu.FilterData" localSheetId="0" hidden="1">Sheet1!$A$1:$AJ$892</definedName>
    <definedName name="Z_905D93EA_5662_45AB_8995_A9908B3E5D52_.wvu.FilterData" localSheetId="0" hidden="1">Sheet1!$B$1:$B$910</definedName>
    <definedName name="Z_905D93EA_5662_45AB_8995_A9908B3E5D52_.wvu.PrintArea" localSheetId="0" hidden="1">Sheet1!$A$1:$AJ$892</definedName>
    <definedName name="Z_90D527B8_FE15_48EB_8A8E_6DB0EBF25D81_.wvu.FilterData" localSheetId="0" hidden="1">Sheet1!$A$1:$AJ$892</definedName>
    <definedName name="Z_91199DA1_59E7_4345_8CB7_A1085C901326_.wvu.FilterData" localSheetId="0" hidden="1">Sheet1!$A$4:$AJ$892</definedName>
    <definedName name="Z_91251A9B_6CF6_49E6_857D_BA6C728D7C53_.wvu.FilterData" localSheetId="0" hidden="1">Sheet1!$A$1:$DE$767</definedName>
    <definedName name="Z_9220B091_2E17_41A5_97CA_6AF44BB60369_.wvu.FilterData" localSheetId="0" hidden="1">Sheet1!$A$4:$DE$892</definedName>
    <definedName name="Z_923E7374_9C36_4380_9E0A_313EA2F408F0_.wvu.FilterData" localSheetId="0" hidden="1">Sheet1!$A$4:$AJ$892</definedName>
    <definedName name="Z_9552AAE6_9279_4387_9199_64D0E8A50A87_.wvu.FilterData" localSheetId="0" hidden="1">Sheet1!$A$4:$DE$892</definedName>
    <definedName name="Z_97F6C5A1_2596_4037_A854_1D6AE8A1071E_.wvu.FilterData" localSheetId="0" hidden="1">Sheet1!$A$4:$AJ$892</definedName>
    <definedName name="Z_98856761_4C70_4981_B8AD_C4287D704600_.wvu.FilterData" localSheetId="0" hidden="1">Sheet1!$A$1:$DE$892</definedName>
    <definedName name="Z_9980B309_0131_4577_BF29_212714399FDF_.wvu.FilterData" localSheetId="0" hidden="1">Sheet1!$A$1:$AJ$892</definedName>
    <definedName name="Z_9980B309_0131_4577_BF29_212714399FDF_.wvu.PrintArea" localSheetId="0" hidden="1">Sheet1!$A$1:$AJ$892</definedName>
    <definedName name="Z_99B0F6B4_A00E_4E43_9763_E6AAA385A3A3_.wvu.FilterData" localSheetId="0" hidden="1">Sheet1!$A$4:$AJ$892</definedName>
    <definedName name="Z_9A73B541_5E5D_49AE_9E83_D476C83586E3_.wvu.FilterData" localSheetId="0" hidden="1">Sheet1!$A$4:$AJ$892</definedName>
    <definedName name="Z_9DBBEDFC_B195_46CE_A9AF_AB019B7FD545_.wvu.FilterData" localSheetId="0" hidden="1">Sheet1!$A$4:$DE$892</definedName>
    <definedName name="Z_9DE067B2_E801_456D_B5D0_CD5646CA5948_.wvu.FilterData" localSheetId="0" hidden="1">Sheet1!$A$1:$DE$767</definedName>
    <definedName name="Z_9EA5E3FA_46F1_4729_828C_4A08518018C1_.wvu.FilterData" localSheetId="0" hidden="1">Sheet1!$A$1:$AJ$767</definedName>
    <definedName name="Z_9EA5E3FA_46F1_4729_828C_4A08518018C1_.wvu.PrintArea" localSheetId="0" hidden="1">Sheet1!$A$1:$AJ$892</definedName>
    <definedName name="Z_9F268523_731B_48FE_86AA_1A6382332A83_.wvu.FilterData" localSheetId="0" hidden="1">Sheet1!$A$4:$AJ$892</definedName>
    <definedName name="Z_A093D1FA_1747_4946_A02E_7D721604BB07_.wvu.FilterData" localSheetId="0" hidden="1">Sheet1!$B$1:$B$892</definedName>
    <definedName name="Z_A3134A53_5204_4FFF_BA84_3528D3179C0C_.wvu.FilterData" localSheetId="0" hidden="1">Sheet1!$A$3:$AJ$679</definedName>
    <definedName name="Z_A5B1481C_EF26_486A_984F_85CDDC2FD94F_.wvu.FilterData" localSheetId="0" hidden="1">Sheet1!$A$4:$DE$892</definedName>
    <definedName name="Z_A5B1481C_EF26_486A_984F_85CDDC2FD94F_.wvu.PrintArea" localSheetId="0" hidden="1">Sheet1!$A$1:$AJ$892</definedName>
    <definedName name="Z_A5EFE636_E984_4BB3_BEFD_877FE7A4960F_.wvu.FilterData" localSheetId="0" hidden="1">Sheet1!$A$4:$AJ$892</definedName>
    <definedName name="Z_A87F3E0E_3A8E_4B82_8170_33752259B7DB_.wvu.FilterData" localSheetId="0" hidden="1">Sheet1!$A$4:$AJ$892</definedName>
    <definedName name="Z_A87F3E0E_3A8E_4B82_8170_33752259B7DB_.wvu.PrintArea" localSheetId="0" hidden="1">Sheet1!$A$1:$AJ$892</definedName>
    <definedName name="Z_A9B3B58E_F12B_4916_890B_7D88AA745B81_.wvu.FilterData" localSheetId="0" hidden="1">Sheet1!$A$1:$DE$892</definedName>
    <definedName name="Z_A9C8B68B_7CCD_4DC7_92B4_0CF91200625C_.wvu.FilterData" localSheetId="0" hidden="1">Sheet1!$A$1:$AK$53</definedName>
    <definedName name="Z_AD1D8E66_18A9_4CB7_BBE4_02F7E757257F_.wvu.FilterData" localSheetId="0" hidden="1">Sheet1!$A$1:$DE$892</definedName>
    <definedName name="Z_ADCF07FA_E31E_45AC_A5B3_F3B126787A65_.wvu.FilterData" localSheetId="0" hidden="1">Sheet1!$A$1:$AK$814</definedName>
    <definedName name="Z_AE58BCBC_9F06_4E6C_A28B_2F5626DD7C1B_.wvu.FilterData" localSheetId="0" hidden="1">Sheet1!$A$4:$AJ$892</definedName>
    <definedName name="Z_AE8F3F1B_FDCB_45A5_9CC8_53B4E3A0445E_.wvu.FilterData" localSheetId="0" hidden="1">Sheet1!$A$1:$DE$767</definedName>
    <definedName name="Z_AECBC9F6_D9DE_4043_9C2F_160F7ECDAD3D_.wvu.FilterData" localSheetId="0" hidden="1">Sheet1!$A$4:$AJ$892</definedName>
    <definedName name="Z_B31B819C_CFEB_4B80_9AED_AC603C39BE78_.wvu.FilterData" localSheetId="0" hidden="1">Sheet1!$A$4:$DE$892</definedName>
    <definedName name="Z_B407928D_3938_4D05_B2B2_40B4F21D0436_.wvu.FilterData" localSheetId="0" hidden="1">Sheet1!#REF!</definedName>
    <definedName name="Z_B4445EFA_1A45_4C3B_9EA1_0E0790FECD3E_.wvu.FilterData" localSheetId="0" hidden="1">Sheet1!$A$4:$AJ$892</definedName>
    <definedName name="Z_B5BED753_4D8C_498E_8AE1_A08F7C0956F7_.wvu.FilterData" localSheetId="0" hidden="1">Sheet1!$A$4:$DE$892</definedName>
    <definedName name="Z_B5E00E2B_FB21_48A9_A2B7_06EAAF1DCD1F_.wvu.FilterData" localSheetId="0" hidden="1">Sheet1!$A$1:$AJ$892</definedName>
    <definedName name="Z_B86F2F61_43FD_4B29_80BE_D157A760919E_.wvu.FilterData" localSheetId="0" hidden="1">Sheet1!$A$4:$AJ$892</definedName>
    <definedName name="Z_BB5C630D_1317_4843_984F_E431986514A4_.wvu.FilterData" localSheetId="0" hidden="1">Sheet1!$A$4:$AJ$892</definedName>
    <definedName name="Z_BBF2EF6C_D4AD_46E1_803F_582F4D45F852_.wvu.FilterData" localSheetId="0" hidden="1">Sheet1!$A$1:$DE$892</definedName>
    <definedName name="Z_BDA3804A_96FA_4D9F_AFED_695788A754E9_.wvu.FilterData" localSheetId="0" hidden="1">Sheet1!$A$4:$DE$683</definedName>
    <definedName name="Z_C10084AF_B692_48FA_85A1_6DA070DB4BC7_.wvu.FilterData" localSheetId="0" hidden="1">Sheet1!$A$1:$AJ$431</definedName>
    <definedName name="Z_C19D7685_5857_48C6_97CD_2F755D2B2DF3_.wvu.FilterData" localSheetId="0" hidden="1">Sheet1!$A$1:$AJ$892</definedName>
    <definedName name="Z_C3502361_AD2C_4705_878B_D12169ED60B1_.wvu.FilterData" localSheetId="0" hidden="1">Sheet1!$A$4:$AJ$892</definedName>
    <definedName name="Z_C3502361_AD2C_4705_878B_D12169ED60B1_.wvu.PrintArea" localSheetId="0" hidden="1">Sheet1!$A$1:$AJ$892</definedName>
    <definedName name="Z_C408A2F1_296F_4EAD_B15B_336D73846FDD_.wvu.FilterData" localSheetId="0" hidden="1">Sheet1!$A$1:$AJ$892</definedName>
    <definedName name="Z_C408A2F1_296F_4EAD_B15B_336D73846FDD_.wvu.PrintArea" localSheetId="0" hidden="1">Sheet1!$A$1:$AJ$892</definedName>
    <definedName name="Z_C4E44235_F714_4BCE_B2B0_F4813D3BDF91_.wvu.FilterData" localSheetId="0" hidden="1">Sheet1!$A$4:$AJ$892</definedName>
    <definedName name="Z_C617B00B_5C1E_453A_BF77_BE61E91ACD97_.wvu.FilterData" localSheetId="0" hidden="1">Sheet1!$A$1:$DE$910</definedName>
    <definedName name="Z_C617B00B_5C1E_453A_BF77_BE61E91ACD97_.wvu.PrintArea" localSheetId="0" hidden="1">Sheet1!$A$1:$AJ$892</definedName>
    <definedName name="Z_C71F80D5_B6C1_4ED9_B18D_D719D69F5A47_.wvu.FilterData" localSheetId="0" hidden="1">Sheet1!$A$4:$AJ$892</definedName>
    <definedName name="Z_C90ECED7_D145_417E_BB55_4FC7FD4BF46C_.wvu.FilterData" localSheetId="0" hidden="1">Sheet1!$A$1:$DE$767</definedName>
    <definedName name="Z_CAB79FAE_AA32_4D62_A794_A6DB6513D801_.wvu.FilterData" localSheetId="0" hidden="1">Sheet1!$A$4:$AJ$892</definedName>
    <definedName name="Z_CC4BDE8D_BA98_4771_AE81_02F3DF26285D_.wvu.FilterData" localSheetId="0" hidden="1">Sheet1!$A$1:$AJ$892</definedName>
    <definedName name="Z_CC51448C_22F6_4583_82CD_2835AD1A82D7_.wvu.FilterData" localSheetId="0" hidden="1">Sheet1!$A$1:$AJ$679</definedName>
    <definedName name="Z_CEFAC6F5_4048_4FB5_8E88_A602B5B48691_.wvu.FilterData" localSheetId="0" hidden="1">Sheet1!$A$1:$AJ$134</definedName>
    <definedName name="Z_D14C8FFA_66C9_4AD5_90D4_6B2987347EA7_.wvu.FilterData" localSheetId="0" hidden="1">Sheet1!$A$1:$AJ$134</definedName>
    <definedName name="Z_D1981FDB_7063_4FCF_8DD5_A549E616E6FF_.wvu.FilterData" localSheetId="0" hidden="1">Sheet1!$A$4:$DE$892</definedName>
    <definedName name="Z_D365E121_F95E_415A_8CA0_9EA7ECCC60F5_.wvu.FilterData" localSheetId="0" hidden="1">Sheet1!$A$4:$AJ$892</definedName>
    <definedName name="Z_D3AEB135_5C7C_42C0_A07A_78B57DEB3E5D_.wvu.FilterData" localSheetId="0" hidden="1">Sheet1!$A$1:$AJ$892</definedName>
    <definedName name="Z_D56F5ED6_74F2_4AA3_9A98_EE5750FE63AF_.wvu.FilterData" localSheetId="0" hidden="1">Sheet1!$A$4:$DE$892</definedName>
    <definedName name="Z_D6684B8B_988F_4178_873C_47E3AB7327D0_.wvu.FilterData" localSheetId="0" hidden="1">Sheet1!$A$1:$AJ$892</definedName>
    <definedName name="Z_D802EE0F_98B9_4410_B31B_4ACC0EC9C9BC_.wvu.FilterData" localSheetId="0" hidden="1">Sheet1!$A$4:$AJ$892</definedName>
    <definedName name="Z_D9F6F366_DF3A_42DA_BFCE_91EC88AF7059_.wvu.FilterData" localSheetId="0" hidden="1">Sheet1!$A$4:$DE$892</definedName>
    <definedName name="Z_DA7616F9_5A5C_4D2A_B33C_B1EF83B6751E_.wvu.FilterData" localSheetId="0" hidden="1">Sheet1!$4:$892</definedName>
    <definedName name="Z_DAD27C7B_8B8A_46CB_98B5_59B1D1EFC319_.wvu.FilterData" localSheetId="0" hidden="1">Sheet1!$A$4:$DE$892</definedName>
    <definedName name="Z_DB41C7D7_14F0_4834_A7BD_0F1115A89C8E_.wvu.FilterData" localSheetId="0" hidden="1">Sheet1!$A$4:$DE$892</definedName>
    <definedName name="Z_DB43929D_F4B7_43FF_975F_960476D189E8_.wvu.FilterData" localSheetId="0" hidden="1">Sheet1!$A$4:$AJ$892</definedName>
    <definedName name="Z_DB51BB9F_5710_40B0_80E7_39B059BFD11D_.wvu.FilterData" localSheetId="0" hidden="1">Sheet1!$A$1:$DE$892</definedName>
    <definedName name="Z_DB51BB9F_5710_40B0_80E7_39B059BFD11D_.wvu.PrintArea" localSheetId="0" hidden="1">Sheet1!$A$1:$AJ$892</definedName>
    <definedName name="Z_DD7033C6_3EA7_4E73_ABEA_4285CD1957EA_.wvu.FilterData" localSheetId="0" hidden="1">Sheet1!$A$4:$AJ$892</definedName>
    <definedName name="Z_DD93CA86_AFD6_4C47_828D_70472BFCD288_.wvu.FilterData" localSheetId="0" hidden="1">Sheet1!$A$4:$AJ$892</definedName>
    <definedName name="Z_DE09B69C_7EEF_4060_8E06_F7DEC4B96D7E_.wvu.FilterData" localSheetId="0" hidden="1">Sheet1!$A$4:$AJ$892</definedName>
    <definedName name="Z_E388D237_97F4_4077_98EE_554EA7E7BDFD_.wvu.FilterData" localSheetId="0" hidden="1">Sheet1!$4:$892</definedName>
    <definedName name="Z_E53ADB69_E454_408C_8AAF_7FDA9FEDF6D0_.wvu.FilterData" localSheetId="0" hidden="1">Sheet1!$A$4:$DE$892</definedName>
    <definedName name="Z_E6455570_34BA_413B_82F6_378FA4CCBDF2_.wvu.FilterData" localSheetId="0" hidden="1">Sheet1!$A$4:$AJ$892</definedName>
    <definedName name="Z_E64C6006_DE37_44CA_8083_01C511E323D9_.wvu.FilterData" localSheetId="0" hidden="1">Sheet1!$A$3:$AJ$679</definedName>
    <definedName name="Z_E875C76B_3648_4C9A_A6B2_C3654837AAAC_.wvu.FilterData" localSheetId="0" hidden="1">Sheet1!$A$4:$DE$892</definedName>
    <definedName name="Z_EA64E7D7_BA48_4965_B650_778AE412FE0C_.wvu.FilterData" localSheetId="0" hidden="1">Sheet1!$A$1:$DE$892</definedName>
    <definedName name="Z_EA64E7D7_BA48_4965_B650_778AE412FE0C_.wvu.PrintArea" localSheetId="0" hidden="1">Sheet1!$A$1:$AJ$892</definedName>
    <definedName name="Z_EB0F2E6A_FA33_479E_9A47_8E3494FBB4DE_.wvu.FilterData" localSheetId="0" hidden="1">Sheet1!$A$4:$AJ$892</definedName>
    <definedName name="Z_EB0F2E6A_FA33_479E_9A47_8E3494FBB4DE_.wvu.PrintArea" localSheetId="0" hidden="1">Sheet1!$A$1:$AJ$892</definedName>
    <definedName name="Z_EB688584_325A_400C_AEB8_9170040049B0_.wvu.FilterData" localSheetId="0" hidden="1">Sheet1!$A$1:$AJ$892</definedName>
    <definedName name="Z_EBECCF5E_4B46_43F8_B11C_A2E3D2F626C0_.wvu.FilterData" localSheetId="0" hidden="1">Sheet1!$A$1:$AJ$892</definedName>
    <definedName name="Z_EC924560_B745_4DE3_A0D5_56BE5BB85747_.wvu.FilterData" localSheetId="0" hidden="1">Sheet1!$A$4:$AJ$892</definedName>
    <definedName name="Z_EEA37434_2D22_478B_B49F_C3E8CD4AC2E1_.wvu.FilterData" localSheetId="0" hidden="1">Sheet1!$A$4:$DE$892</definedName>
    <definedName name="Z_EEA37434_2D22_478B_B49F_C3E8CD4AC2E1_.wvu.PrintArea" localSheetId="0" hidden="1">Sheet1!$A$1:$AJ$892</definedName>
    <definedName name="Z_EF10298D_3F59_43F1_9A86_8C1CCA3B5D93_.wvu.FilterData" localSheetId="0" hidden="1">Sheet1!$A$4:$AJ$892</definedName>
    <definedName name="Z_EF10298D_3F59_43F1_9A86_8C1CCA3B5D93_.wvu.PrintArea" localSheetId="0" hidden="1">Sheet1!$A$1:$AJ$892</definedName>
    <definedName name="Z_EFE45138_A2B3_46EB_8A69_D9745D73FBF5_.wvu.FilterData" localSheetId="0" hidden="1">Sheet1!$A$4:$AJ$892</definedName>
    <definedName name="Z_F1FF8598_176D_475F_BFF2_4F9BDA2E6952_.wvu.FilterData" localSheetId="0" hidden="1">Sheet1!$A$1:$AJ$892</definedName>
    <definedName name="Z_F3A1A24F_74AB_497F_AC98_51305A547AD9_.wvu.FilterData" localSheetId="0" hidden="1">Sheet1!$A$4:$AJ$892</definedName>
    <definedName name="Z_F52D90D4_508D_43B6_8295_6D179E5F0FEB_.wvu.FilterData" localSheetId="0" hidden="1">Sheet1!$A$4:$AJ$892</definedName>
    <definedName name="Z_F87A8A59_D53A_435C_8A87_4EC432C7A064_.wvu.FilterData" localSheetId="0" hidden="1">Sheet1!$A$1:$DE$910</definedName>
    <definedName name="Z_F952A18B_3430_4F65_89F2_B7C17998F981_.wvu.FilterData" localSheetId="0" hidden="1">Sheet1!$A$4:$AJ$892</definedName>
    <definedName name="Z_FC0B350C_CDF7_408B_82D9_51AB34E1E398_.wvu.FilterData" localSheetId="0" hidden="1">Sheet1!$A$1:$AJ$892</definedName>
    <definedName name="Z_FCA57096_6DC5_4D66_B221_076BCE14BFDB_.wvu.FilterData" localSheetId="0" hidden="1">Sheet1!$A$4:$AJ$892</definedName>
    <definedName name="Z_FE50EAC0_52A5_4C33_B973_65E93D03D3EA_.wvu.FilterData" localSheetId="0" hidden="1">Sheet1!$A$1:$AJ$892</definedName>
    <definedName name="Z_FE50EAC0_52A5_4C33_B973_65E93D03D3EA_.wvu.PrintArea" localSheetId="0" hidden="1">Sheet1!$A$1:$AJ$892</definedName>
    <definedName name="Z_FFC44E67_8559_4D31_893D_BF5BA4229E04_.wvu.FilterData" localSheetId="0" hidden="1">Sheet1!$A$1:$AJ$767</definedName>
  </definedNames>
  <calcPr calcId="181029"/>
  <customWorkbookViews>
    <customWorkbookView name="vlad.pereteanu - Personal View" guid="{5AAA4DFE-88B1-4674-95ED-5FCD7A50BC22}" mergeInterval="0" personalView="1" maximized="1" xWindow="-9" yWindow="-9" windowWidth="1938" windowHeight="1048" tabRatio="154" activeSheetId="1"/>
    <customWorkbookView name="mysmis - Personal View" guid="{1CC91F84-AEF4-4042-AB5F-6C7D03A1F066}" mergeInterval="0" personalView="1" maximized="1" xWindow="1" yWindow="1" windowWidth="1627" windowHeight="622" tabRatio="154" activeSheetId="1"/>
    <customWorkbookView name="ovidiu.dumitrache - Personal View" guid="{FE50EAC0-52A5-4C33-B973-65E93D03D3EA}" mergeInterval="0" personalView="1" maximized="1" xWindow="-9" yWindow="-9" windowWidth="1938" windowHeight="1048" tabRatio="154" activeSheetId="1"/>
    <customWorkbookView name="georgiana.dobre - Personal View" guid="{C408A2F1-296F-4EAD-B15B-336D73846FDD}" mergeInterval="0" personalView="1" maximized="1" xWindow="-8" yWindow="-8" windowWidth="1936" windowHeight="1056" tabRatio="154" activeSheetId="1"/>
    <customWorkbookView name="anca.constantin - Personal View" guid="{C617B00B-5C1E-453A-BF77-BE61E91ACD97}" mergeInterval="0" personalView="1" maximized="1" xWindow="-8" yWindow="-8" windowWidth="1936" windowHeight="1056" tabRatio="154" activeSheetId="1"/>
    <customWorkbookView name="mihaela.nicolae - Personal View" guid="{EF10298D-3F59-43F1-9A86-8C1CCA3B5D93}" mergeInterval="0" personalView="1" maximized="1" xWindow="-11" yWindow="-11" windowWidth="1942" windowHeight="1042" tabRatio="154" activeSheetId="1"/>
    <customWorkbookView name="corina.pelmus - Personal View" guid="{EB0F2E6A-FA33-479E-9A47-8E3494FBB4DE}" mergeInterval="0" personalView="1" maximized="1" xWindow="1912" yWindow="-8" windowWidth="1936" windowHeight="1056" tabRatio="154" activeSheetId="1"/>
    <customWorkbookView name="maria.petre - Personal View" guid="{7C1B4D6D-D666-48DD-AB17-E00791B6F0B6}" mergeInterval="0" personalView="1" maximized="1" xWindow="-11" yWindow="-11" windowWidth="1942" windowHeight="1042" tabRatio="154" activeSheetId="1"/>
    <customWorkbookView name="raluca.georgescu - Personal View" guid="{901F9774-8BE7-424D-87C2-1026F3FA2E93}" mergeInterval="0" personalView="1" maximized="1" xWindow="1912" yWindow="-8" windowWidth="1936" windowHeight="1056" tabRatio="154" activeSheetId="1"/>
    <customWorkbookView name="sorin.deca - Personal View" guid="{EEA37434-2D22-478B-B49F-C3E8CD4AC2E1}"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otilia.chirita - Personal View" guid="{0781B6C2-B440-4971-9809-BD16245A70FD}" mergeInterval="0" personalView="1" maximized="1" xWindow="-8" yWindow="-8" windowWidth="1936" windowHeight="1056" tabRatio="154" activeSheetId="1"/>
    <customWorkbookView name="gabriela.clabescu - Personal View" guid="{747340EB-2B31-46D2-ACDE-4FA91E2B50F6}"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aurelian.tarcatu - Personal View" guid="{C3502361-AD2C-4705-878B-D12169ED60B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stefan.dragan - Personal View" guid="{9EA5E3FA-46F1-4729-828C-4A08518018C1}"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 Dragan - Personal View" guid="{2C296388-EDB5-4F1F-B0F4-90EC07CCD947}" mergeInterval="0" personalView="1" maximized="1" xWindow="-8"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mihaela.vasilescu - Personal View" guid="{84FB199A-D56E-4FDD-AC4A-70CE86CD87BC}" mergeInterval="0" personalView="1" maximized="1" xWindow="-8" yWindow="-8" windowWidth="1936" windowHeight="1056" tabRatio="154" activeSheetId="1"/>
    <customWorkbookView name="Vlad - Personal View" guid="{6D5D71F0-C25E-4A20-AAD9-13707D9E0AED}" mergeInterval="0" personalView="1" maximized="1" xWindow="1912"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Admin - Personal View" guid="{1D1B5983-ECDA-4FB5-B5BD-5FCDD6AA2303}" mergeInterval="0" personalView="1" maximized="1" xWindow="-8" yWindow="-8" windowWidth="1936" windowHeight="1056" tabRatio="154" activeSheetId="1"/>
    <customWorkbookView name="cristian.airinei - Personal View" guid="{A5B1481C-EF26-486A-984F-85CDDC2FD94F}" mergeInterval="0" personalView="1" maximized="1" xWindow="1912" yWindow="-8" windowWidth="1936" windowHeight="1056" tabRatio="154" activeSheetId="1"/>
    <customWorkbookView name="mariana.moraru - Personal View" guid="{65C35D6D-934F-4431-BA92-90255FC17BA4}" mergeInterval="0" personalView="1" xWindow="224" yWindow="211" windowWidth="1440" windowHeight="759" tabRatio="154" activeSheetId="1"/>
    <customWorkbookView name="daniela.voicu - Personal View" guid="{EA64E7D7-BA48-4965-B650-778AE412FE0C}" mergeInterval="0" personalView="1" maximized="1" xWindow="-11" yWindow="-11" windowWidth="1942" windowHeight="1042" tabRatio="154" activeSheetId="1"/>
    <customWorkbookView name="luminita.jipa - Personal View" guid="{A87F3E0E-3A8E-4B82-8170-33752259B7DB}" mergeInterval="0" personalView="1" maximized="1" xWindow="-8" yWindow="-8" windowWidth="1936" windowHeight="1056" activeSheetId="1"/>
    <customWorkbookView name="elisabeta.trifan - Personal View" guid="{36624B2D-80F9-4F79-AC4A-B3547C36F23F}" mergeInterval="0" personalView="1" maximized="1" xWindow="-9" yWindow="-9" windowWidth="1938" windowHeight="1048" tabRatio="154" activeSheetId="1"/>
  </customWorkbookViews>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D896" i="1" l="1"/>
  <c r="AD5" i="1" l="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D589" i="1"/>
  <c r="AD590" i="1"/>
  <c r="AD591" i="1"/>
  <c r="AD592" i="1"/>
  <c r="AD593" i="1"/>
  <c r="AD594" i="1"/>
  <c r="AD595" i="1"/>
  <c r="AD596" i="1"/>
  <c r="AD597" i="1"/>
  <c r="AD598" i="1"/>
  <c r="AD599" i="1"/>
  <c r="AD600" i="1"/>
  <c r="AD601" i="1"/>
  <c r="AD602" i="1"/>
  <c r="AD603" i="1"/>
  <c r="AD604" i="1"/>
  <c r="AD605" i="1"/>
  <c r="AD606" i="1"/>
  <c r="AD607" i="1"/>
  <c r="AD608" i="1"/>
  <c r="AD609" i="1"/>
  <c r="AD610" i="1"/>
  <c r="AD611" i="1"/>
  <c r="AD612" i="1"/>
  <c r="AD613" i="1"/>
  <c r="AD614" i="1"/>
  <c r="AD615" i="1"/>
  <c r="AD616" i="1"/>
  <c r="AD617" i="1"/>
  <c r="AD618" i="1"/>
  <c r="AD619" i="1"/>
  <c r="AD620" i="1"/>
  <c r="AD621" i="1"/>
  <c r="AD622" i="1"/>
  <c r="AD623" i="1"/>
  <c r="AD624" i="1"/>
  <c r="AD625" i="1"/>
  <c r="AD626" i="1"/>
  <c r="AD627" i="1"/>
  <c r="AD628" i="1"/>
  <c r="AD629" i="1"/>
  <c r="AD630" i="1"/>
  <c r="AD631" i="1"/>
  <c r="AD632" i="1"/>
  <c r="AD633" i="1"/>
  <c r="AD634" i="1"/>
  <c r="AD635" i="1"/>
  <c r="AD636" i="1"/>
  <c r="AD637" i="1"/>
  <c r="AD638" i="1"/>
  <c r="AD639" i="1"/>
  <c r="AD640" i="1"/>
  <c r="AD641" i="1"/>
  <c r="AD642" i="1"/>
  <c r="AD643" i="1"/>
  <c r="AD644" i="1"/>
  <c r="AD645" i="1"/>
  <c r="AD646" i="1"/>
  <c r="AD647" i="1"/>
  <c r="AD648" i="1"/>
  <c r="AD649" i="1"/>
  <c r="AD650" i="1"/>
  <c r="AD651" i="1"/>
  <c r="AD652" i="1"/>
  <c r="AD653" i="1"/>
  <c r="AD654" i="1"/>
  <c r="AD655" i="1"/>
  <c r="AD656" i="1"/>
  <c r="AD657" i="1"/>
  <c r="AD658" i="1"/>
  <c r="AD659" i="1"/>
  <c r="AD660" i="1"/>
  <c r="AD661" i="1"/>
  <c r="AD662" i="1"/>
  <c r="AD663" i="1"/>
  <c r="AD664" i="1"/>
  <c r="AD665" i="1"/>
  <c r="AD666" i="1"/>
  <c r="AD667" i="1"/>
  <c r="AD668" i="1"/>
  <c r="AD669" i="1"/>
  <c r="AD670" i="1"/>
  <c r="AD671" i="1"/>
  <c r="AD672" i="1"/>
  <c r="AD673" i="1"/>
  <c r="AD674" i="1"/>
  <c r="AD675" i="1"/>
  <c r="AD676" i="1"/>
  <c r="AD677" i="1"/>
  <c r="AD678" i="1"/>
  <c r="AD679" i="1"/>
  <c r="AD680" i="1"/>
  <c r="AD681" i="1"/>
  <c r="AD682" i="1"/>
  <c r="AD683" i="1"/>
  <c r="AD684" i="1"/>
  <c r="AD685" i="1"/>
  <c r="AD686" i="1"/>
  <c r="AD687" i="1"/>
  <c r="AD688" i="1"/>
  <c r="AD689" i="1"/>
  <c r="AD690" i="1"/>
  <c r="AD691" i="1"/>
  <c r="AD692" i="1"/>
  <c r="AD693" i="1"/>
  <c r="AD694" i="1"/>
  <c r="AD695" i="1"/>
  <c r="AD696" i="1"/>
  <c r="AD697" i="1"/>
  <c r="AD698" i="1"/>
  <c r="AD699" i="1"/>
  <c r="AD700" i="1"/>
  <c r="AD701" i="1"/>
  <c r="AD702" i="1"/>
  <c r="AD703" i="1"/>
  <c r="AD704" i="1"/>
  <c r="AD705" i="1"/>
  <c r="AD706" i="1"/>
  <c r="AD707" i="1"/>
  <c r="AD708" i="1"/>
  <c r="AD709" i="1"/>
  <c r="AD710" i="1"/>
  <c r="AD711" i="1"/>
  <c r="AD712" i="1"/>
  <c r="AD713" i="1"/>
  <c r="AD714" i="1"/>
  <c r="AD715" i="1"/>
  <c r="AD716" i="1"/>
  <c r="AD717" i="1"/>
  <c r="AD718" i="1"/>
  <c r="AD719" i="1"/>
  <c r="AD720" i="1"/>
  <c r="AD721" i="1"/>
  <c r="AD722" i="1"/>
  <c r="AD723" i="1"/>
  <c r="AD724" i="1"/>
  <c r="AD725" i="1"/>
  <c r="AD726" i="1"/>
  <c r="AD727" i="1"/>
  <c r="AD728" i="1"/>
  <c r="AD729" i="1"/>
  <c r="AD730" i="1"/>
  <c r="AD731" i="1"/>
  <c r="AD732" i="1"/>
  <c r="AD733" i="1"/>
  <c r="AD734" i="1"/>
  <c r="AD735" i="1"/>
  <c r="AD736" i="1"/>
  <c r="AD737" i="1"/>
  <c r="AD738" i="1"/>
  <c r="AD739" i="1"/>
  <c r="AD740" i="1"/>
  <c r="AD741" i="1"/>
  <c r="AD742" i="1"/>
  <c r="AD743" i="1"/>
  <c r="AD744" i="1"/>
  <c r="AD745" i="1"/>
  <c r="AD746" i="1"/>
  <c r="AD747" i="1"/>
  <c r="AD748" i="1"/>
  <c r="AD749" i="1"/>
  <c r="AD750" i="1"/>
  <c r="AD751" i="1"/>
  <c r="AD752" i="1"/>
  <c r="AD753" i="1"/>
  <c r="AD754" i="1"/>
  <c r="AD755" i="1"/>
  <c r="AD756" i="1"/>
  <c r="AD757" i="1"/>
  <c r="AD758" i="1"/>
  <c r="AD759" i="1"/>
  <c r="AD760" i="1"/>
  <c r="AD761" i="1"/>
  <c r="AD762" i="1"/>
  <c r="AD763" i="1"/>
  <c r="AD764" i="1"/>
  <c r="AD765" i="1"/>
  <c r="AD766" i="1"/>
  <c r="AD767" i="1"/>
  <c r="AD768" i="1"/>
  <c r="AD769" i="1"/>
  <c r="AD770" i="1"/>
  <c r="AD771" i="1"/>
  <c r="AD772" i="1"/>
  <c r="AD773" i="1"/>
  <c r="AD774" i="1"/>
  <c r="AD775" i="1"/>
  <c r="AD776" i="1"/>
  <c r="AD777" i="1"/>
  <c r="AD778" i="1"/>
  <c r="AD779" i="1"/>
  <c r="AD780" i="1"/>
  <c r="AD781" i="1"/>
  <c r="AD782" i="1"/>
  <c r="AD783" i="1"/>
  <c r="AD784" i="1"/>
  <c r="AD785" i="1"/>
  <c r="AD786" i="1"/>
  <c r="AD787" i="1"/>
  <c r="AD788" i="1"/>
  <c r="AD789" i="1"/>
  <c r="AD790" i="1"/>
  <c r="AD791" i="1"/>
  <c r="AD792" i="1"/>
  <c r="AD793" i="1"/>
  <c r="AD794" i="1"/>
  <c r="AD795" i="1"/>
  <c r="AD796" i="1"/>
  <c r="AD797" i="1"/>
  <c r="AD798" i="1"/>
  <c r="AD799" i="1"/>
  <c r="AD800" i="1"/>
  <c r="AD801" i="1"/>
  <c r="AD802" i="1"/>
  <c r="AD803" i="1"/>
  <c r="AD804" i="1"/>
  <c r="AD805" i="1"/>
  <c r="AD806" i="1"/>
  <c r="AD807" i="1"/>
  <c r="AD808" i="1"/>
  <c r="AD809" i="1"/>
  <c r="AD810" i="1"/>
  <c r="AD811" i="1"/>
  <c r="AD812" i="1"/>
  <c r="AD813" i="1"/>
  <c r="AD814" i="1"/>
  <c r="AD815" i="1"/>
  <c r="AD816" i="1"/>
  <c r="AD817" i="1"/>
  <c r="AD818" i="1"/>
  <c r="AD819" i="1"/>
  <c r="AD820" i="1"/>
  <c r="AD821" i="1"/>
  <c r="AD822" i="1"/>
  <c r="AD823" i="1"/>
  <c r="AD824" i="1"/>
  <c r="AD825" i="1"/>
  <c r="AD826" i="1"/>
  <c r="AD827" i="1"/>
  <c r="AD828" i="1"/>
  <c r="AD829" i="1"/>
  <c r="AD830" i="1"/>
  <c r="AD831" i="1"/>
  <c r="AD832" i="1"/>
  <c r="AD833" i="1"/>
  <c r="AD834" i="1"/>
  <c r="AD835" i="1"/>
  <c r="AD836" i="1"/>
  <c r="AD837" i="1"/>
  <c r="AD838" i="1"/>
  <c r="AD839" i="1"/>
  <c r="AD840" i="1"/>
  <c r="AD841" i="1"/>
  <c r="AD842" i="1"/>
  <c r="AD843" i="1"/>
  <c r="AD844" i="1"/>
  <c r="AD845" i="1"/>
  <c r="AD846" i="1"/>
  <c r="AD847" i="1"/>
  <c r="AD848" i="1"/>
  <c r="AD849" i="1"/>
  <c r="AD850" i="1"/>
  <c r="AD851" i="1"/>
  <c r="AD852" i="1"/>
  <c r="AD853" i="1"/>
  <c r="AD854" i="1"/>
  <c r="AD855" i="1"/>
  <c r="AD856" i="1"/>
  <c r="AD857" i="1"/>
  <c r="AD858" i="1"/>
  <c r="AD859" i="1"/>
  <c r="AD860" i="1"/>
  <c r="AD861" i="1"/>
  <c r="AD862" i="1"/>
  <c r="AD863" i="1"/>
  <c r="AD864" i="1"/>
  <c r="AD865" i="1"/>
  <c r="AD866" i="1"/>
  <c r="AD867" i="1"/>
  <c r="AD868" i="1"/>
  <c r="AD869" i="1"/>
  <c r="AD870" i="1"/>
  <c r="AD871" i="1"/>
  <c r="AD872" i="1"/>
  <c r="AD873" i="1"/>
  <c r="AD874" i="1"/>
  <c r="AD875" i="1"/>
  <c r="AD876" i="1"/>
  <c r="AD877" i="1"/>
  <c r="AD878" i="1"/>
  <c r="AD879" i="1"/>
  <c r="AD880" i="1"/>
  <c r="AD881" i="1"/>
  <c r="AD882" i="1"/>
  <c r="AD883" i="1"/>
  <c r="AD884" i="1"/>
  <c r="AD885" i="1"/>
  <c r="AD886" i="1"/>
  <c r="AD887" i="1"/>
  <c r="AD888" i="1"/>
  <c r="AD889" i="1"/>
  <c r="AD890" i="1"/>
  <c r="AD891" i="1"/>
  <c r="AD892" i="1"/>
  <c r="S893" i="1"/>
  <c r="T893" i="1"/>
  <c r="U893" i="1"/>
  <c r="V893" i="1"/>
  <c r="W893" i="1"/>
  <c r="X893" i="1"/>
  <c r="Y893" i="1"/>
  <c r="Z893" i="1"/>
  <c r="AA893" i="1"/>
  <c r="AB893" i="1"/>
  <c r="AC893" i="1"/>
  <c r="AD893" i="1"/>
  <c r="AE893" i="1"/>
  <c r="AG893" i="1"/>
  <c r="AH893" i="1"/>
  <c r="AI893" i="1"/>
  <c r="AJ893" i="1"/>
  <c r="R893" i="1"/>
  <c r="AA583" i="1" l="1"/>
  <c r="X583" i="1"/>
  <c r="U583" i="1"/>
  <c r="R583" i="1"/>
  <c r="U601" i="1" l="1"/>
  <c r="U602" i="1"/>
  <c r="X601" i="1"/>
  <c r="X602" i="1"/>
  <c r="AA601" i="1"/>
  <c r="AA602" i="1"/>
  <c r="R601" i="1"/>
  <c r="R602" i="1"/>
  <c r="R600" i="1"/>
  <c r="U600" i="1"/>
  <c r="X600" i="1"/>
  <c r="AA600" i="1"/>
  <c r="AF583" i="1" l="1"/>
  <c r="L583" i="1"/>
  <c r="AF601" i="1"/>
  <c r="AF602" i="1"/>
  <c r="AF600" i="1"/>
  <c r="R118" i="1"/>
  <c r="U118" i="1"/>
  <c r="X118" i="1"/>
  <c r="U599" i="1"/>
  <c r="X599" i="1"/>
  <c r="AA599" i="1"/>
  <c r="R599" i="1"/>
  <c r="U581" i="1"/>
  <c r="U582" i="1"/>
  <c r="X582" i="1"/>
  <c r="AA581" i="1"/>
  <c r="AA582" i="1"/>
  <c r="X581" i="1"/>
  <c r="R581" i="1"/>
  <c r="R582" i="1"/>
  <c r="AA594" i="1"/>
  <c r="AA595" i="1"/>
  <c r="AA596" i="1"/>
  <c r="AA597" i="1"/>
  <c r="AA598" i="1"/>
  <c r="X594" i="1"/>
  <c r="X595" i="1"/>
  <c r="X596" i="1"/>
  <c r="X597" i="1"/>
  <c r="X598" i="1"/>
  <c r="U594" i="1"/>
  <c r="U595" i="1"/>
  <c r="U596" i="1"/>
  <c r="U597" i="1"/>
  <c r="U598" i="1"/>
  <c r="R594" i="1"/>
  <c r="R595" i="1"/>
  <c r="R596" i="1"/>
  <c r="R597" i="1"/>
  <c r="R598" i="1"/>
  <c r="U579" i="1"/>
  <c r="AA575" i="1"/>
  <c r="AA576" i="1"/>
  <c r="AA577" i="1"/>
  <c r="AA578" i="1"/>
  <c r="AA579" i="1"/>
  <c r="AA580" i="1"/>
  <c r="X575" i="1"/>
  <c r="X576" i="1"/>
  <c r="X577" i="1"/>
  <c r="X578" i="1"/>
  <c r="X579" i="1"/>
  <c r="X580" i="1"/>
  <c r="U575" i="1"/>
  <c r="U576" i="1"/>
  <c r="U577" i="1"/>
  <c r="U578" i="1"/>
  <c r="U580" i="1"/>
  <c r="R575" i="1"/>
  <c r="R576" i="1"/>
  <c r="R577" i="1"/>
  <c r="R578" i="1"/>
  <c r="R579" i="1"/>
  <c r="R580" i="1"/>
  <c r="AF581" i="1" l="1"/>
  <c r="AF118" i="1"/>
  <c r="L602" i="1"/>
  <c r="L601" i="1"/>
  <c r="L600" i="1"/>
  <c r="AF599" i="1"/>
  <c r="AF582" i="1"/>
  <c r="AF580" i="1"/>
  <c r="L579" i="1"/>
  <c r="L598" i="1"/>
  <c r="AF597" i="1"/>
  <c r="AF596" i="1"/>
  <c r="AF595" i="1"/>
  <c r="AF594" i="1"/>
  <c r="AF579" i="1"/>
  <c r="AF578" i="1"/>
  <c r="AF577" i="1"/>
  <c r="AF576" i="1"/>
  <c r="AF575" i="1"/>
  <c r="AJ173" i="1"/>
  <c r="AI173" i="1"/>
  <c r="AJ385" i="1"/>
  <c r="AI385" i="1"/>
  <c r="AJ341" i="1"/>
  <c r="AI341" i="1"/>
  <c r="AJ136" i="1"/>
  <c r="AI136" i="1"/>
  <c r="AJ43" i="1"/>
  <c r="AI43" i="1"/>
  <c r="AJ282" i="1"/>
  <c r="AI282" i="1"/>
  <c r="AJ75" i="1"/>
  <c r="AI75" i="1"/>
  <c r="AI290" i="1"/>
  <c r="AI870" i="1"/>
  <c r="AI885" i="1"/>
  <c r="AI858" i="1"/>
  <c r="AJ420" i="1"/>
  <c r="AI420" i="1"/>
  <c r="AJ244" i="1"/>
  <c r="AI244" i="1"/>
  <c r="AJ42" i="1"/>
  <c r="AI42" i="1"/>
  <c r="AJ263" i="1"/>
  <c r="AI263" i="1"/>
  <c r="L118" i="1" l="1"/>
  <c r="L581" i="1"/>
  <c r="L580" i="1"/>
  <c r="L599" i="1"/>
  <c r="L582" i="1"/>
  <c r="AF598" i="1"/>
  <c r="L597" i="1"/>
  <c r="L596" i="1"/>
  <c r="L595" i="1"/>
  <c r="L594" i="1"/>
  <c r="L578" i="1"/>
  <c r="L577" i="1"/>
  <c r="L576" i="1"/>
  <c r="L575" i="1"/>
  <c r="AJ127" i="1"/>
  <c r="AI127" i="1"/>
  <c r="AJ210" i="1"/>
  <c r="AI210" i="1"/>
  <c r="AJ40" i="1"/>
  <c r="AI40" i="1"/>
  <c r="AJ356" i="1"/>
  <c r="AI356" i="1"/>
  <c r="AJ152" i="1"/>
  <c r="AI152" i="1"/>
  <c r="AJ220" i="1"/>
  <c r="AI220" i="1"/>
  <c r="AI868" i="1"/>
  <c r="AI809" i="1"/>
  <c r="AJ838" i="1"/>
  <c r="AI838" i="1"/>
  <c r="AI825" i="1"/>
  <c r="AJ872" i="1"/>
  <c r="AI872" i="1"/>
  <c r="AI280" i="1"/>
  <c r="AJ314" i="1"/>
  <c r="AI314" i="1"/>
  <c r="AJ73" i="1"/>
  <c r="AI73" i="1"/>
  <c r="AI139" i="1"/>
  <c r="AJ431" i="1"/>
  <c r="AI431" i="1"/>
  <c r="AI788" i="1"/>
  <c r="AI799" i="1"/>
  <c r="AJ800" i="1"/>
  <c r="AI800" i="1"/>
  <c r="AI795" i="1"/>
  <c r="AI823" i="1"/>
  <c r="AI786" i="1"/>
  <c r="AI776" i="1"/>
  <c r="AI834" i="1"/>
  <c r="AI209" i="1"/>
  <c r="AI236" i="1"/>
  <c r="AI781" i="1"/>
  <c r="AI686" i="1"/>
  <c r="AI728" i="1"/>
  <c r="AI642" i="1"/>
  <c r="AI450" i="1"/>
  <c r="U574" i="1"/>
  <c r="X574" i="1"/>
  <c r="AA574" i="1"/>
  <c r="R574" i="1"/>
  <c r="X117" i="1"/>
  <c r="U117" i="1"/>
  <c r="R117" i="1"/>
  <c r="AF574" i="1" l="1"/>
  <c r="AF117" i="1"/>
  <c r="AA569" i="1"/>
  <c r="AA570" i="1"/>
  <c r="AA571" i="1"/>
  <c r="AA572" i="1"/>
  <c r="AA573" i="1"/>
  <c r="X569" i="1"/>
  <c r="X570" i="1"/>
  <c r="X571" i="1"/>
  <c r="X572" i="1"/>
  <c r="X573" i="1"/>
  <c r="U569" i="1"/>
  <c r="U570" i="1"/>
  <c r="U571" i="1"/>
  <c r="U572" i="1"/>
  <c r="U573" i="1"/>
  <c r="R569" i="1"/>
  <c r="R570" i="1"/>
  <c r="R571" i="1"/>
  <c r="R572" i="1"/>
  <c r="R573" i="1"/>
  <c r="AA561" i="1"/>
  <c r="AA562" i="1"/>
  <c r="AA563" i="1"/>
  <c r="AA564" i="1"/>
  <c r="AA565" i="1"/>
  <c r="AA566" i="1"/>
  <c r="AA567" i="1"/>
  <c r="AA568" i="1"/>
  <c r="X561" i="1"/>
  <c r="X562" i="1"/>
  <c r="X563" i="1"/>
  <c r="X564" i="1"/>
  <c r="X565" i="1"/>
  <c r="X566" i="1"/>
  <c r="X567" i="1"/>
  <c r="X568" i="1"/>
  <c r="U561" i="1"/>
  <c r="U562" i="1"/>
  <c r="U563" i="1"/>
  <c r="U564" i="1"/>
  <c r="U565" i="1"/>
  <c r="U566" i="1"/>
  <c r="U567" i="1"/>
  <c r="U568" i="1"/>
  <c r="R561" i="1"/>
  <c r="R562" i="1"/>
  <c r="R563" i="1"/>
  <c r="R564" i="1"/>
  <c r="R565" i="1"/>
  <c r="R566" i="1"/>
  <c r="R567" i="1"/>
  <c r="R568" i="1"/>
  <c r="R593" i="1"/>
  <c r="U593" i="1"/>
  <c r="X593" i="1"/>
  <c r="AA593" i="1"/>
  <c r="L563" i="1" l="1"/>
  <c r="L117" i="1"/>
  <c r="AF568" i="1"/>
  <c r="L567" i="1"/>
  <c r="L566" i="1"/>
  <c r="L565" i="1"/>
  <c r="L564" i="1"/>
  <c r="L574" i="1"/>
  <c r="AF573" i="1"/>
  <c r="AF569" i="1"/>
  <c r="AF572" i="1"/>
  <c r="AF570" i="1"/>
  <c r="AF571" i="1"/>
  <c r="AF562" i="1"/>
  <c r="U554" i="1"/>
  <c r="U555" i="1"/>
  <c r="U556" i="1"/>
  <c r="U557" i="1"/>
  <c r="U558" i="1"/>
  <c r="U559" i="1"/>
  <c r="U560" i="1"/>
  <c r="X554" i="1"/>
  <c r="X555" i="1"/>
  <c r="X556" i="1"/>
  <c r="X557" i="1"/>
  <c r="X558" i="1"/>
  <c r="X559" i="1"/>
  <c r="X560" i="1"/>
  <c r="AA554" i="1"/>
  <c r="AA555" i="1"/>
  <c r="AA556" i="1"/>
  <c r="AA557" i="1"/>
  <c r="AA558" i="1"/>
  <c r="AA559" i="1"/>
  <c r="AA560" i="1"/>
  <c r="R554" i="1"/>
  <c r="R555" i="1"/>
  <c r="R556" i="1"/>
  <c r="R557" i="1"/>
  <c r="R558" i="1"/>
  <c r="R559" i="1"/>
  <c r="R560" i="1"/>
  <c r="U549" i="1"/>
  <c r="X544" i="1"/>
  <c r="U543" i="1"/>
  <c r="U544" i="1"/>
  <c r="U545" i="1"/>
  <c r="U546" i="1"/>
  <c r="U547" i="1"/>
  <c r="U548" i="1"/>
  <c r="U550" i="1"/>
  <c r="U551" i="1"/>
  <c r="U552" i="1"/>
  <c r="U553" i="1"/>
  <c r="X543" i="1"/>
  <c r="X545" i="1"/>
  <c r="X546" i="1"/>
  <c r="X547" i="1"/>
  <c r="X548" i="1"/>
  <c r="X549" i="1"/>
  <c r="X550" i="1"/>
  <c r="X551" i="1"/>
  <c r="X552" i="1"/>
  <c r="X553" i="1"/>
  <c r="AA543" i="1"/>
  <c r="AA544" i="1"/>
  <c r="AA545" i="1"/>
  <c r="AA546" i="1"/>
  <c r="AA547" i="1"/>
  <c r="AA548" i="1"/>
  <c r="AA549" i="1"/>
  <c r="AA550" i="1"/>
  <c r="AA551" i="1"/>
  <c r="AA552" i="1"/>
  <c r="AA553" i="1"/>
  <c r="R543" i="1"/>
  <c r="R544" i="1"/>
  <c r="R545" i="1"/>
  <c r="R546" i="1"/>
  <c r="R547" i="1"/>
  <c r="R548" i="1"/>
  <c r="R549" i="1"/>
  <c r="R550" i="1"/>
  <c r="R551" i="1"/>
  <c r="R552" i="1"/>
  <c r="R553" i="1"/>
  <c r="AF564" i="1" l="1"/>
  <c r="AF563" i="1"/>
  <c r="AF566" i="1"/>
  <c r="AF567" i="1"/>
  <c r="L568" i="1"/>
  <c r="AF565" i="1"/>
  <c r="AF551" i="1"/>
  <c r="L543" i="1"/>
  <c r="L554" i="1"/>
  <c r="L556" i="1"/>
  <c r="L573" i="1"/>
  <c r="L572" i="1"/>
  <c r="L569" i="1"/>
  <c r="L570" i="1"/>
  <c r="L571" i="1"/>
  <c r="L562" i="1"/>
  <c r="AF561" i="1"/>
  <c r="L561" i="1"/>
  <c r="AF593" i="1"/>
  <c r="L593" i="1"/>
  <c r="AF558" i="1"/>
  <c r="L557" i="1"/>
  <c r="L560" i="1"/>
  <c r="AF559" i="1"/>
  <c r="AF553" i="1"/>
  <c r="L550" i="1"/>
  <c r="AF547" i="1"/>
  <c r="AF546" i="1"/>
  <c r="L549" i="1"/>
  <c r="L545" i="1"/>
  <c r="AF552" i="1"/>
  <c r="AF548" i="1"/>
  <c r="AF544" i="1"/>
  <c r="AA116" i="1"/>
  <c r="AA115" i="1"/>
  <c r="AA114" i="1"/>
  <c r="X114" i="1"/>
  <c r="X115" i="1"/>
  <c r="X116" i="1"/>
  <c r="U114" i="1"/>
  <c r="U115" i="1"/>
  <c r="U116" i="1"/>
  <c r="R114" i="1"/>
  <c r="R115" i="1"/>
  <c r="R116" i="1"/>
  <c r="AF554" i="1" l="1"/>
  <c r="L551" i="1"/>
  <c r="AF543" i="1"/>
  <c r="L544" i="1"/>
  <c r="L553" i="1"/>
  <c r="AF556" i="1"/>
  <c r="AF557" i="1"/>
  <c r="AF560" i="1"/>
  <c r="L558" i="1"/>
  <c r="L559" i="1"/>
  <c r="L555" i="1"/>
  <c r="AF555" i="1"/>
  <c r="AF550" i="1"/>
  <c r="AF549" i="1"/>
  <c r="L548" i="1"/>
  <c r="L547" i="1"/>
  <c r="L546" i="1"/>
  <c r="AF545" i="1"/>
  <c r="L552" i="1"/>
  <c r="L114" i="1"/>
  <c r="AF116" i="1"/>
  <c r="R592" i="1"/>
  <c r="U592" i="1"/>
  <c r="X592" i="1"/>
  <c r="AA592" i="1"/>
  <c r="L116" i="1" l="1"/>
  <c r="AF115" i="1"/>
  <c r="L115" i="1"/>
  <c r="AF114" i="1"/>
  <c r="L592" i="1"/>
  <c r="AA591" i="1"/>
  <c r="X591" i="1"/>
  <c r="U591" i="1"/>
  <c r="R591" i="1"/>
  <c r="AF592" i="1" l="1"/>
  <c r="AF591" i="1"/>
  <c r="R529" i="1"/>
  <c r="R530" i="1"/>
  <c r="R531" i="1"/>
  <c r="R532" i="1"/>
  <c r="R533" i="1"/>
  <c r="R534" i="1"/>
  <c r="R535" i="1"/>
  <c r="R536" i="1"/>
  <c r="R537" i="1"/>
  <c r="R538" i="1"/>
  <c r="R539" i="1"/>
  <c r="R540" i="1"/>
  <c r="R541" i="1"/>
  <c r="R542" i="1"/>
  <c r="U529" i="1"/>
  <c r="U530" i="1"/>
  <c r="U531" i="1"/>
  <c r="U532" i="1"/>
  <c r="U533" i="1"/>
  <c r="U534" i="1"/>
  <c r="U535" i="1"/>
  <c r="U536" i="1"/>
  <c r="U537" i="1"/>
  <c r="U538" i="1"/>
  <c r="U539" i="1"/>
  <c r="U540" i="1"/>
  <c r="U541" i="1"/>
  <c r="U542" i="1"/>
  <c r="X529" i="1"/>
  <c r="X530" i="1"/>
  <c r="X531" i="1"/>
  <c r="X532" i="1"/>
  <c r="X533" i="1"/>
  <c r="X534" i="1"/>
  <c r="X535" i="1"/>
  <c r="X536" i="1"/>
  <c r="X537" i="1"/>
  <c r="X538" i="1"/>
  <c r="X539" i="1"/>
  <c r="X540" i="1"/>
  <c r="X541" i="1"/>
  <c r="X542" i="1"/>
  <c r="AA529" i="1"/>
  <c r="AA530" i="1"/>
  <c r="AA531" i="1"/>
  <c r="AA532" i="1"/>
  <c r="AA533" i="1"/>
  <c r="AA534" i="1"/>
  <c r="AA535" i="1"/>
  <c r="AA536" i="1"/>
  <c r="AA537" i="1"/>
  <c r="AA538" i="1"/>
  <c r="AA539" i="1"/>
  <c r="AA540" i="1"/>
  <c r="AA541" i="1"/>
  <c r="AA542" i="1"/>
  <c r="AJ389" i="1"/>
  <c r="AI389" i="1"/>
  <c r="AJ387" i="1"/>
  <c r="AI387" i="1"/>
  <c r="AJ391" i="1"/>
  <c r="AI391" i="1"/>
  <c r="AJ890" i="1"/>
  <c r="AI890" i="1"/>
  <c r="AI69" i="1"/>
  <c r="AJ183" i="1"/>
  <c r="AI183" i="1"/>
  <c r="AJ228" i="1"/>
  <c r="AI228" i="1"/>
  <c r="AJ19" i="1"/>
  <c r="AI19" i="1"/>
  <c r="AJ170" i="1"/>
  <c r="AI170" i="1"/>
  <c r="AJ323" i="1"/>
  <c r="AI323" i="1"/>
  <c r="AJ367" i="1"/>
  <c r="AI367" i="1"/>
  <c r="AJ290" i="1"/>
  <c r="AJ68" i="1"/>
  <c r="AI68" i="1"/>
  <c r="AJ221" i="1"/>
  <c r="AI221" i="1"/>
  <c r="AJ324" i="1"/>
  <c r="AI324" i="1"/>
  <c r="AJ871" i="1"/>
  <c r="AI871" i="1"/>
  <c r="AJ878" i="1"/>
  <c r="AI878" i="1"/>
  <c r="AF542" i="1" l="1"/>
  <c r="AF537" i="1"/>
  <c r="AF533" i="1"/>
  <c r="AF541" i="1"/>
  <c r="L540" i="1"/>
  <c r="L591" i="1"/>
  <c r="AF530" i="1"/>
  <c r="AF539" i="1"/>
  <c r="AF538" i="1"/>
  <c r="AF536" i="1"/>
  <c r="AF535" i="1"/>
  <c r="AF534" i="1"/>
  <c r="AF532" i="1"/>
  <c r="AF531" i="1"/>
  <c r="AF529" i="1"/>
  <c r="AJ865" i="1"/>
  <c r="AI865" i="1"/>
  <c r="AJ169" i="1"/>
  <c r="AI169" i="1"/>
  <c r="AJ168" i="1"/>
  <c r="AI168" i="1"/>
  <c r="AJ85" i="1"/>
  <c r="AI85" i="1"/>
  <c r="AJ269" i="1"/>
  <c r="AI269" i="1"/>
  <c r="AJ350" i="1"/>
  <c r="AI350" i="1"/>
  <c r="AI141" i="1"/>
  <c r="AJ167" i="1"/>
  <c r="AI167" i="1"/>
  <c r="AJ153" i="1"/>
  <c r="AI153" i="1"/>
  <c r="AJ143" i="1"/>
  <c r="AI143" i="1"/>
  <c r="AJ440" i="1"/>
  <c r="AI440" i="1"/>
  <c r="AJ261" i="1"/>
  <c r="AI261" i="1"/>
  <c r="AI243" i="1"/>
  <c r="AJ300" i="1"/>
  <c r="AI300" i="1"/>
  <c r="AJ354" i="1"/>
  <c r="AI354" i="1"/>
  <c r="AJ357" i="1"/>
  <c r="AI357" i="1"/>
  <c r="AJ155" i="1"/>
  <c r="AI155" i="1"/>
  <c r="AJ84" i="1"/>
  <c r="AI84" i="1"/>
  <c r="AI850" i="1"/>
  <c r="AJ880" i="1"/>
  <c r="AI880" i="1"/>
  <c r="AI845" i="1"/>
  <c r="AJ868" i="1"/>
  <c r="AJ804" i="1"/>
  <c r="AI804" i="1"/>
  <c r="AI864" i="1"/>
  <c r="AJ829" i="1"/>
  <c r="AI829" i="1"/>
  <c r="AI826" i="1"/>
  <c r="AI839" i="1"/>
  <c r="AJ879" i="1"/>
  <c r="AI879" i="1"/>
  <c r="AI856" i="1"/>
  <c r="AJ869" i="1"/>
  <c r="AI869" i="1"/>
  <c r="AI824" i="1"/>
  <c r="AJ101" i="1"/>
  <c r="AI101" i="1"/>
  <c r="AJ383" i="1"/>
  <c r="AI383" i="1"/>
  <c r="AJ280" i="1"/>
  <c r="AJ99" i="1"/>
  <c r="AI99" i="1"/>
  <c r="AJ337" i="1"/>
  <c r="AI337" i="1"/>
  <c r="AJ139" i="1"/>
  <c r="AJ31" i="1"/>
  <c r="AI31" i="1"/>
  <c r="AI794" i="1"/>
  <c r="AI807" i="1"/>
  <c r="AI806" i="1"/>
  <c r="AJ812" i="1"/>
  <c r="AI812" i="1"/>
  <c r="AJ795" i="1"/>
  <c r="AJ842" i="1"/>
  <c r="AI842" i="1"/>
  <c r="AJ790" i="1"/>
  <c r="AI790" i="1"/>
  <c r="AJ823" i="1"/>
  <c r="AJ793" i="1"/>
  <c r="AI793" i="1"/>
  <c r="AI808" i="1"/>
  <c r="AI822" i="1"/>
  <c r="AJ841" i="1"/>
  <c r="AI841" i="1"/>
  <c r="AJ792" i="1"/>
  <c r="AI792" i="1"/>
  <c r="AJ802" i="1"/>
  <c r="AI802" i="1"/>
  <c r="AI796" i="1"/>
  <c r="AJ346" i="1"/>
  <c r="AI346" i="1"/>
  <c r="AJ287" i="1"/>
  <c r="AI287" i="1"/>
  <c r="AI193" i="1"/>
  <c r="AJ274" i="1"/>
  <c r="AI274" i="1"/>
  <c r="AI690" i="1"/>
  <c r="AI777" i="1"/>
  <c r="AI675" i="1"/>
  <c r="AI643" i="1"/>
  <c r="R518" i="1"/>
  <c r="R519" i="1"/>
  <c r="R520" i="1"/>
  <c r="R521" i="1"/>
  <c r="R522" i="1"/>
  <c r="R523" i="1"/>
  <c r="R524" i="1"/>
  <c r="R525" i="1"/>
  <c r="R526" i="1"/>
  <c r="R527" i="1"/>
  <c r="R528" i="1"/>
  <c r="U518" i="1"/>
  <c r="U519" i="1"/>
  <c r="U520" i="1"/>
  <c r="U521" i="1"/>
  <c r="U522" i="1"/>
  <c r="U523" i="1"/>
  <c r="U524" i="1"/>
  <c r="U525" i="1"/>
  <c r="U526" i="1"/>
  <c r="U527" i="1"/>
  <c r="U528" i="1"/>
  <c r="X519" i="1"/>
  <c r="X520" i="1"/>
  <c r="X521" i="1"/>
  <c r="X522" i="1"/>
  <c r="X523" i="1"/>
  <c r="X524" i="1"/>
  <c r="X525" i="1"/>
  <c r="X526" i="1"/>
  <c r="X527" i="1"/>
  <c r="X528" i="1"/>
  <c r="X518" i="1"/>
  <c r="AA518" i="1"/>
  <c r="AA519" i="1"/>
  <c r="AA520" i="1"/>
  <c r="AA521" i="1"/>
  <c r="AA522" i="1"/>
  <c r="AA523" i="1"/>
  <c r="AA524" i="1"/>
  <c r="AA525" i="1"/>
  <c r="AA526" i="1"/>
  <c r="AA527" i="1"/>
  <c r="AA528" i="1"/>
  <c r="L533" i="1" l="1"/>
  <c r="L542" i="1"/>
  <c r="L537" i="1"/>
  <c r="L541" i="1"/>
  <c r="L530" i="1"/>
  <c r="AF540" i="1"/>
  <c r="L529" i="1"/>
  <c r="L535" i="1"/>
  <c r="L539" i="1"/>
  <c r="L538" i="1"/>
  <c r="L536" i="1"/>
  <c r="L534" i="1"/>
  <c r="L532" i="1"/>
  <c r="L531" i="1"/>
  <c r="AF526" i="1"/>
  <c r="L525" i="1"/>
  <c r="L524" i="1"/>
  <c r="L521" i="1"/>
  <c r="AF518" i="1"/>
  <c r="L527" i="1"/>
  <c r="AF523" i="1"/>
  <c r="L528" i="1"/>
  <c r="AF522" i="1"/>
  <c r="R516" i="1"/>
  <c r="R517" i="1"/>
  <c r="U516" i="1"/>
  <c r="U517" i="1"/>
  <c r="X517" i="1"/>
  <c r="X516" i="1"/>
  <c r="AA516" i="1"/>
  <c r="AA517" i="1"/>
  <c r="X515" i="1"/>
  <c r="AA515" i="1"/>
  <c r="U515" i="1"/>
  <c r="R515" i="1"/>
  <c r="X280" i="1"/>
  <c r="R514" i="1"/>
  <c r="U514" i="1"/>
  <c r="X514" i="1"/>
  <c r="AA514" i="1"/>
  <c r="R513" i="1"/>
  <c r="U513" i="1"/>
  <c r="X513" i="1"/>
  <c r="AA513" i="1"/>
  <c r="AA512" i="1"/>
  <c r="X512" i="1"/>
  <c r="U512" i="1"/>
  <c r="R512" i="1"/>
  <c r="R511" i="1"/>
  <c r="U511" i="1"/>
  <c r="X511" i="1"/>
  <c r="AA511" i="1"/>
  <c r="AA510" i="1"/>
  <c r="X510" i="1"/>
  <c r="U510" i="1"/>
  <c r="R510" i="1"/>
  <c r="R509" i="1"/>
  <c r="U509" i="1"/>
  <c r="X509" i="1"/>
  <c r="AA509" i="1"/>
  <c r="AA508" i="1"/>
  <c r="X508" i="1"/>
  <c r="U508" i="1"/>
  <c r="R508" i="1"/>
  <c r="L520" i="1" l="1"/>
  <c r="L518" i="1"/>
  <c r="AF527" i="1"/>
  <c r="AF515" i="1"/>
  <c r="AF513" i="1"/>
  <c r="AF528" i="1"/>
  <c r="L526" i="1"/>
  <c r="AF525" i="1"/>
  <c r="AF524" i="1"/>
  <c r="L523" i="1"/>
  <c r="AF521" i="1"/>
  <c r="AF520" i="1"/>
  <c r="L522" i="1"/>
  <c r="AF519" i="1"/>
  <c r="L519" i="1"/>
  <c r="AF516" i="1"/>
  <c r="AF517" i="1"/>
  <c r="AF510" i="1"/>
  <c r="AF514" i="1"/>
  <c r="AF508" i="1"/>
  <c r="AF512" i="1"/>
  <c r="AA507" i="1"/>
  <c r="X507" i="1"/>
  <c r="U507" i="1"/>
  <c r="R507" i="1"/>
  <c r="AA506" i="1"/>
  <c r="X506" i="1"/>
  <c r="U506" i="1"/>
  <c r="R506" i="1"/>
  <c r="AA505" i="1"/>
  <c r="X505" i="1"/>
  <c r="U505" i="1"/>
  <c r="R505" i="1"/>
  <c r="AA504" i="1"/>
  <c r="X504" i="1"/>
  <c r="U504" i="1"/>
  <c r="R504" i="1"/>
  <c r="AA503" i="1"/>
  <c r="X503" i="1"/>
  <c r="U503" i="1"/>
  <c r="R503" i="1"/>
  <c r="AA502" i="1"/>
  <c r="X502" i="1"/>
  <c r="U502" i="1"/>
  <c r="R502" i="1"/>
  <c r="AA501" i="1"/>
  <c r="X501" i="1"/>
  <c r="U501" i="1"/>
  <c r="R501" i="1"/>
  <c r="AA590" i="1"/>
  <c r="X590" i="1"/>
  <c r="U590" i="1"/>
  <c r="R590" i="1"/>
  <c r="AA500" i="1"/>
  <c r="X500" i="1"/>
  <c r="U500" i="1"/>
  <c r="R500" i="1"/>
  <c r="L514" i="1" l="1"/>
  <c r="L513" i="1"/>
  <c r="L515" i="1"/>
  <c r="L516" i="1"/>
  <c r="L512" i="1"/>
  <c r="L517" i="1"/>
  <c r="AF500" i="1"/>
  <c r="AF505" i="1"/>
  <c r="AF503" i="1"/>
  <c r="AF504" i="1"/>
  <c r="L510" i="1"/>
  <c r="AF590" i="1"/>
  <c r="L508" i="1"/>
  <c r="AF501" i="1"/>
  <c r="L506" i="1"/>
  <c r="AF507" i="1"/>
  <c r="AF509" i="1"/>
  <c r="L509" i="1"/>
  <c r="AF511" i="1"/>
  <c r="L511" i="1"/>
  <c r="AA498" i="1"/>
  <c r="AA499" i="1"/>
  <c r="X499" i="1"/>
  <c r="X498" i="1"/>
  <c r="U499" i="1"/>
  <c r="R498" i="1"/>
  <c r="R499" i="1"/>
  <c r="U498" i="1"/>
  <c r="AA497" i="1"/>
  <c r="X497" i="1"/>
  <c r="U497" i="1"/>
  <c r="R497" i="1"/>
  <c r="R496" i="1"/>
  <c r="U496" i="1"/>
  <c r="X496" i="1"/>
  <c r="AA496" i="1"/>
  <c r="AA495" i="1"/>
  <c r="X495" i="1"/>
  <c r="U495" i="1"/>
  <c r="R495" i="1"/>
  <c r="R494" i="1"/>
  <c r="U494" i="1"/>
  <c r="X494" i="1"/>
  <c r="AA494" i="1"/>
  <c r="AA493" i="1"/>
  <c r="X493" i="1"/>
  <c r="U493" i="1"/>
  <c r="R493" i="1"/>
  <c r="L504" i="1" l="1"/>
  <c r="L590" i="1"/>
  <c r="L503" i="1"/>
  <c r="L505" i="1"/>
  <c r="L507" i="1"/>
  <c r="L500" i="1"/>
  <c r="AF506" i="1"/>
  <c r="L502" i="1"/>
  <c r="AF502" i="1"/>
  <c r="L501" i="1"/>
  <c r="AF495" i="1"/>
  <c r="AF498" i="1"/>
  <c r="L493" i="1"/>
  <c r="AF496" i="1"/>
  <c r="AF494" i="1"/>
  <c r="R492" i="1"/>
  <c r="U492" i="1"/>
  <c r="X492" i="1"/>
  <c r="AA492" i="1"/>
  <c r="AA491" i="1"/>
  <c r="X491" i="1"/>
  <c r="U491" i="1"/>
  <c r="R491" i="1"/>
  <c r="AA490" i="1"/>
  <c r="X490" i="1"/>
  <c r="U490" i="1"/>
  <c r="R490" i="1"/>
  <c r="AA489" i="1"/>
  <c r="X489" i="1"/>
  <c r="U489" i="1"/>
  <c r="R489" i="1"/>
  <c r="AA488" i="1"/>
  <c r="X488" i="1"/>
  <c r="U488" i="1"/>
  <c r="R488" i="1"/>
  <c r="AA487" i="1"/>
  <c r="X487" i="1"/>
  <c r="U487" i="1"/>
  <c r="R487" i="1"/>
  <c r="R584" i="1"/>
  <c r="R585" i="1"/>
  <c r="R586" i="1"/>
  <c r="R587" i="1"/>
  <c r="R588" i="1"/>
  <c r="R589" i="1"/>
  <c r="R603" i="1"/>
  <c r="R604" i="1"/>
  <c r="AA486" i="1"/>
  <c r="X486" i="1"/>
  <c r="U486" i="1"/>
  <c r="R486" i="1"/>
  <c r="AA485" i="1"/>
  <c r="X485" i="1"/>
  <c r="U485" i="1"/>
  <c r="R485" i="1"/>
  <c r="L495" i="1" l="1"/>
  <c r="AF493" i="1"/>
  <c r="L494" i="1"/>
  <c r="L498" i="1"/>
  <c r="AF499" i="1"/>
  <c r="L499" i="1"/>
  <c r="L497" i="1"/>
  <c r="AF497" i="1"/>
  <c r="AF488" i="1"/>
  <c r="AF490" i="1"/>
  <c r="AF491" i="1"/>
  <c r="AF489" i="1"/>
  <c r="L496" i="1"/>
  <c r="AF486" i="1"/>
  <c r="AF485" i="1"/>
  <c r="AF487" i="1"/>
  <c r="AA484" i="1"/>
  <c r="X484" i="1"/>
  <c r="U484" i="1"/>
  <c r="R484" i="1"/>
  <c r="AA483" i="1"/>
  <c r="X483" i="1"/>
  <c r="U483" i="1"/>
  <c r="R483" i="1"/>
  <c r="AA589" i="1"/>
  <c r="X589" i="1"/>
  <c r="U589" i="1"/>
  <c r="AA588" i="1"/>
  <c r="X588" i="1"/>
  <c r="U588" i="1"/>
  <c r="U587" i="1"/>
  <c r="AA587" i="1"/>
  <c r="X587" i="1"/>
  <c r="L490" i="1" l="1"/>
  <c r="L491" i="1"/>
  <c r="L485" i="1"/>
  <c r="L489" i="1"/>
  <c r="L488" i="1"/>
  <c r="L487" i="1"/>
  <c r="AF492" i="1"/>
  <c r="L492" i="1"/>
  <c r="AF483" i="1"/>
  <c r="AF484" i="1"/>
  <c r="L486" i="1"/>
  <c r="L484" i="1" l="1"/>
  <c r="L483" i="1"/>
  <c r="AA482" i="1"/>
  <c r="X482" i="1"/>
  <c r="U482" i="1"/>
  <c r="R482" i="1"/>
  <c r="U586" i="1"/>
  <c r="X586" i="1"/>
  <c r="AA586" i="1"/>
  <c r="AA479" i="1"/>
  <c r="AA480" i="1"/>
  <c r="AA481" i="1"/>
  <c r="X479" i="1"/>
  <c r="X480" i="1"/>
  <c r="X481" i="1"/>
  <c r="U479" i="1"/>
  <c r="U480" i="1"/>
  <c r="U481" i="1"/>
  <c r="R479" i="1"/>
  <c r="R480" i="1"/>
  <c r="R481" i="1"/>
  <c r="AF586" i="1" l="1"/>
  <c r="AF482" i="1"/>
  <c r="AF479" i="1"/>
  <c r="L589" i="1"/>
  <c r="AF589" i="1"/>
  <c r="AF587" i="1"/>
  <c r="L587" i="1"/>
  <c r="AF588" i="1"/>
  <c r="L588" i="1"/>
  <c r="AF481" i="1"/>
  <c r="AF480" i="1"/>
  <c r="AJ307" i="1"/>
  <c r="AI307" i="1"/>
  <c r="AJ246" i="1"/>
  <c r="AI246" i="1"/>
  <c r="AJ340" i="1"/>
  <c r="AI340" i="1"/>
  <c r="AI884" i="1"/>
  <c r="AI861" i="1"/>
  <c r="AI882" i="1"/>
  <c r="AI886" i="1"/>
  <c r="AI862" i="1"/>
  <c r="AI860" i="1"/>
  <c r="AJ18" i="1"/>
  <c r="AI18" i="1"/>
  <c r="AJ339" i="1"/>
  <c r="AI339" i="1"/>
  <c r="AJ351" i="1"/>
  <c r="AI351" i="1"/>
  <c r="AJ156" i="1"/>
  <c r="AI156" i="1"/>
  <c r="AJ41" i="1"/>
  <c r="AI41" i="1"/>
  <c r="AJ433" i="1"/>
  <c r="AI433" i="1"/>
  <c r="AJ334" i="1"/>
  <c r="AI334" i="1"/>
  <c r="AJ322" i="1"/>
  <c r="AI322" i="1"/>
  <c r="AJ305" i="1"/>
  <c r="AI305" i="1"/>
  <c r="AJ15" i="1"/>
  <c r="AI15" i="1"/>
  <c r="AJ243" i="1"/>
  <c r="AJ264" i="1"/>
  <c r="AI264" i="1"/>
  <c r="AJ338" i="1"/>
  <c r="AI338" i="1"/>
  <c r="AJ289" i="1"/>
  <c r="AI289" i="1"/>
  <c r="AJ154" i="1"/>
  <c r="AI154" i="1"/>
  <c r="AJ16" i="1"/>
  <c r="AI16" i="1"/>
  <c r="AI855" i="1"/>
  <c r="AI854" i="1"/>
  <c r="AI853" i="1"/>
  <c r="AI852" i="1"/>
  <c r="AI830" i="1"/>
  <c r="AI821" i="1"/>
  <c r="AI863" i="1"/>
  <c r="AI873" i="1"/>
  <c r="AJ848" i="1"/>
  <c r="AI848" i="1"/>
  <c r="AI846" i="1"/>
  <c r="AJ843" i="1"/>
  <c r="AI843" i="1"/>
  <c r="AI831" i="1"/>
  <c r="AJ835" i="1"/>
  <c r="AI835" i="1"/>
  <c r="AI819" i="1"/>
  <c r="AI836" i="1"/>
  <c r="AJ365" i="1"/>
  <c r="AI365" i="1"/>
  <c r="AJ181" i="1"/>
  <c r="AI181" i="1"/>
  <c r="AJ100" i="1"/>
  <c r="AI100" i="1"/>
  <c r="AJ788" i="1"/>
  <c r="AI810" i="1"/>
  <c r="AI783" i="1"/>
  <c r="AI815" i="1"/>
  <c r="AI785" i="1"/>
  <c r="AI844" i="1"/>
  <c r="AI814" i="1"/>
  <c r="AI801" i="1"/>
  <c r="AI782" i="1"/>
  <c r="AJ36" i="1"/>
  <c r="AI36" i="1"/>
  <c r="AJ82" i="1"/>
  <c r="AI82" i="1"/>
  <c r="AJ279" i="1"/>
  <c r="AI279" i="1"/>
  <c r="AJ177" i="1"/>
  <c r="AI177" i="1"/>
  <c r="AJ149" i="1"/>
  <c r="AI149" i="1"/>
  <c r="AJ193" i="1"/>
  <c r="AJ195" i="1"/>
  <c r="AI195" i="1"/>
  <c r="AI763" i="1"/>
  <c r="AI637" i="1"/>
  <c r="AI680" i="1"/>
  <c r="AI452" i="1"/>
  <c r="AI651" i="1"/>
  <c r="AI604" i="1"/>
  <c r="U585" i="1"/>
  <c r="X585" i="1"/>
  <c r="AA585" i="1"/>
  <c r="R478" i="1"/>
  <c r="U478" i="1"/>
  <c r="X478" i="1"/>
  <c r="AA478" i="1"/>
  <c r="L586" i="1" l="1"/>
  <c r="L482" i="1"/>
  <c r="L479" i="1"/>
  <c r="L481" i="1"/>
  <c r="L480" i="1"/>
  <c r="AF478" i="1"/>
  <c r="AF585" i="1"/>
  <c r="L478" i="1" l="1"/>
  <c r="L585" i="1"/>
  <c r="AA474" i="1"/>
  <c r="AA475" i="1"/>
  <c r="AA476" i="1"/>
  <c r="AA477" i="1"/>
  <c r="X474" i="1"/>
  <c r="X475" i="1"/>
  <c r="X476" i="1"/>
  <c r="X477" i="1"/>
  <c r="U474" i="1"/>
  <c r="U475" i="1"/>
  <c r="U476" i="1"/>
  <c r="U477" i="1"/>
  <c r="R474" i="1"/>
  <c r="R475" i="1"/>
  <c r="R476" i="1"/>
  <c r="R477" i="1"/>
  <c r="R470" i="1"/>
  <c r="R471" i="1"/>
  <c r="R472" i="1"/>
  <c r="R473" i="1"/>
  <c r="U470" i="1"/>
  <c r="U471" i="1"/>
  <c r="U472" i="1"/>
  <c r="U473" i="1"/>
  <c r="X470" i="1"/>
  <c r="X471" i="1"/>
  <c r="X472" i="1"/>
  <c r="X473" i="1"/>
  <c r="AA470" i="1"/>
  <c r="AA471" i="1"/>
  <c r="AA472" i="1"/>
  <c r="AA473" i="1"/>
  <c r="AA468" i="1"/>
  <c r="AA469" i="1"/>
  <c r="X468" i="1"/>
  <c r="U468" i="1"/>
  <c r="U469" i="1"/>
  <c r="R468" i="1"/>
  <c r="R469" i="1"/>
  <c r="AA584" i="1"/>
  <c r="X584" i="1"/>
  <c r="U584" i="1"/>
  <c r="R464" i="1"/>
  <c r="R465" i="1"/>
  <c r="R466" i="1"/>
  <c r="R467" i="1"/>
  <c r="U464" i="1"/>
  <c r="U465" i="1"/>
  <c r="U466" i="1"/>
  <c r="U467" i="1"/>
  <c r="X467" i="1"/>
  <c r="X466" i="1"/>
  <c r="X465" i="1"/>
  <c r="X464" i="1"/>
  <c r="AA464" i="1"/>
  <c r="AA465" i="1"/>
  <c r="AA466" i="1"/>
  <c r="AA467" i="1"/>
  <c r="R463" i="1"/>
  <c r="AA463" i="1"/>
  <c r="U463" i="1"/>
  <c r="X463" i="1"/>
  <c r="R61" i="1"/>
  <c r="U61" i="1"/>
  <c r="X61" i="1"/>
  <c r="AA457" i="1"/>
  <c r="AA458" i="1"/>
  <c r="AA459" i="1"/>
  <c r="AA460" i="1"/>
  <c r="AA461" i="1"/>
  <c r="AA462" i="1"/>
  <c r="AA456" i="1"/>
  <c r="X457" i="1"/>
  <c r="X458" i="1"/>
  <c r="X459" i="1"/>
  <c r="X460" i="1"/>
  <c r="X461" i="1"/>
  <c r="X462" i="1"/>
  <c r="X456" i="1"/>
  <c r="U457" i="1"/>
  <c r="U458" i="1"/>
  <c r="U459" i="1"/>
  <c r="U460" i="1"/>
  <c r="U461" i="1"/>
  <c r="U462" i="1"/>
  <c r="U456" i="1"/>
  <c r="R457" i="1"/>
  <c r="R458" i="1"/>
  <c r="R459" i="1"/>
  <c r="R460" i="1"/>
  <c r="R461" i="1"/>
  <c r="R462" i="1"/>
  <c r="R456" i="1"/>
  <c r="AF473" i="1" l="1"/>
  <c r="L474" i="1"/>
  <c r="AF470" i="1"/>
  <c r="AF476" i="1"/>
  <c r="AF475" i="1"/>
  <c r="AF472" i="1"/>
  <c r="AF468" i="1"/>
  <c r="AF467" i="1"/>
  <c r="AF466" i="1"/>
  <c r="AF464" i="1"/>
  <c r="AF463" i="1"/>
  <c r="AF461" i="1"/>
  <c r="AF458" i="1"/>
  <c r="AF460" i="1"/>
  <c r="R892" i="1"/>
  <c r="U892" i="1"/>
  <c r="X892" i="1"/>
  <c r="AA892" i="1"/>
  <c r="U277" i="1"/>
  <c r="R277" i="1"/>
  <c r="X277" i="1"/>
  <c r="AA277" i="1"/>
  <c r="AA91" i="1"/>
  <c r="X91" i="1"/>
  <c r="U91" i="1"/>
  <c r="R91" i="1"/>
  <c r="R436" i="1"/>
  <c r="U436" i="1"/>
  <c r="X436" i="1"/>
  <c r="AA436" i="1"/>
  <c r="R231" i="1"/>
  <c r="U231" i="1"/>
  <c r="X231" i="1"/>
  <c r="AA231" i="1"/>
  <c r="R113" i="1"/>
  <c r="U113" i="1"/>
  <c r="X113" i="1"/>
  <c r="AA113" i="1"/>
  <c r="AF457" i="1" l="1"/>
  <c r="AF456" i="1"/>
  <c r="L472" i="1"/>
  <c r="L473" i="1"/>
  <c r="AF474" i="1"/>
  <c r="L456" i="1"/>
  <c r="L470" i="1"/>
  <c r="L468" i="1"/>
  <c r="AF477" i="1"/>
  <c r="L477" i="1"/>
  <c r="L476" i="1"/>
  <c r="L475" i="1"/>
  <c r="AF471" i="1"/>
  <c r="L471" i="1"/>
  <c r="L584" i="1"/>
  <c r="AF584" i="1"/>
  <c r="AF465" i="1"/>
  <c r="L465" i="1"/>
  <c r="L464" i="1"/>
  <c r="L466" i="1"/>
  <c r="L467" i="1"/>
  <c r="L463" i="1"/>
  <c r="AF61" i="1"/>
  <c r="L61" i="1"/>
  <c r="AF462" i="1"/>
  <c r="L462" i="1"/>
  <c r="L461" i="1"/>
  <c r="L460" i="1"/>
  <c r="AF459" i="1"/>
  <c r="L459" i="1"/>
  <c r="L458" i="1"/>
  <c r="L457" i="1"/>
  <c r="L892" i="1"/>
  <c r="AF277" i="1"/>
  <c r="AF113" i="1"/>
  <c r="AF231" i="1"/>
  <c r="R361" i="1"/>
  <c r="U361" i="1"/>
  <c r="X361" i="1"/>
  <c r="AA361" i="1"/>
  <c r="R254" i="1"/>
  <c r="U254" i="1"/>
  <c r="X254" i="1"/>
  <c r="AA254" i="1"/>
  <c r="R326" i="1"/>
  <c r="U326" i="1"/>
  <c r="X326" i="1"/>
  <c r="AA326" i="1"/>
  <c r="U413" i="1"/>
  <c r="X413" i="1"/>
  <c r="AA413" i="1"/>
  <c r="R414" i="1"/>
  <c r="R415" i="1"/>
  <c r="R416" i="1"/>
  <c r="R417" i="1"/>
  <c r="R418" i="1"/>
  <c r="R419" i="1"/>
  <c r="R420" i="1"/>
  <c r="R421" i="1"/>
  <c r="R422" i="1"/>
  <c r="R423" i="1"/>
  <c r="R413" i="1"/>
  <c r="AF892" i="1" l="1"/>
  <c r="L113" i="1"/>
  <c r="L277" i="1"/>
  <c r="L91" i="1"/>
  <c r="AF91" i="1"/>
  <c r="L436" i="1"/>
  <c r="AF436" i="1"/>
  <c r="L231" i="1"/>
  <c r="AF326" i="1"/>
  <c r="AF361" i="1"/>
  <c r="AF254" i="1"/>
  <c r="L413" i="1"/>
  <c r="L254" i="1" l="1"/>
  <c r="L326" i="1"/>
  <c r="AF413" i="1"/>
  <c r="L361" i="1"/>
  <c r="AJ434" i="1"/>
  <c r="AI434" i="1"/>
  <c r="AI245" i="1"/>
  <c r="AJ888" i="1"/>
  <c r="AI888" i="1"/>
  <c r="AJ883" i="1"/>
  <c r="AI883" i="1"/>
  <c r="AJ882" i="1"/>
  <c r="AJ66" i="1"/>
  <c r="AI66" i="1"/>
  <c r="AJ281" i="1"/>
  <c r="AI281" i="1"/>
  <c r="AJ51" i="1"/>
  <c r="AI51" i="1"/>
  <c r="AI288" i="1"/>
  <c r="AJ333" i="1"/>
  <c r="AI333" i="1"/>
  <c r="AJ306" i="1"/>
  <c r="AI306" i="1"/>
  <c r="AJ50" i="1"/>
  <c r="AI50" i="1"/>
  <c r="AJ128" i="1"/>
  <c r="AI128" i="1"/>
  <c r="AI811" i="1"/>
  <c r="AI827" i="1"/>
  <c r="AJ832" i="1"/>
  <c r="AI832" i="1"/>
  <c r="AI816" i="1"/>
  <c r="AJ849" i="1" l="1"/>
  <c r="AI849" i="1"/>
  <c r="AI837" i="1"/>
  <c r="AI881" i="1"/>
  <c r="AJ125" i="1"/>
  <c r="AI125" i="1"/>
  <c r="AJ14" i="1"/>
  <c r="AI14" i="1"/>
  <c r="AJ786" i="1"/>
  <c r="AI805" i="1"/>
  <c r="AJ785" i="1"/>
  <c r="AJ789" i="1"/>
  <c r="AI789" i="1"/>
  <c r="AI813" i="1"/>
  <c r="AJ375" i="1"/>
  <c r="AI375" i="1"/>
  <c r="AI706" i="1"/>
  <c r="AJ674" i="1"/>
  <c r="AI674" i="1"/>
  <c r="AI662" i="1"/>
  <c r="AI29" i="1"/>
  <c r="AI652" i="1"/>
  <c r="AI623" i="1"/>
  <c r="U412" i="1"/>
  <c r="X412" i="1"/>
  <c r="AA412" i="1"/>
  <c r="R412" i="1"/>
  <c r="U272" i="1"/>
  <c r="X272" i="1"/>
  <c r="AA272" i="1"/>
  <c r="R272" i="1"/>
  <c r="AA137" i="1"/>
  <c r="X137" i="1"/>
  <c r="U137" i="1"/>
  <c r="R137" i="1"/>
  <c r="R45" i="1"/>
  <c r="U45" i="1"/>
  <c r="X45" i="1"/>
  <c r="R343" i="1"/>
  <c r="U343" i="1"/>
  <c r="X343" i="1"/>
  <c r="AA343" i="1"/>
  <c r="AF412" i="1" l="1"/>
  <c r="AF343" i="1"/>
  <c r="AF272" i="1"/>
  <c r="AF45" i="1"/>
  <c r="R144" i="1"/>
  <c r="U144" i="1"/>
  <c r="X144" i="1"/>
  <c r="AA144" i="1"/>
  <c r="R253" i="1"/>
  <c r="U253" i="1"/>
  <c r="X253" i="1"/>
  <c r="AA253" i="1"/>
  <c r="R411" i="1"/>
  <c r="U411" i="1"/>
  <c r="X411" i="1"/>
  <c r="AA411" i="1"/>
  <c r="U284" i="1"/>
  <c r="X284" i="1"/>
  <c r="AA284" i="1"/>
  <c r="R284" i="1"/>
  <c r="R410" i="1"/>
  <c r="U410" i="1"/>
  <c r="X410" i="1"/>
  <c r="AA410" i="1"/>
  <c r="R44" i="1"/>
  <c r="U44" i="1"/>
  <c r="X44" i="1"/>
  <c r="R380" i="1"/>
  <c r="U380" i="1"/>
  <c r="X380" i="1"/>
  <c r="R342" i="1"/>
  <c r="U342" i="1"/>
  <c r="X342" i="1"/>
  <c r="AA342" i="1"/>
  <c r="R176" i="1"/>
  <c r="U176" i="1"/>
  <c r="X176" i="1"/>
  <c r="AA176" i="1"/>
  <c r="L412" i="1" l="1"/>
  <c r="L343" i="1"/>
  <c r="L272" i="1"/>
  <c r="L137" i="1"/>
  <c r="AF137" i="1"/>
  <c r="L45" i="1"/>
  <c r="AF144" i="1"/>
  <c r="AF411" i="1"/>
  <c r="AF410" i="1"/>
  <c r="AF380" i="1"/>
  <c r="AF284" i="1"/>
  <c r="L44" i="1"/>
  <c r="AF176" i="1"/>
  <c r="AF342" i="1"/>
  <c r="U423" i="1"/>
  <c r="X423" i="1"/>
  <c r="AA423" i="1"/>
  <c r="U33" i="1"/>
  <c r="X33" i="1"/>
  <c r="AA33" i="1"/>
  <c r="R33" i="1"/>
  <c r="R90" i="1"/>
  <c r="U90" i="1"/>
  <c r="X90" i="1"/>
  <c r="AA90" i="1"/>
  <c r="L380" i="1" l="1"/>
  <c r="L410" i="1"/>
  <c r="L144" i="1"/>
  <c r="L411" i="1"/>
  <c r="AF253" i="1"/>
  <c r="L253" i="1"/>
  <c r="L284" i="1"/>
  <c r="AF44" i="1"/>
  <c r="AF90" i="1"/>
  <c r="L176" i="1"/>
  <c r="L342" i="1"/>
  <c r="AF423" i="1"/>
  <c r="AF33" i="1"/>
  <c r="U252" i="1"/>
  <c r="R252" i="1"/>
  <c r="X252" i="1"/>
  <c r="AA252" i="1"/>
  <c r="L33" i="1" l="1"/>
  <c r="L90" i="1"/>
  <c r="L423" i="1"/>
  <c r="AF252" i="1"/>
  <c r="AA271" i="1"/>
  <c r="R271" i="1"/>
  <c r="U271" i="1"/>
  <c r="X271" i="1"/>
  <c r="R309" i="1"/>
  <c r="U309" i="1"/>
  <c r="X309" i="1"/>
  <c r="AA309" i="1"/>
  <c r="R230" i="1"/>
  <c r="U230" i="1"/>
  <c r="X230" i="1"/>
  <c r="AA230" i="1"/>
  <c r="R409" i="1"/>
  <c r="U409" i="1"/>
  <c r="X409" i="1"/>
  <c r="AA409" i="1"/>
  <c r="U379" i="1"/>
  <c r="X379" i="1"/>
  <c r="R379" i="1"/>
  <c r="L252" i="1" l="1"/>
  <c r="AF309" i="1"/>
  <c r="AF230" i="1"/>
  <c r="AF379" i="1" l="1"/>
  <c r="AF271" i="1"/>
  <c r="L230" i="1"/>
  <c r="L271" i="1"/>
  <c r="L309" i="1"/>
  <c r="L379" i="1"/>
  <c r="L409" i="1"/>
  <c r="AF409" i="1"/>
  <c r="AJ103" i="1" l="1"/>
  <c r="AI103" i="1"/>
  <c r="AJ211" i="1"/>
  <c r="AI211" i="1"/>
  <c r="AJ288" i="1"/>
  <c r="AJ17" i="1"/>
  <c r="AI17" i="1"/>
  <c r="AJ355" i="1"/>
  <c r="AI355" i="1"/>
  <c r="AJ803" i="1" l="1"/>
  <c r="AI803" i="1"/>
  <c r="AI828" i="1"/>
  <c r="AJ313" i="1"/>
  <c r="AI313" i="1"/>
  <c r="AJ83" i="1"/>
  <c r="AI83" i="1"/>
  <c r="AJ98" i="1"/>
  <c r="AI98" i="1"/>
  <c r="AJ798" i="1"/>
  <c r="AI798" i="1"/>
  <c r="AJ122" i="1"/>
  <c r="AI122" i="1"/>
  <c r="AJ236" i="1"/>
  <c r="AJ363" i="1"/>
  <c r="AI363" i="1"/>
  <c r="AJ13" i="1"/>
  <c r="AI13" i="1"/>
  <c r="AI634" i="1"/>
  <c r="AI605" i="1"/>
  <c r="R435" i="1"/>
  <c r="U435" i="1"/>
  <c r="AA435" i="1"/>
  <c r="X435" i="1"/>
  <c r="R408" i="1"/>
  <c r="U408" i="1"/>
  <c r="X407" i="1"/>
  <c r="X408" i="1"/>
  <c r="AA408" i="1"/>
  <c r="R445" i="1"/>
  <c r="U445" i="1"/>
  <c r="X445" i="1"/>
  <c r="AA445" i="1"/>
  <c r="U371" i="1"/>
  <c r="X371" i="1"/>
  <c r="AA371" i="1"/>
  <c r="R371" i="1"/>
  <c r="R161" i="1"/>
  <c r="U161" i="1"/>
  <c r="X161" i="1"/>
  <c r="AA161" i="1"/>
  <c r="R444" i="1"/>
  <c r="U444" i="1"/>
  <c r="X444" i="1"/>
  <c r="AA444" i="1"/>
  <c r="R308" i="1"/>
  <c r="U308" i="1"/>
  <c r="X308" i="1"/>
  <c r="AA308" i="1"/>
  <c r="R160" i="1"/>
  <c r="R112" i="1"/>
  <c r="U112" i="1"/>
  <c r="X112" i="1"/>
  <c r="AA112" i="1"/>
  <c r="U160" i="1"/>
  <c r="X160" i="1"/>
  <c r="AA160" i="1"/>
  <c r="R186" i="1"/>
  <c r="U186" i="1"/>
  <c r="X186" i="1"/>
  <c r="AA186" i="1"/>
  <c r="U212" i="1"/>
  <c r="R212" i="1"/>
  <c r="X212" i="1"/>
  <c r="AA212" i="1"/>
  <c r="R111" i="1"/>
  <c r="U111" i="1"/>
  <c r="X111" i="1"/>
  <c r="AA111" i="1"/>
  <c r="R110" i="1"/>
  <c r="U110" i="1"/>
  <c r="X110" i="1"/>
  <c r="AA110" i="1"/>
  <c r="R325" i="1"/>
  <c r="U325" i="1"/>
  <c r="X325" i="1"/>
  <c r="AA325" i="1"/>
  <c r="AA197" i="1"/>
  <c r="R197" i="1"/>
  <c r="U197" i="1"/>
  <c r="X197" i="1"/>
  <c r="R185" i="1"/>
  <c r="U185" i="1"/>
  <c r="X185" i="1"/>
  <c r="AA185" i="1"/>
  <c r="R443" i="1"/>
  <c r="U443" i="1"/>
  <c r="X443" i="1"/>
  <c r="AA443" i="1"/>
  <c r="AA868" i="1"/>
  <c r="R407" i="1"/>
  <c r="U407" i="1"/>
  <c r="AA407" i="1"/>
  <c r="R53" i="1"/>
  <c r="U53" i="1"/>
  <c r="X53" i="1"/>
  <c r="R205" i="1"/>
  <c r="U205" i="1"/>
  <c r="X205" i="1"/>
  <c r="AA205" i="1"/>
  <c r="U406" i="1"/>
  <c r="X406" i="1"/>
  <c r="AA406" i="1"/>
  <c r="R405" i="1"/>
  <c r="U405" i="1"/>
  <c r="X405" i="1"/>
  <c r="AA405" i="1"/>
  <c r="R26" i="1"/>
  <c r="U26" i="1"/>
  <c r="X26" i="1"/>
  <c r="AA26" i="1"/>
  <c r="R159" i="1"/>
  <c r="U159" i="1"/>
  <c r="X159" i="1"/>
  <c r="AA159" i="1"/>
  <c r="R404" i="1"/>
  <c r="U404" i="1"/>
  <c r="X404" i="1"/>
  <c r="AA404" i="1"/>
  <c r="AA360" i="1"/>
  <c r="X360" i="1"/>
  <c r="U360" i="1"/>
  <c r="R360" i="1"/>
  <c r="R403" i="1"/>
  <c r="U403" i="1"/>
  <c r="X403" i="1"/>
  <c r="AA403" i="1"/>
  <c r="AF325" i="1" l="1"/>
  <c r="AF407" i="1"/>
  <c r="AF308" i="1"/>
  <c r="AF445" i="1"/>
  <c r="AF408" i="1"/>
  <c r="AF161" i="1"/>
  <c r="AF405" i="1"/>
  <c r="AF111" i="1"/>
  <c r="AF186" i="1"/>
  <c r="AF112" i="1"/>
  <c r="AF110" i="1"/>
  <c r="AF160" i="1"/>
  <c r="AF444" i="1"/>
  <c r="AF212" i="1"/>
  <c r="AF403" i="1"/>
  <c r="AF26" i="1"/>
  <c r="L197" i="1"/>
  <c r="AF443" i="1"/>
  <c r="AF53" i="1"/>
  <c r="AF159" i="1"/>
  <c r="AF404" i="1"/>
  <c r="R60" i="1"/>
  <c r="U60" i="1"/>
  <c r="X60" i="1"/>
  <c r="R178" i="1"/>
  <c r="U178" i="1"/>
  <c r="X178" i="1"/>
  <c r="AA178" i="1"/>
  <c r="R370" i="1"/>
  <c r="U370" i="1"/>
  <c r="X370" i="1"/>
  <c r="AA370" i="1"/>
  <c r="R359" i="1"/>
  <c r="U359" i="1"/>
  <c r="X359" i="1"/>
  <c r="AA359" i="1"/>
  <c r="R402" i="1"/>
  <c r="U402" i="1"/>
  <c r="X402" i="1"/>
  <c r="AA402" i="1"/>
  <c r="R109" i="1"/>
  <c r="U109" i="1"/>
  <c r="X109" i="1"/>
  <c r="AA109" i="1"/>
  <c r="R358" i="1"/>
  <c r="U358" i="1"/>
  <c r="X358" i="1"/>
  <c r="AA358" i="1"/>
  <c r="R369" i="1"/>
  <c r="U369" i="1"/>
  <c r="X369" i="1"/>
  <c r="AA369" i="1"/>
  <c r="R283" i="1"/>
  <c r="U283" i="1"/>
  <c r="X283" i="1"/>
  <c r="AA283" i="1"/>
  <c r="R251" i="1"/>
  <c r="U251" i="1"/>
  <c r="X251" i="1"/>
  <c r="AA251" i="1"/>
  <c r="U401" i="1"/>
  <c r="X401" i="1"/>
  <c r="AA401" i="1"/>
  <c r="R401" i="1"/>
  <c r="U400" i="1"/>
  <c r="R400" i="1"/>
  <c r="X400" i="1"/>
  <c r="AA400" i="1"/>
  <c r="R399" i="1"/>
  <c r="U399" i="1"/>
  <c r="X399" i="1"/>
  <c r="AA399" i="1"/>
  <c r="R175" i="1"/>
  <c r="U175" i="1"/>
  <c r="X175" i="1"/>
  <c r="AA175" i="1"/>
  <c r="R158" i="1"/>
  <c r="U158" i="1"/>
  <c r="X158" i="1"/>
  <c r="AA158" i="1"/>
  <c r="Q158" i="1"/>
  <c r="P158" i="1"/>
  <c r="R89" i="1"/>
  <c r="U89" i="1"/>
  <c r="X89" i="1"/>
  <c r="AA89" i="1"/>
  <c r="R229" i="1"/>
  <c r="U229" i="1"/>
  <c r="X229" i="1"/>
  <c r="AA229" i="1"/>
  <c r="R250" i="1"/>
  <c r="U250" i="1"/>
  <c r="X250" i="1"/>
  <c r="AA250" i="1"/>
  <c r="R398" i="1"/>
  <c r="U398" i="1"/>
  <c r="X398" i="1"/>
  <c r="AA398" i="1"/>
  <c r="R184" i="1"/>
  <c r="U184" i="1"/>
  <c r="X184" i="1"/>
  <c r="AA184" i="1"/>
  <c r="R397" i="1"/>
  <c r="U397" i="1"/>
  <c r="X397" i="1"/>
  <c r="AA397" i="1"/>
  <c r="R108" i="1"/>
  <c r="U108" i="1"/>
  <c r="X108" i="1"/>
  <c r="AA108" i="1"/>
  <c r="AJ196" i="1"/>
  <c r="AI196" i="1"/>
  <c r="AJ135" i="1"/>
  <c r="AI135" i="1"/>
  <c r="AJ376" i="1"/>
  <c r="AI376" i="1"/>
  <c r="AJ126" i="1"/>
  <c r="AI126" i="1"/>
  <c r="AJ439" i="1"/>
  <c r="AI439" i="1"/>
  <c r="AI857" i="1"/>
  <c r="AJ320" i="1"/>
  <c r="AI320" i="1"/>
  <c r="AJ56" i="1"/>
  <c r="AI56" i="1"/>
  <c r="AJ296" i="1"/>
  <c r="AI296" i="1"/>
  <c r="AJ348" i="1"/>
  <c r="AI348" i="1"/>
  <c r="AJ37" i="1"/>
  <c r="AI37" i="1"/>
  <c r="AJ238" i="1"/>
  <c r="AI238" i="1"/>
  <c r="AJ194" i="1"/>
  <c r="AI194" i="1"/>
  <c r="AJ259" i="1"/>
  <c r="AI259" i="1"/>
  <c r="AJ241" i="1"/>
  <c r="AI241" i="1"/>
  <c r="AJ430" i="1"/>
  <c r="AI430" i="1"/>
  <c r="AJ132" i="1"/>
  <c r="AI132" i="1"/>
  <c r="AJ347" i="1"/>
  <c r="AI347" i="1"/>
  <c r="AJ23" i="1"/>
  <c r="AI23" i="1"/>
  <c r="AJ219" i="1"/>
  <c r="AI219" i="1"/>
  <c r="AJ72" i="1"/>
  <c r="AI72" i="1"/>
  <c r="AJ192" i="1"/>
  <c r="AI192" i="1"/>
  <c r="AJ97" i="1"/>
  <c r="AI97" i="1"/>
  <c r="AI687" i="1"/>
  <c r="AI778" i="1"/>
  <c r="AI614" i="1"/>
  <c r="R174" i="1"/>
  <c r="U174" i="1"/>
  <c r="X174" i="1"/>
  <c r="AA174" i="1"/>
  <c r="R396" i="1"/>
  <c r="U396" i="1"/>
  <c r="X396" i="1"/>
  <c r="AA396" i="1"/>
  <c r="U395" i="1"/>
  <c r="X395" i="1"/>
  <c r="AA395" i="1"/>
  <c r="R395" i="1"/>
  <c r="L445" i="1" l="1"/>
  <c r="L111" i="1"/>
  <c r="L308" i="1"/>
  <c r="L325" i="1"/>
  <c r="L407" i="1"/>
  <c r="L112" i="1"/>
  <c r="AF400" i="1"/>
  <c r="L186" i="1"/>
  <c r="AF371" i="1"/>
  <c r="L371" i="1"/>
  <c r="L435" i="1"/>
  <c r="AF435" i="1"/>
  <c r="L405" i="1"/>
  <c r="L408" i="1"/>
  <c r="L161" i="1"/>
  <c r="L110" i="1"/>
  <c r="L160" i="1"/>
  <c r="L212" i="1"/>
  <c r="L444" i="1"/>
  <c r="AF398" i="1"/>
  <c r="L403" i="1"/>
  <c r="L26" i="1"/>
  <c r="AF402" i="1"/>
  <c r="AF197" i="1"/>
  <c r="AF185" i="1"/>
  <c r="L185" i="1"/>
  <c r="L443" i="1"/>
  <c r="L53" i="1"/>
  <c r="AF205" i="1"/>
  <c r="L205" i="1"/>
  <c r="L159" i="1"/>
  <c r="L404" i="1"/>
  <c r="L360" i="1"/>
  <c r="AF360" i="1"/>
  <c r="AF401" i="1"/>
  <c r="AF60" i="1"/>
  <c r="L178" i="1"/>
  <c r="L359" i="1"/>
  <c r="L397" i="1"/>
  <c r="AF184" i="1"/>
  <c r="AF109" i="1"/>
  <c r="AF358" i="1"/>
  <c r="AF283" i="1"/>
  <c r="AF399" i="1"/>
  <c r="AF175" i="1"/>
  <c r="L158" i="1"/>
  <c r="AF229" i="1"/>
  <c r="L250" i="1"/>
  <c r="AF108" i="1"/>
  <c r="AF395" i="1"/>
  <c r="AF396" i="1"/>
  <c r="AF174" i="1"/>
  <c r="U394" i="1"/>
  <c r="X394" i="1"/>
  <c r="AA394" i="1"/>
  <c r="R394" i="1"/>
  <c r="U393" i="1"/>
  <c r="X393" i="1"/>
  <c r="AA393" i="1"/>
  <c r="R393" i="1"/>
  <c r="AA392" i="1"/>
  <c r="X392" i="1"/>
  <c r="U392" i="1"/>
  <c r="R392" i="1"/>
  <c r="AA391" i="1"/>
  <c r="X391" i="1"/>
  <c r="U391" i="1"/>
  <c r="R391" i="1"/>
  <c r="AA390" i="1"/>
  <c r="X390" i="1"/>
  <c r="U390" i="1"/>
  <c r="R390" i="1"/>
  <c r="U267" i="1"/>
  <c r="X267" i="1"/>
  <c r="R267" i="1"/>
  <c r="U389" i="1"/>
  <c r="X389" i="1"/>
  <c r="AA389" i="1"/>
  <c r="R389" i="1"/>
  <c r="L184" i="1" l="1"/>
  <c r="L400" i="1"/>
  <c r="L398" i="1"/>
  <c r="L402" i="1"/>
  <c r="L401" i="1"/>
  <c r="L399" i="1"/>
  <c r="AF397" i="1"/>
  <c r="L60" i="1"/>
  <c r="AF178" i="1"/>
  <c r="AF370" i="1"/>
  <c r="L370" i="1"/>
  <c r="AF359" i="1"/>
  <c r="L229" i="1"/>
  <c r="L89" i="1"/>
  <c r="L175" i="1"/>
  <c r="L251" i="1"/>
  <c r="AF89" i="1"/>
  <c r="L109" i="1"/>
  <c r="L358" i="1"/>
  <c r="L369" i="1"/>
  <c r="AF369" i="1"/>
  <c r="L283" i="1"/>
  <c r="AF251" i="1"/>
  <c r="AF158" i="1"/>
  <c r="AF250" i="1"/>
  <c r="L108" i="1"/>
  <c r="AF267" i="1"/>
  <c r="L395" i="1"/>
  <c r="L174" i="1"/>
  <c r="L396" i="1"/>
  <c r="AF392" i="1"/>
  <c r="AF391" i="1"/>
  <c r="AF390" i="1"/>
  <c r="AF393" i="1"/>
  <c r="AF394" i="1"/>
  <c r="AF389" i="1"/>
  <c r="AA388" i="1"/>
  <c r="X388" i="1"/>
  <c r="U388" i="1"/>
  <c r="R388" i="1"/>
  <c r="L267" i="1" l="1"/>
  <c r="L390" i="1"/>
  <c r="L392" i="1"/>
  <c r="L389" i="1"/>
  <c r="L391" i="1"/>
  <c r="L393" i="1"/>
  <c r="AF388" i="1"/>
  <c r="L394" i="1"/>
  <c r="U387" i="1"/>
  <c r="X387" i="1"/>
  <c r="AA387" i="1"/>
  <c r="R387" i="1"/>
  <c r="R173" i="1"/>
  <c r="U173" i="1"/>
  <c r="X173" i="1"/>
  <c r="AA173" i="1"/>
  <c r="AA386" i="1"/>
  <c r="X386" i="1"/>
  <c r="U386" i="1"/>
  <c r="R386" i="1"/>
  <c r="AF173" i="1" l="1"/>
  <c r="L388" i="1"/>
  <c r="AF386" i="1"/>
  <c r="AF387" i="1"/>
  <c r="R385" i="1"/>
  <c r="U385" i="1"/>
  <c r="X385" i="1"/>
  <c r="AA385" i="1"/>
  <c r="L173" i="1" l="1"/>
  <c r="L387" i="1"/>
  <c r="L386" i="1"/>
  <c r="AF385" i="1"/>
  <c r="R107" i="1"/>
  <c r="U107" i="1"/>
  <c r="X107" i="1"/>
  <c r="AA107" i="1"/>
  <c r="L385" i="1" l="1"/>
  <c r="AF107" i="1"/>
  <c r="R106" i="1"/>
  <c r="U106" i="1"/>
  <c r="X106" i="1"/>
  <c r="AA106" i="1"/>
  <c r="L107" i="1" l="1"/>
  <c r="R891" i="1"/>
  <c r="U891" i="1"/>
  <c r="X891" i="1"/>
  <c r="AA891" i="1"/>
  <c r="L106" i="1" l="1"/>
  <c r="AF106" i="1"/>
  <c r="AF891" i="1"/>
  <c r="L891" i="1" l="1"/>
  <c r="X276" i="1" l="1"/>
  <c r="U276" i="1"/>
  <c r="R276" i="1"/>
  <c r="AA276" i="1"/>
  <c r="AJ67" i="1"/>
  <c r="AJ182" i="1"/>
  <c r="AI182" i="1"/>
  <c r="AJ142" i="1"/>
  <c r="AI142" i="1"/>
  <c r="AI67" i="1"/>
  <c r="AJ104" i="1"/>
  <c r="AI104" i="1"/>
  <c r="AI851" i="1"/>
  <c r="AI791" i="1"/>
  <c r="AI875" i="1"/>
  <c r="AJ321" i="1"/>
  <c r="AI321" i="1"/>
  <c r="AJ48" i="1"/>
  <c r="AI48" i="1"/>
  <c r="AJ65" i="1"/>
  <c r="AI65" i="1"/>
  <c r="AJ847" i="1"/>
  <c r="AI847" i="1"/>
  <c r="AI833" i="1"/>
  <c r="AJ30" i="1"/>
  <c r="AI30" i="1"/>
  <c r="AJ200" i="1"/>
  <c r="AI200" i="1"/>
  <c r="AJ164" i="1"/>
  <c r="AI164" i="1"/>
  <c r="AJ312" i="1"/>
  <c r="AI312" i="1"/>
  <c r="AI641" i="1"/>
  <c r="AI650" i="1"/>
  <c r="R890" i="1"/>
  <c r="U890" i="1"/>
  <c r="X890" i="1"/>
  <c r="AA890" i="1"/>
  <c r="AF276" i="1" l="1"/>
  <c r="L890" i="1"/>
  <c r="R105" i="1"/>
  <c r="U105" i="1"/>
  <c r="X105" i="1"/>
  <c r="AA105" i="1"/>
  <c r="AA69" i="1"/>
  <c r="R69" i="1"/>
  <c r="U69" i="1"/>
  <c r="X69" i="1"/>
  <c r="R266" i="1"/>
  <c r="U266" i="1"/>
  <c r="X266" i="1"/>
  <c r="AA266" i="1"/>
  <c r="AI649" i="1"/>
  <c r="AJ270" i="1"/>
  <c r="AI270" i="1"/>
  <c r="AJ74" i="1"/>
  <c r="AI74" i="1"/>
  <c r="AJ299" i="1"/>
  <c r="AI299" i="1"/>
  <c r="AI233" i="1"/>
  <c r="AI779" i="1"/>
  <c r="AI775" i="1"/>
  <c r="AJ428" i="1"/>
  <c r="AI428" i="1"/>
  <c r="AI678" i="1"/>
  <c r="AJ675" i="1"/>
  <c r="AJ649" i="1"/>
  <c r="AI636" i="1"/>
  <c r="AI631" i="1"/>
  <c r="U88" i="1"/>
  <c r="R88" i="1"/>
  <c r="X88" i="1"/>
  <c r="AA88" i="1"/>
  <c r="R249" i="1"/>
  <c r="U249" i="1"/>
  <c r="X249" i="1"/>
  <c r="AA249" i="1"/>
  <c r="AI239" i="1"/>
  <c r="AI616" i="1"/>
  <c r="AJ141" i="1"/>
  <c r="AJ366" i="1"/>
  <c r="AI366" i="1"/>
  <c r="AJ432" i="1"/>
  <c r="AI432" i="1"/>
  <c r="AJ224" i="1"/>
  <c r="AI224" i="1"/>
  <c r="AJ80" i="1"/>
  <c r="AI80" i="1"/>
  <c r="AJ336" i="1"/>
  <c r="AI336" i="1"/>
  <c r="AJ217" i="1"/>
  <c r="AI217" i="1"/>
  <c r="U368" i="1"/>
  <c r="X368" i="1"/>
  <c r="AA368" i="1"/>
  <c r="R368" i="1"/>
  <c r="X799" i="1"/>
  <c r="R799" i="1"/>
  <c r="L276" i="1" l="1"/>
  <c r="AF890" i="1"/>
  <c r="L69" i="1"/>
  <c r="AF266" i="1"/>
  <c r="AF249" i="1"/>
  <c r="AF368" i="1"/>
  <c r="U384" i="1"/>
  <c r="X384" i="1"/>
  <c r="AA384" i="1"/>
  <c r="R384" i="1"/>
  <c r="R889" i="1"/>
  <c r="U889" i="1"/>
  <c r="X889" i="1"/>
  <c r="AA889" i="1"/>
  <c r="R442" i="1"/>
  <c r="U442" i="1"/>
  <c r="X442" i="1"/>
  <c r="AA442" i="1"/>
  <c r="R59" i="1"/>
  <c r="U59" i="1"/>
  <c r="X59" i="1"/>
  <c r="R204" i="1"/>
  <c r="U204" i="1"/>
  <c r="X204" i="1"/>
  <c r="AA204" i="1"/>
  <c r="R248" i="1"/>
  <c r="U248" i="1"/>
  <c r="X248" i="1"/>
  <c r="AA248" i="1"/>
  <c r="U265" i="1"/>
  <c r="X265" i="1"/>
  <c r="AA265" i="1"/>
  <c r="R265" i="1"/>
  <c r="U52" i="1"/>
  <c r="X52" i="1"/>
  <c r="R52" i="1"/>
  <c r="R341" i="1"/>
  <c r="U341" i="1"/>
  <c r="X341" i="1"/>
  <c r="AA341" i="1"/>
  <c r="L105" i="1" l="1"/>
  <c r="AF105" i="1"/>
  <c r="AF69" i="1"/>
  <c r="L266" i="1"/>
  <c r="L249" i="1"/>
  <c r="AF88" i="1"/>
  <c r="L88" i="1"/>
  <c r="AF384" i="1"/>
  <c r="L368" i="1"/>
  <c r="AF442" i="1"/>
  <c r="AF204" i="1"/>
  <c r="AF59" i="1"/>
  <c r="AF265" i="1"/>
  <c r="AF52" i="1"/>
  <c r="AF341" i="1"/>
  <c r="R172" i="1"/>
  <c r="U172" i="1"/>
  <c r="X172" i="1"/>
  <c r="AA172" i="1"/>
  <c r="L384" i="1" l="1"/>
  <c r="AF889" i="1"/>
  <c r="L889" i="1"/>
  <c r="L442" i="1"/>
  <c r="L204" i="1"/>
  <c r="L59" i="1"/>
  <c r="L248" i="1"/>
  <c r="AF248" i="1"/>
  <c r="L265" i="1"/>
  <c r="L52" i="1"/>
  <c r="L341" i="1"/>
  <c r="AF172" i="1" l="1"/>
  <c r="L172" i="1"/>
  <c r="R25" i="1" l="1"/>
  <c r="U25" i="1"/>
  <c r="X25" i="1"/>
  <c r="AA25" i="1"/>
  <c r="U19" i="1"/>
  <c r="X19" i="1"/>
  <c r="AA19" i="1"/>
  <c r="R19" i="1"/>
  <c r="X58" i="1"/>
  <c r="U58" i="1"/>
  <c r="R58" i="1"/>
  <c r="AJ297" i="1"/>
  <c r="AI297" i="1"/>
  <c r="AJ133" i="1"/>
  <c r="AI133" i="1"/>
  <c r="AJ237" i="1"/>
  <c r="AI237" i="1"/>
  <c r="AJ12" i="1"/>
  <c r="AI12" i="1"/>
  <c r="AJ416" i="1"/>
  <c r="AI416" i="1"/>
  <c r="AJ223" i="1"/>
  <c r="AI223" i="1"/>
  <c r="AJ417" i="1"/>
  <c r="AI417" i="1"/>
  <c r="AF25" i="1" l="1"/>
  <c r="L58" i="1"/>
  <c r="AF19" i="1"/>
  <c r="L19" i="1" l="1"/>
  <c r="AF58" i="1"/>
  <c r="L25" i="1"/>
  <c r="U434" i="1"/>
  <c r="X434" i="1"/>
  <c r="AA434" i="1"/>
  <c r="R434" i="1"/>
  <c r="U228" i="1"/>
  <c r="X228" i="1"/>
  <c r="AA228" i="1"/>
  <c r="R228" i="1"/>
  <c r="U290" i="1"/>
  <c r="X290" i="1"/>
  <c r="AA290" i="1"/>
  <c r="R290" i="1"/>
  <c r="U183" i="1"/>
  <c r="X183" i="1"/>
  <c r="AA183" i="1"/>
  <c r="R183" i="1"/>
  <c r="R307" i="1"/>
  <c r="U307" i="1"/>
  <c r="X307" i="1"/>
  <c r="AA307" i="1"/>
  <c r="U422" i="1"/>
  <c r="X422" i="1"/>
  <c r="AA422" i="1"/>
  <c r="L434" i="1" l="1"/>
  <c r="AF228" i="1"/>
  <c r="AF290" i="1"/>
  <c r="AF183" i="1"/>
  <c r="AF307" i="1"/>
  <c r="AF422" i="1"/>
  <c r="R87" i="1"/>
  <c r="U87" i="1"/>
  <c r="X87" i="1"/>
  <c r="AA87" i="1"/>
  <c r="X171" i="1"/>
  <c r="AA171" i="1"/>
  <c r="U171" i="1"/>
  <c r="R171" i="1"/>
  <c r="L228" i="1" l="1"/>
  <c r="AF434" i="1"/>
  <c r="L290" i="1"/>
  <c r="L183" i="1"/>
  <c r="L307" i="1"/>
  <c r="L422" i="1"/>
  <c r="L171" i="1"/>
  <c r="L87" i="1"/>
  <c r="AA421" i="1"/>
  <c r="X421" i="1"/>
  <c r="U421" i="1"/>
  <c r="U301" i="1"/>
  <c r="X301" i="1"/>
  <c r="AA301" i="1"/>
  <c r="R301" i="1"/>
  <c r="AF171" i="1" l="1"/>
  <c r="AF301" i="1"/>
  <c r="AF421" i="1"/>
  <c r="AF87" i="1"/>
  <c r="AI328" i="1"/>
  <c r="L421" i="1" l="1"/>
  <c r="L301" i="1"/>
  <c r="AI820" i="1" l="1"/>
  <c r="AI817" i="1"/>
  <c r="AJ239" i="1"/>
  <c r="AJ39" i="1"/>
  <c r="AI39" i="1"/>
  <c r="AJ148" i="1"/>
  <c r="AI148" i="1"/>
  <c r="AJ328" i="1"/>
  <c r="X86" i="1"/>
  <c r="AA86" i="1"/>
  <c r="U86" i="1"/>
  <c r="R86" i="1"/>
  <c r="X136" i="1"/>
  <c r="U136" i="1"/>
  <c r="AA136" i="1"/>
  <c r="R136" i="1"/>
  <c r="R141" i="1"/>
  <c r="U43" i="1"/>
  <c r="X43" i="1"/>
  <c r="R43" i="1"/>
  <c r="U367" i="1"/>
  <c r="X367" i="1"/>
  <c r="AA367" i="1"/>
  <c r="R362" i="1"/>
  <c r="R363" i="1"/>
  <c r="R364" i="1"/>
  <c r="R365" i="1"/>
  <c r="R366" i="1"/>
  <c r="R367" i="1"/>
  <c r="U227" i="1"/>
  <c r="X227" i="1"/>
  <c r="AA227" i="1"/>
  <c r="R227" i="1"/>
  <c r="R282" i="1"/>
  <c r="U282" i="1"/>
  <c r="X282" i="1"/>
  <c r="AA282" i="1"/>
  <c r="U157" i="1"/>
  <c r="X157" i="1"/>
  <c r="AA157" i="1"/>
  <c r="R157" i="1"/>
  <c r="R247" i="1"/>
  <c r="U247" i="1"/>
  <c r="X247" i="1"/>
  <c r="AA247" i="1"/>
  <c r="R170" i="1"/>
  <c r="U170" i="1"/>
  <c r="X170" i="1"/>
  <c r="AA170" i="1"/>
  <c r="R324" i="1"/>
  <c r="U324" i="1"/>
  <c r="X324" i="1"/>
  <c r="AA324" i="1"/>
  <c r="U75" i="1"/>
  <c r="R75" i="1"/>
  <c r="X75" i="1"/>
  <c r="U246" i="1"/>
  <c r="X246" i="1"/>
  <c r="AA246" i="1"/>
  <c r="R246" i="1"/>
  <c r="U323" i="1"/>
  <c r="X323" i="1"/>
  <c r="AA323" i="1"/>
  <c r="R323" i="1"/>
  <c r="U441" i="1"/>
  <c r="X441" i="1"/>
  <c r="AA441" i="1"/>
  <c r="R441" i="1"/>
  <c r="U340" i="1"/>
  <c r="X340" i="1"/>
  <c r="AA340" i="1"/>
  <c r="R340" i="1"/>
  <c r="R68" i="1"/>
  <c r="U68" i="1"/>
  <c r="X68" i="1"/>
  <c r="AA68" i="1"/>
  <c r="R221" i="1"/>
  <c r="U221" i="1"/>
  <c r="X221" i="1"/>
  <c r="AA221" i="1"/>
  <c r="AF86" i="1" l="1"/>
  <c r="AF136" i="1"/>
  <c r="AF227" i="1"/>
  <c r="AF282" i="1"/>
  <c r="L170" i="1"/>
  <c r="AF157" i="1"/>
  <c r="AF247" i="1"/>
  <c r="AF324" i="1"/>
  <c r="AF75" i="1"/>
  <c r="AF246" i="1"/>
  <c r="AF323" i="1"/>
  <c r="L340" i="1"/>
  <c r="AF221" i="1"/>
  <c r="X245" i="1"/>
  <c r="AA245" i="1"/>
  <c r="U245" i="1"/>
  <c r="R245" i="1"/>
  <c r="AF68" i="1" l="1"/>
  <c r="AF367" i="1"/>
  <c r="AF170" i="1"/>
  <c r="L75" i="1"/>
  <c r="L86" i="1"/>
  <c r="L136" i="1"/>
  <c r="AF43" i="1"/>
  <c r="L43" i="1"/>
  <c r="L227" i="1"/>
  <c r="L282" i="1"/>
  <c r="L157" i="1"/>
  <c r="L247" i="1"/>
  <c r="L324" i="1"/>
  <c r="AF245" i="1"/>
  <c r="L246" i="1"/>
  <c r="L323" i="1"/>
  <c r="AF340" i="1"/>
  <c r="AF441" i="1"/>
  <c r="L441" i="1"/>
  <c r="L68" i="1"/>
  <c r="L221" i="1"/>
  <c r="AI240" i="1"/>
  <c r="AJ240" i="1"/>
  <c r="AI874" i="1"/>
  <c r="AJ419" i="1"/>
  <c r="AI419" i="1"/>
  <c r="AI866" i="1"/>
  <c r="AJ353" i="1"/>
  <c r="AI353" i="1"/>
  <c r="AJ329" i="1"/>
  <c r="AI329" i="1"/>
  <c r="AI640" i="1"/>
  <c r="AI448" i="1"/>
  <c r="L245" i="1" l="1"/>
  <c r="X378" i="1"/>
  <c r="U378" i="1"/>
  <c r="U377" i="1"/>
  <c r="R378" i="1"/>
  <c r="L367" i="1" l="1"/>
  <c r="AF378" i="1"/>
  <c r="AI818" i="1"/>
  <c r="AJ275" i="1"/>
  <c r="AI140" i="1"/>
  <c r="AJ165" i="1"/>
  <c r="AI165" i="1"/>
  <c r="AJ449" i="1"/>
  <c r="AI449" i="1"/>
  <c r="AJ703" i="1"/>
  <c r="AI703" i="1"/>
  <c r="AI447" i="1"/>
  <c r="AA888" i="1"/>
  <c r="X888" i="1"/>
  <c r="U888" i="1"/>
  <c r="R888" i="1"/>
  <c r="AJ218" i="1"/>
  <c r="AJ32" i="1"/>
  <c r="AI32" i="1"/>
  <c r="AJ57" i="1"/>
  <c r="AI57" i="1"/>
  <c r="AJ134" i="1"/>
  <c r="AI134" i="1"/>
  <c r="AJ268" i="1"/>
  <c r="AI268" i="1"/>
  <c r="AJ64" i="1"/>
  <c r="AI64" i="1"/>
  <c r="AJ202" i="1"/>
  <c r="AI202" i="1"/>
  <c r="AI218" i="1"/>
  <c r="AJ760" i="1"/>
  <c r="AI760" i="1"/>
  <c r="L378" i="1" l="1"/>
  <c r="L888" i="1"/>
  <c r="AF888" i="1" l="1"/>
  <c r="AJ295" i="1"/>
  <c r="AI295" i="1"/>
  <c r="AJ140" i="1"/>
  <c r="AJ730" i="1"/>
  <c r="AI730" i="1"/>
  <c r="AI691" i="1"/>
  <c r="AI759" i="1"/>
  <c r="X223" i="1"/>
  <c r="U223" i="1"/>
  <c r="R223" i="1"/>
  <c r="AJ298" i="1"/>
  <c r="AJ377" i="1"/>
  <c r="AI377" i="1"/>
  <c r="AI298" i="1"/>
  <c r="AJ55" i="1"/>
  <c r="AI55" i="1"/>
  <c r="AJ124" i="1"/>
  <c r="AI124" i="1"/>
  <c r="AJ260" i="1"/>
  <c r="AI260" i="1"/>
  <c r="AJ318" i="1"/>
  <c r="AI318" i="1"/>
  <c r="AJ304" i="1"/>
  <c r="AI304" i="1"/>
  <c r="AJ734" i="1"/>
  <c r="AI734" i="1"/>
  <c r="AI620" i="1"/>
  <c r="AI609" i="1"/>
  <c r="AI364" i="1"/>
  <c r="AJ364" i="1"/>
  <c r="AJ11" i="1"/>
  <c r="AI11" i="1"/>
  <c r="AJ704" i="1"/>
  <c r="AI704" i="1"/>
  <c r="AJ737" i="1"/>
  <c r="AI737" i="1"/>
  <c r="AJ778" i="1"/>
  <c r="AJ648" i="1"/>
  <c r="AI648" i="1"/>
  <c r="U356" i="1"/>
  <c r="X356" i="1"/>
  <c r="AA356" i="1"/>
  <c r="AJ742" i="1"/>
  <c r="AJ751" i="1"/>
  <c r="AJ319" i="1" l="1"/>
  <c r="AI319" i="1"/>
  <c r="AJ81" i="1" l="1"/>
  <c r="AI81" i="1"/>
  <c r="AJ96" i="1"/>
  <c r="AI96" i="1"/>
  <c r="AI742" i="1"/>
  <c r="AI615" i="1" l="1"/>
  <c r="R887" i="1"/>
  <c r="U887" i="1"/>
  <c r="X887" i="1"/>
  <c r="AA887" i="1"/>
  <c r="AA886" i="1" l="1"/>
  <c r="X886" i="1"/>
  <c r="U886" i="1"/>
  <c r="R886" i="1"/>
  <c r="AI203" i="1"/>
  <c r="AJ203" i="1"/>
  <c r="AF887" i="1" l="1"/>
  <c r="L887" i="1"/>
  <c r="AI797" i="1"/>
  <c r="AJ49" i="1"/>
  <c r="AI49" i="1"/>
  <c r="AJ151" i="1"/>
  <c r="AI151" i="1"/>
  <c r="AJ235" i="1"/>
  <c r="AI235" i="1"/>
  <c r="AJ294" i="1"/>
  <c r="AI294" i="1"/>
  <c r="AI635" i="1"/>
  <c r="AI647" i="1"/>
  <c r="AI451" i="1"/>
  <c r="L886" i="1" l="1"/>
  <c r="AF886" i="1"/>
  <c r="U885" i="1"/>
  <c r="X885" i="1"/>
  <c r="AA885" i="1"/>
  <c r="R885" i="1"/>
  <c r="AF885" i="1" l="1"/>
  <c r="R884" i="1"/>
  <c r="U884" i="1"/>
  <c r="X884" i="1"/>
  <c r="AA884" i="1"/>
  <c r="AJ242" i="1"/>
  <c r="AI242" i="1"/>
  <c r="AJ102" i="1"/>
  <c r="AI102" i="1"/>
  <c r="AJ784" i="1"/>
  <c r="AI784" i="1"/>
  <c r="AJ209" i="1"/>
  <c r="L885" i="1" l="1"/>
  <c r="AF884" i="1"/>
  <c r="AJ774" i="1"/>
  <c r="AI774" i="1"/>
  <c r="L884" i="1" l="1"/>
  <c r="AI773" i="1" l="1"/>
  <c r="AJ349" i="1"/>
  <c r="AI349" i="1"/>
  <c r="AJ815" i="1" l="1"/>
  <c r="AJ10" i="1"/>
  <c r="AI10" i="1"/>
  <c r="AJ21" i="1"/>
  <c r="AI21" i="1"/>
  <c r="AJ773" i="1"/>
  <c r="S739" i="1"/>
  <c r="T739" i="1"/>
  <c r="U881" i="1" l="1"/>
  <c r="U882" i="1"/>
  <c r="U883" i="1"/>
  <c r="X881" i="1"/>
  <c r="X882" i="1"/>
  <c r="X883" i="1"/>
  <c r="AA881" i="1"/>
  <c r="AA882" i="1"/>
  <c r="AA883" i="1"/>
  <c r="R881" i="1"/>
  <c r="R882" i="1"/>
  <c r="R883" i="1"/>
  <c r="L883" i="1" l="1"/>
  <c r="AF881" i="1"/>
  <c r="R879" i="1"/>
  <c r="R880" i="1"/>
  <c r="U879" i="1"/>
  <c r="U880" i="1"/>
  <c r="X879" i="1"/>
  <c r="X880" i="1"/>
  <c r="AA879" i="1"/>
  <c r="AA880" i="1"/>
  <c r="L881" i="1" l="1"/>
  <c r="AF883" i="1"/>
  <c r="L882" i="1"/>
  <c r="AF882" i="1"/>
  <c r="AF879" i="1"/>
  <c r="L880" i="1"/>
  <c r="AA875" i="1"/>
  <c r="AA876" i="1"/>
  <c r="AA877" i="1"/>
  <c r="AA878" i="1"/>
  <c r="X875" i="1"/>
  <c r="X876" i="1"/>
  <c r="X877" i="1"/>
  <c r="X878" i="1"/>
  <c r="U875" i="1"/>
  <c r="U876" i="1"/>
  <c r="U877" i="1"/>
  <c r="U878" i="1"/>
  <c r="R875" i="1"/>
  <c r="R876" i="1"/>
  <c r="R877" i="1"/>
  <c r="R878" i="1"/>
  <c r="AF876" i="1" l="1"/>
  <c r="AF878" i="1"/>
  <c r="L879" i="1"/>
  <c r="AF880" i="1"/>
  <c r="AF877" i="1"/>
  <c r="L875" i="1"/>
  <c r="R874" i="1"/>
  <c r="U874" i="1"/>
  <c r="X874" i="1"/>
  <c r="AA874" i="1"/>
  <c r="X872" i="1"/>
  <c r="X873" i="1"/>
  <c r="AA872" i="1"/>
  <c r="AA873" i="1"/>
  <c r="U872" i="1"/>
  <c r="U873" i="1"/>
  <c r="R872" i="1"/>
  <c r="R873" i="1"/>
  <c r="U871" i="1"/>
  <c r="X871" i="1"/>
  <c r="AA871" i="1"/>
  <c r="R871" i="1"/>
  <c r="L876" i="1" l="1"/>
  <c r="L878" i="1"/>
  <c r="L877" i="1"/>
  <c r="AF875" i="1"/>
  <c r="AF874" i="1"/>
  <c r="AF872" i="1"/>
  <c r="AF873" i="1"/>
  <c r="L871" i="1"/>
  <c r="AA870" i="1"/>
  <c r="X870" i="1"/>
  <c r="U870" i="1"/>
  <c r="R870" i="1"/>
  <c r="AA869" i="1"/>
  <c r="X869" i="1"/>
  <c r="U869" i="1"/>
  <c r="R869" i="1"/>
  <c r="L874" i="1" l="1"/>
  <c r="L873" i="1"/>
  <c r="L872" i="1"/>
  <c r="AF871" i="1"/>
  <c r="L870" i="1"/>
  <c r="L869" i="1"/>
  <c r="AF870" i="1" l="1"/>
  <c r="AF869" i="1"/>
  <c r="AJ429" i="1"/>
  <c r="AI429" i="1"/>
  <c r="AI673" i="1"/>
  <c r="AI628" i="1"/>
  <c r="R868" i="1" l="1"/>
  <c r="U868" i="1"/>
  <c r="X868" i="1"/>
  <c r="AJ344" i="1" l="1"/>
  <c r="AI344" i="1"/>
  <c r="AF868" i="1" l="1"/>
  <c r="L868" i="1"/>
  <c r="U96" i="1"/>
  <c r="X96" i="1"/>
  <c r="AA96" i="1"/>
  <c r="U867" i="1"/>
  <c r="X867" i="1"/>
  <c r="AA867" i="1"/>
  <c r="R867" i="1"/>
  <c r="L867" i="1" l="1"/>
  <c r="AF867" i="1" l="1"/>
  <c r="AA866" i="1"/>
  <c r="X866" i="1"/>
  <c r="U866" i="1"/>
  <c r="R866" i="1"/>
  <c r="AF866" i="1" l="1"/>
  <c r="L866" i="1" l="1"/>
  <c r="AJ150" i="1" l="1"/>
  <c r="AI150" i="1"/>
  <c r="AJ414" i="1"/>
  <c r="AI414" i="1"/>
  <c r="AJ345" i="1"/>
  <c r="AI345" i="1"/>
  <c r="AJ727" i="1"/>
  <c r="AI727" i="1"/>
  <c r="AJ765" i="1"/>
  <c r="AI765" i="1"/>
  <c r="AJ758" i="1"/>
  <c r="AI758" i="1"/>
  <c r="U865" i="1"/>
  <c r="X865" i="1"/>
  <c r="AA865" i="1"/>
  <c r="R865" i="1"/>
  <c r="X864" i="1" l="1"/>
  <c r="U863" i="1"/>
  <c r="U864" i="1"/>
  <c r="X863" i="1"/>
  <c r="AA863" i="1"/>
  <c r="AA864" i="1"/>
  <c r="R863" i="1"/>
  <c r="R864" i="1"/>
  <c r="U862" i="1"/>
  <c r="X862" i="1"/>
  <c r="AA862" i="1"/>
  <c r="R862" i="1"/>
  <c r="L865" i="1" l="1"/>
  <c r="AF865" i="1"/>
  <c r="AF863" i="1"/>
  <c r="L862" i="1"/>
  <c r="AC739" i="1"/>
  <c r="AB739" i="1"/>
  <c r="W739" i="1"/>
  <c r="V739" i="1"/>
  <c r="L863" i="1" l="1"/>
  <c r="AF864" i="1"/>
  <c r="L864" i="1"/>
  <c r="AF862" i="1"/>
  <c r="AJ735" i="1"/>
  <c r="AI735" i="1"/>
  <c r="AJ771" i="1"/>
  <c r="AI771" i="1"/>
  <c r="U861" i="1"/>
  <c r="X861" i="1"/>
  <c r="AA861" i="1"/>
  <c r="U860" i="1" l="1"/>
  <c r="U859" i="1"/>
  <c r="X859" i="1"/>
  <c r="X860" i="1"/>
  <c r="AA860" i="1"/>
  <c r="AA859" i="1"/>
  <c r="R859" i="1"/>
  <c r="R860" i="1"/>
  <c r="R861" i="1"/>
  <c r="U858" i="1"/>
  <c r="U857" i="1"/>
  <c r="U856" i="1"/>
  <c r="X856" i="1"/>
  <c r="X857" i="1"/>
  <c r="X858" i="1"/>
  <c r="AA858" i="1"/>
  <c r="AA857" i="1"/>
  <c r="AA856" i="1"/>
  <c r="R856" i="1"/>
  <c r="R857" i="1"/>
  <c r="R858" i="1"/>
  <c r="U169" i="1"/>
  <c r="X169" i="1"/>
  <c r="AA169" i="1"/>
  <c r="R169" i="1"/>
  <c r="U855" i="1"/>
  <c r="X855" i="1"/>
  <c r="AA855" i="1"/>
  <c r="R855" i="1"/>
  <c r="AF860" i="1" l="1"/>
  <c r="AF859" i="1"/>
  <c r="AF861" i="1"/>
  <c r="AF856" i="1"/>
  <c r="AF857" i="1"/>
  <c r="L858" i="1"/>
  <c r="R852" i="1"/>
  <c r="R853" i="1"/>
  <c r="R854" i="1"/>
  <c r="U854" i="1"/>
  <c r="U853" i="1"/>
  <c r="U852" i="1"/>
  <c r="X852" i="1"/>
  <c r="X853" i="1"/>
  <c r="X854" i="1"/>
  <c r="AA854" i="1"/>
  <c r="AA853" i="1"/>
  <c r="AA852" i="1"/>
  <c r="L861" i="1" l="1"/>
  <c r="L860" i="1"/>
  <c r="L859" i="1"/>
  <c r="L856" i="1"/>
  <c r="AF858" i="1"/>
  <c r="L857" i="1"/>
  <c r="L169" i="1"/>
  <c r="AF169" i="1"/>
  <c r="AF855" i="1"/>
  <c r="L855" i="1"/>
  <c r="AF852" i="1"/>
  <c r="AF853" i="1"/>
  <c r="L852" i="1" l="1"/>
  <c r="AF854" i="1"/>
  <c r="L854" i="1"/>
  <c r="L853" i="1"/>
  <c r="U156" i="1"/>
  <c r="X156" i="1"/>
  <c r="AA156" i="1"/>
  <c r="R156" i="1"/>
  <c r="AF156" i="1" l="1"/>
  <c r="AJ438" i="1"/>
  <c r="AI438" i="1"/>
  <c r="AJ455" i="1"/>
  <c r="AI455" i="1"/>
  <c r="AJ47" i="1"/>
  <c r="AI47" i="1"/>
  <c r="AI446" i="1"/>
  <c r="L156" i="1" l="1"/>
  <c r="U851" i="1"/>
  <c r="X851" i="1"/>
  <c r="AA851" i="1"/>
  <c r="R851" i="1"/>
  <c r="U420" i="1" l="1"/>
  <c r="X420" i="1"/>
  <c r="AA420" i="1"/>
  <c r="AF851" i="1" l="1"/>
  <c r="L851" i="1"/>
  <c r="AF420" i="1"/>
  <c r="U143" i="1"/>
  <c r="X143" i="1"/>
  <c r="AA143" i="1"/>
  <c r="R143" i="1"/>
  <c r="L420" i="1" l="1"/>
  <c r="L143" i="1"/>
  <c r="U603" i="1"/>
  <c r="X603" i="1"/>
  <c r="AA603" i="1"/>
  <c r="U604" i="1"/>
  <c r="X604" i="1"/>
  <c r="AA604" i="1"/>
  <c r="R605" i="1"/>
  <c r="U605" i="1"/>
  <c r="X605" i="1"/>
  <c r="AA605" i="1"/>
  <c r="U168" i="1"/>
  <c r="X168" i="1"/>
  <c r="AA168" i="1"/>
  <c r="R168" i="1"/>
  <c r="AF143" i="1" l="1"/>
  <c r="L604" i="1"/>
  <c r="L605" i="1"/>
  <c r="AF168" i="1"/>
  <c r="M811" i="1"/>
  <c r="M810" i="1"/>
  <c r="AF603" i="1" l="1"/>
  <c r="AF604" i="1"/>
  <c r="L603" i="1"/>
  <c r="AF605" i="1"/>
  <c r="L168" i="1"/>
  <c r="U167" i="1"/>
  <c r="X167" i="1"/>
  <c r="AA167" i="1"/>
  <c r="R167" i="1"/>
  <c r="AF167" i="1" l="1"/>
  <c r="U850" i="1"/>
  <c r="X850" i="1"/>
  <c r="AA850" i="1"/>
  <c r="R850" i="1"/>
  <c r="U18" i="1"/>
  <c r="X18" i="1"/>
  <c r="AA18" i="1"/>
  <c r="R18" i="1"/>
  <c r="AA351" i="1"/>
  <c r="X351" i="1"/>
  <c r="U351" i="1"/>
  <c r="R351" i="1"/>
  <c r="U334" i="1"/>
  <c r="X334" i="1"/>
  <c r="AA334" i="1"/>
  <c r="R334" i="1"/>
  <c r="X366" i="1"/>
  <c r="U366" i="1"/>
  <c r="AA366" i="1"/>
  <c r="U264" i="1"/>
  <c r="X264" i="1"/>
  <c r="AA264" i="1"/>
  <c r="R264" i="1"/>
  <c r="U350" i="1"/>
  <c r="X350" i="1"/>
  <c r="AA350" i="1"/>
  <c r="R350" i="1"/>
  <c r="AA419" i="1"/>
  <c r="X419" i="1"/>
  <c r="U419" i="1"/>
  <c r="L167" i="1" l="1"/>
  <c r="AF18" i="1"/>
  <c r="AF334" i="1"/>
  <c r="AF366" i="1"/>
  <c r="AF264" i="1"/>
  <c r="AF350" i="1"/>
  <c r="AF419" i="1"/>
  <c r="U270" i="1"/>
  <c r="X270" i="1"/>
  <c r="AA270" i="1"/>
  <c r="R270" i="1"/>
  <c r="U433" i="1"/>
  <c r="X433" i="1"/>
  <c r="AA433" i="1"/>
  <c r="R433" i="1"/>
  <c r="R74" i="1"/>
  <c r="R73" i="1"/>
  <c r="U74" i="1"/>
  <c r="X74" i="1"/>
  <c r="U244" i="1"/>
  <c r="X244" i="1"/>
  <c r="AA244" i="1"/>
  <c r="R244" i="1"/>
  <c r="U300" i="1"/>
  <c r="X300" i="1"/>
  <c r="AA300" i="1"/>
  <c r="R300" i="1"/>
  <c r="U155" i="1"/>
  <c r="X155" i="1"/>
  <c r="AA155" i="1"/>
  <c r="R155" i="1"/>
  <c r="U154" i="1"/>
  <c r="X154" i="1"/>
  <c r="AA154" i="1"/>
  <c r="R154" i="1"/>
  <c r="AF850" i="1" l="1"/>
  <c r="L850" i="1"/>
  <c r="L18" i="1"/>
  <c r="L351" i="1"/>
  <c r="AF351" i="1"/>
  <c r="L334" i="1"/>
  <c r="L366" i="1"/>
  <c r="L264" i="1"/>
  <c r="L350" i="1"/>
  <c r="L419" i="1"/>
  <c r="AF74" i="1"/>
  <c r="AF433" i="1"/>
  <c r="AF244" i="1"/>
  <c r="AF300" i="1"/>
  <c r="AF155" i="1"/>
  <c r="AF154" i="1"/>
  <c r="AA849" i="1"/>
  <c r="X849" i="1"/>
  <c r="U849" i="1"/>
  <c r="R849" i="1"/>
  <c r="L433" i="1" l="1"/>
  <c r="L74" i="1"/>
  <c r="L244" i="1"/>
  <c r="L300" i="1"/>
  <c r="L155" i="1"/>
  <c r="L154" i="1"/>
  <c r="AJ381" i="1"/>
  <c r="AI381" i="1"/>
  <c r="AJ373" i="1"/>
  <c r="AI373" i="1"/>
  <c r="AJ749" i="1"/>
  <c r="AI749" i="1"/>
  <c r="AI607" i="1"/>
  <c r="U42" i="1"/>
  <c r="X42" i="1"/>
  <c r="R42" i="1"/>
  <c r="X339" i="1"/>
  <c r="AA339" i="1"/>
  <c r="U339" i="1"/>
  <c r="R339" i="1"/>
  <c r="AF849" i="1" l="1"/>
  <c r="L849" i="1"/>
  <c r="AF42" i="1"/>
  <c r="AA128" i="1"/>
  <c r="U128" i="1"/>
  <c r="X128" i="1"/>
  <c r="R128" i="1"/>
  <c r="U17" i="1"/>
  <c r="X17" i="1"/>
  <c r="AA17" i="1"/>
  <c r="R17" i="1"/>
  <c r="U67" i="1"/>
  <c r="X67" i="1"/>
  <c r="AA67" i="1"/>
  <c r="R67" i="1"/>
  <c r="U51" i="1"/>
  <c r="X51" i="1"/>
  <c r="R51" i="1"/>
  <c r="U306" i="1"/>
  <c r="X306" i="1"/>
  <c r="AA306" i="1"/>
  <c r="R306" i="1"/>
  <c r="U16" i="1"/>
  <c r="X16" i="1"/>
  <c r="AA16" i="1"/>
  <c r="R16" i="1"/>
  <c r="AA66" i="1"/>
  <c r="U66" i="1"/>
  <c r="X66" i="1"/>
  <c r="R66" i="1"/>
  <c r="U85" i="1"/>
  <c r="X85" i="1"/>
  <c r="AA85" i="1"/>
  <c r="R85" i="1"/>
  <c r="U281" i="1"/>
  <c r="X281" i="1"/>
  <c r="AA281" i="1"/>
  <c r="R281" i="1"/>
  <c r="U153" i="1"/>
  <c r="X153" i="1"/>
  <c r="AA153" i="1"/>
  <c r="R153" i="1"/>
  <c r="U440" i="1"/>
  <c r="X440" i="1"/>
  <c r="AA440" i="1"/>
  <c r="R440" i="1"/>
  <c r="U357" i="1"/>
  <c r="X357" i="1"/>
  <c r="AA357" i="1"/>
  <c r="R357" i="1"/>
  <c r="U355" i="1"/>
  <c r="R356" i="1"/>
  <c r="U196" i="1"/>
  <c r="X196" i="1"/>
  <c r="AA196" i="1"/>
  <c r="R196" i="1"/>
  <c r="AF339" i="1" l="1"/>
  <c r="L42" i="1"/>
  <c r="L339" i="1"/>
  <c r="AF128" i="1"/>
  <c r="AF17" i="1"/>
  <c r="AF67" i="1"/>
  <c r="AF51" i="1"/>
  <c r="AF306" i="1"/>
  <c r="AF16" i="1"/>
  <c r="AF66" i="1"/>
  <c r="AF85" i="1"/>
  <c r="AF281" i="1"/>
  <c r="L153" i="1"/>
  <c r="L440" i="1"/>
  <c r="AF357" i="1"/>
  <c r="AF356" i="1"/>
  <c r="AF196" i="1"/>
  <c r="L128" i="1" l="1"/>
  <c r="L17" i="1"/>
  <c r="L67" i="1"/>
  <c r="L51" i="1"/>
  <c r="L306" i="1"/>
  <c r="L16" i="1"/>
  <c r="L66" i="1"/>
  <c r="L85" i="1"/>
  <c r="L281" i="1"/>
  <c r="AF153" i="1"/>
  <c r="AF440" i="1"/>
  <c r="L357" i="1"/>
  <c r="L196" i="1"/>
  <c r="L356" i="1"/>
  <c r="U226" i="1"/>
  <c r="X226" i="1"/>
  <c r="AA226" i="1"/>
  <c r="R226" i="1"/>
  <c r="AF226" i="1" l="1"/>
  <c r="R355" i="1"/>
  <c r="X355" i="1"/>
  <c r="AA355" i="1"/>
  <c r="L226" i="1" l="1"/>
  <c r="AF355" i="1"/>
  <c r="AJ743" i="1"/>
  <c r="AI743" i="1"/>
  <c r="L355" i="1" l="1"/>
  <c r="X377" i="1" l="1"/>
  <c r="R377" i="1"/>
  <c r="U269" i="1"/>
  <c r="X269" i="1"/>
  <c r="AA269" i="1"/>
  <c r="R269" i="1"/>
  <c r="U354" i="1"/>
  <c r="X354" i="1"/>
  <c r="AA354" i="1"/>
  <c r="R354" i="1"/>
  <c r="AF354" i="1" l="1"/>
  <c r="AF377" i="1" l="1"/>
  <c r="L377" i="1"/>
  <c r="L354" i="1"/>
  <c r="U84" i="1"/>
  <c r="X84" i="1"/>
  <c r="AA84" i="1"/>
  <c r="R84" i="1"/>
  <c r="U338" i="1"/>
  <c r="X338" i="1"/>
  <c r="AA338" i="1"/>
  <c r="R338" i="1"/>
  <c r="X57" i="1"/>
  <c r="U57" i="1"/>
  <c r="R57" i="1"/>
  <c r="AF84" i="1" l="1"/>
  <c r="AF57" i="1"/>
  <c r="L84" i="1" l="1"/>
  <c r="AF338" i="1"/>
  <c r="L338" i="1"/>
  <c r="L57" i="1"/>
  <c r="U32" i="1"/>
  <c r="X32" i="1"/>
  <c r="AA32" i="1"/>
  <c r="R32" i="1"/>
  <c r="AA243" i="1"/>
  <c r="X243" i="1"/>
  <c r="U243" i="1"/>
  <c r="R243" i="1"/>
  <c r="U152" i="1"/>
  <c r="X152" i="1"/>
  <c r="AA152" i="1"/>
  <c r="R152" i="1"/>
  <c r="U182" i="1"/>
  <c r="X182" i="1"/>
  <c r="AA182" i="1"/>
  <c r="R182" i="1"/>
  <c r="AA299" i="1"/>
  <c r="X299" i="1"/>
  <c r="U299" i="1"/>
  <c r="R299" i="1"/>
  <c r="R432" i="1"/>
  <c r="AA432" i="1"/>
  <c r="X432" i="1"/>
  <c r="U432" i="1"/>
  <c r="AF32" i="1" l="1"/>
  <c r="L243" i="1"/>
  <c r="AF152" i="1"/>
  <c r="AF182" i="1"/>
  <c r="L299" i="1"/>
  <c r="AF432" i="1"/>
  <c r="AF243" i="1" l="1"/>
  <c r="L152" i="1"/>
  <c r="L32" i="1"/>
  <c r="L182" i="1"/>
  <c r="AF299" i="1"/>
  <c r="L432" i="1"/>
  <c r="AA289" i="1" l="1"/>
  <c r="X289" i="1"/>
  <c r="U289" i="1"/>
  <c r="R289" i="1"/>
  <c r="U142" i="1"/>
  <c r="X142" i="1"/>
  <c r="AA142" i="1"/>
  <c r="R142" i="1"/>
  <c r="AA322" i="1"/>
  <c r="X322" i="1"/>
  <c r="U322" i="1"/>
  <c r="R322" i="1"/>
  <c r="AF142" i="1" l="1"/>
  <c r="AF322" i="1"/>
  <c r="L322" i="1" l="1"/>
  <c r="L289" i="1"/>
  <c r="AF289" i="1"/>
  <c r="L142" i="1"/>
  <c r="U263" i="1"/>
  <c r="X263" i="1"/>
  <c r="AA263" i="1"/>
  <c r="R263" i="1"/>
  <c r="U262" i="1"/>
  <c r="X262" i="1"/>
  <c r="AA262" i="1"/>
  <c r="R262" i="1"/>
  <c r="AF263" i="1" l="1"/>
  <c r="L262" i="1"/>
  <c r="AA127" i="1"/>
  <c r="X127" i="1"/>
  <c r="U127" i="1"/>
  <c r="R127" i="1"/>
  <c r="X50" i="1"/>
  <c r="U50" i="1"/>
  <c r="R50" i="1"/>
  <c r="AA141" i="1"/>
  <c r="X141" i="1"/>
  <c r="U141" i="1"/>
  <c r="AA211" i="1"/>
  <c r="X211" i="1"/>
  <c r="U211" i="1"/>
  <c r="R211" i="1"/>
  <c r="AA135" i="1"/>
  <c r="U135" i="1"/>
  <c r="R135" i="1"/>
  <c r="L50" i="1" l="1"/>
  <c r="L263" i="1"/>
  <c r="AF262" i="1"/>
  <c r="L141" i="1"/>
  <c r="AF211" i="1"/>
  <c r="AA220" i="1"/>
  <c r="X220" i="1"/>
  <c r="U220" i="1"/>
  <c r="R220" i="1"/>
  <c r="AA333" i="1"/>
  <c r="X333" i="1"/>
  <c r="U333" i="1"/>
  <c r="R333" i="1"/>
  <c r="AA298" i="1"/>
  <c r="X298" i="1"/>
  <c r="U298" i="1"/>
  <c r="R298" i="1"/>
  <c r="X376" i="1"/>
  <c r="U376" i="1"/>
  <c r="R376" i="1"/>
  <c r="AA305" i="1"/>
  <c r="X305" i="1"/>
  <c r="U305" i="1"/>
  <c r="R305" i="1"/>
  <c r="AA297" i="1"/>
  <c r="X297" i="1"/>
  <c r="U297" i="1"/>
  <c r="R297" i="1"/>
  <c r="AA288" i="1"/>
  <c r="X288" i="1"/>
  <c r="U288" i="1"/>
  <c r="R288" i="1"/>
  <c r="AA418" i="1"/>
  <c r="X418" i="1"/>
  <c r="U418" i="1"/>
  <c r="AA210" i="1"/>
  <c r="X210" i="1"/>
  <c r="U210" i="1"/>
  <c r="R210" i="1"/>
  <c r="X41" i="1"/>
  <c r="U41" i="1"/>
  <c r="R41" i="1"/>
  <c r="AF50" i="1" l="1"/>
  <c r="L211" i="1"/>
  <c r="AF127" i="1"/>
  <c r="L127" i="1"/>
  <c r="AF141" i="1"/>
  <c r="L220" i="1"/>
  <c r="AF333" i="1"/>
  <c r="L298" i="1"/>
  <c r="AF376" i="1"/>
  <c r="L297" i="1"/>
  <c r="L288" i="1"/>
  <c r="AF418" i="1"/>
  <c r="L210" i="1"/>
  <c r="AF41" i="1"/>
  <c r="AF220" i="1" l="1"/>
  <c r="L333" i="1"/>
  <c r="AF298" i="1"/>
  <c r="L376" i="1"/>
  <c r="AF305" i="1"/>
  <c r="L305" i="1"/>
  <c r="AF297" i="1"/>
  <c r="AF288" i="1"/>
  <c r="L418" i="1"/>
  <c r="AF210" i="1"/>
  <c r="L41" i="1"/>
  <c r="AJ671" i="1" l="1"/>
  <c r="AI671" i="1"/>
  <c r="AJ755" i="1"/>
  <c r="AI755" i="1"/>
  <c r="AA439" i="1" l="1"/>
  <c r="X439" i="1"/>
  <c r="U439" i="1"/>
  <c r="R439" i="1"/>
  <c r="U40" i="1"/>
  <c r="X40" i="1"/>
  <c r="R40" i="1"/>
  <c r="AA242" i="1"/>
  <c r="X242" i="1"/>
  <c r="U242" i="1"/>
  <c r="R242" i="1"/>
  <c r="AA349" i="1"/>
  <c r="X349" i="1"/>
  <c r="U349" i="1"/>
  <c r="R349" i="1"/>
  <c r="L40" i="1" l="1"/>
  <c r="L242" i="1"/>
  <c r="AF349" i="1" l="1"/>
  <c r="L439" i="1"/>
  <c r="AF439" i="1"/>
  <c r="AF40" i="1"/>
  <c r="AF242" i="1"/>
  <c r="L349" i="1"/>
  <c r="AA261" i="1" l="1"/>
  <c r="X261" i="1"/>
  <c r="U261" i="1"/>
  <c r="R261" i="1"/>
  <c r="AA126" i="1"/>
  <c r="X126" i="1"/>
  <c r="U126" i="1"/>
  <c r="R126" i="1"/>
  <c r="AA15" i="1"/>
  <c r="X15" i="1"/>
  <c r="U15" i="1"/>
  <c r="R15" i="1"/>
  <c r="AF126" i="1" l="1"/>
  <c r="AF261" i="1"/>
  <c r="AF15" i="1" l="1"/>
  <c r="L15" i="1"/>
  <c r="L126" i="1"/>
  <c r="L261" i="1"/>
  <c r="AJ769" i="1"/>
  <c r="AI769" i="1"/>
  <c r="AJ768" i="1"/>
  <c r="AI768" i="1"/>
  <c r="AJ454" i="1"/>
  <c r="AJ707" i="1"/>
  <c r="AI707" i="1"/>
  <c r="AJ764" i="1"/>
  <c r="AI764" i="1"/>
  <c r="AJ754" i="1"/>
  <c r="AI754" i="1"/>
  <c r="AJ700" i="1"/>
  <c r="AI700" i="1"/>
  <c r="AJ695" i="1"/>
  <c r="AI695" i="1"/>
  <c r="AJ701" i="1"/>
  <c r="AI701" i="1"/>
  <c r="AJ639" i="1"/>
  <c r="AI639" i="1"/>
  <c r="AJ719" i="1"/>
  <c r="AI719" i="1"/>
  <c r="AJ712" i="1"/>
  <c r="AI712" i="1"/>
  <c r="AJ715" i="1"/>
  <c r="AI715" i="1"/>
  <c r="AI753" i="1"/>
  <c r="AJ745" i="1"/>
  <c r="AI745" i="1"/>
  <c r="AA778" i="1" l="1"/>
  <c r="X778" i="1"/>
  <c r="U778" i="1"/>
  <c r="R778" i="1"/>
  <c r="AF778" i="1" l="1"/>
  <c r="AA104" i="1"/>
  <c r="X104" i="1"/>
  <c r="U104" i="1"/>
  <c r="R104" i="1"/>
  <c r="AF104" i="1" l="1"/>
  <c r="AA103" i="1"/>
  <c r="X103" i="1"/>
  <c r="U103" i="1"/>
  <c r="R103" i="1"/>
  <c r="L104" i="1" l="1"/>
  <c r="AF103" i="1" l="1"/>
  <c r="L103" i="1"/>
  <c r="AJ714" i="1" l="1"/>
  <c r="AI714" i="1"/>
  <c r="AI751" i="1"/>
  <c r="AJ731" i="1"/>
  <c r="AI731" i="1"/>
  <c r="AJ756" i="1"/>
  <c r="AI756" i="1"/>
  <c r="AJ752" i="1"/>
  <c r="AI752" i="1"/>
  <c r="AJ702" i="1"/>
  <c r="AI702" i="1"/>
  <c r="AJ684" i="1"/>
  <c r="AI684" i="1"/>
  <c r="AJ747" i="1"/>
  <c r="AI747" i="1"/>
  <c r="AJ708" i="1"/>
  <c r="AI708" i="1"/>
  <c r="AJ761" i="1"/>
  <c r="AI761" i="1"/>
  <c r="AJ753" i="1"/>
  <c r="AJ762" i="1"/>
  <c r="AI762" i="1"/>
  <c r="AJ638" i="1"/>
  <c r="AI638" i="1"/>
  <c r="AA848" i="1" l="1"/>
  <c r="X848" i="1"/>
  <c r="U848" i="1"/>
  <c r="R848" i="1"/>
  <c r="L848" i="1" l="1"/>
  <c r="U771" i="1"/>
  <c r="AF848" i="1" l="1"/>
  <c r="AA847" i="1"/>
  <c r="X847" i="1"/>
  <c r="U847" i="1"/>
  <c r="R847" i="1"/>
  <c r="AF847" i="1" l="1"/>
  <c r="AI705" i="1"/>
  <c r="AI741" i="1"/>
  <c r="AJ705" i="1"/>
  <c r="L847" i="1" l="1"/>
  <c r="AA846" i="1"/>
  <c r="X846" i="1"/>
  <c r="U846" i="1"/>
  <c r="R846" i="1"/>
  <c r="AF846" i="1" l="1"/>
  <c r="L846" i="1" l="1"/>
  <c r="L240" i="1" l="1"/>
  <c r="AA835" i="1" l="1"/>
  <c r="X835" i="1"/>
  <c r="U835" i="1"/>
  <c r="R835" i="1"/>
  <c r="AF835" i="1" l="1"/>
  <c r="L835" i="1"/>
  <c r="AA844" i="1" l="1"/>
  <c r="X844" i="1"/>
  <c r="U844" i="1"/>
  <c r="R844" i="1"/>
  <c r="AF844" i="1" l="1"/>
  <c r="U83" i="1"/>
  <c r="L844" i="1" l="1"/>
  <c r="AI733" i="1"/>
  <c r="AJ733" i="1"/>
  <c r="AI93" i="1"/>
  <c r="AJ163" i="1" l="1"/>
  <c r="AJ717" i="1"/>
  <c r="AI717" i="1"/>
  <c r="AJ720" i="1"/>
  <c r="AI720" i="1"/>
  <c r="AJ666" i="1" l="1"/>
  <c r="AI666" i="1"/>
  <c r="AJ672" i="1"/>
  <c r="AI672" i="1"/>
  <c r="AJ685" i="1"/>
  <c r="AI685" i="1"/>
  <c r="AJ696" i="1"/>
  <c r="AI696" i="1"/>
  <c r="AJ722" i="1"/>
  <c r="AI722" i="1"/>
  <c r="AJ723" i="1"/>
  <c r="AI723" i="1"/>
  <c r="AJ738" i="1"/>
  <c r="AI738" i="1"/>
  <c r="AJ676" i="1"/>
  <c r="AI676" i="1"/>
  <c r="AJ741" i="1"/>
  <c r="AJ750" i="1"/>
  <c r="AI750" i="1"/>
  <c r="AJ697" i="1"/>
  <c r="AI697" i="1"/>
  <c r="AJ744" i="1"/>
  <c r="AI744" i="1"/>
  <c r="AJ748" i="1"/>
  <c r="AI748" i="1"/>
  <c r="AJ740" i="1"/>
  <c r="AI740" i="1"/>
  <c r="AJ724" i="1"/>
  <c r="AI724" i="1"/>
  <c r="AJ713" i="1" l="1"/>
  <c r="AI713" i="1"/>
  <c r="AJ732" i="1" l="1"/>
  <c r="AI732" i="1"/>
  <c r="AJ736" i="1"/>
  <c r="AI736" i="1"/>
  <c r="AJ721" i="1"/>
  <c r="AI721" i="1"/>
  <c r="AJ718" i="1"/>
  <c r="AI718" i="1"/>
  <c r="AJ709" i="1"/>
  <c r="AI709" i="1"/>
  <c r="AJ711" i="1"/>
  <c r="AI711" i="1"/>
  <c r="AJ93" i="1" l="1"/>
  <c r="AJ46" i="1"/>
  <c r="AI645" i="1"/>
  <c r="AA843" i="1" l="1"/>
  <c r="X843" i="1"/>
  <c r="U843" i="1"/>
  <c r="R843" i="1"/>
  <c r="L843" i="1" l="1"/>
  <c r="AF843" i="1" l="1"/>
  <c r="AA842" i="1"/>
  <c r="X842" i="1"/>
  <c r="U842" i="1"/>
  <c r="R842" i="1"/>
  <c r="AA841" i="1"/>
  <c r="X841" i="1"/>
  <c r="U841" i="1"/>
  <c r="R841" i="1"/>
  <c r="X840" i="1"/>
  <c r="U840" i="1"/>
  <c r="R840" i="1"/>
  <c r="AF841" i="1" l="1"/>
  <c r="AF842" i="1"/>
  <c r="L840" i="1"/>
  <c r="X839" i="1"/>
  <c r="U839" i="1"/>
  <c r="R839" i="1"/>
  <c r="L842" i="1" l="1"/>
  <c r="L841" i="1"/>
  <c r="AF840" i="1"/>
  <c r="AF839" i="1"/>
  <c r="L839" i="1" l="1"/>
  <c r="X838" i="1" l="1"/>
  <c r="U838" i="1"/>
  <c r="R838" i="1"/>
  <c r="AF838" i="1" l="1"/>
  <c r="L838" i="1" l="1"/>
  <c r="AJ688" i="1"/>
  <c r="AI688" i="1"/>
  <c r="AI694" i="1"/>
  <c r="AJ694" i="1"/>
  <c r="AJ655" i="1"/>
  <c r="AI655" i="1"/>
  <c r="AJ699" i="1"/>
  <c r="AI699" i="1"/>
  <c r="AJ660" i="1"/>
  <c r="AI660" i="1"/>
  <c r="AJ716" i="1"/>
  <c r="AI716" i="1"/>
  <c r="AJ689" i="1"/>
  <c r="AI689" i="1"/>
  <c r="AJ698" i="1"/>
  <c r="AI698" i="1"/>
  <c r="AJ683" i="1"/>
  <c r="AI683" i="1"/>
  <c r="AJ677" i="1"/>
  <c r="AI677" i="1"/>
  <c r="AJ657" i="1"/>
  <c r="AI657" i="1"/>
  <c r="AJ693" i="1"/>
  <c r="AI693" i="1"/>
  <c r="AJ757" i="1"/>
  <c r="AI757" i="1"/>
  <c r="R729" i="1" l="1"/>
  <c r="X837" i="1" l="1"/>
  <c r="U837" i="1"/>
  <c r="R837" i="1"/>
  <c r="L837" i="1" l="1"/>
  <c r="AF837" i="1" l="1"/>
  <c r="X836" i="1"/>
  <c r="U836" i="1"/>
  <c r="R836" i="1"/>
  <c r="AF836" i="1" l="1"/>
  <c r="L836" i="1" l="1"/>
  <c r="X345" i="1" l="1"/>
  <c r="AA834" i="1" l="1"/>
  <c r="X834" i="1"/>
  <c r="U834" i="1"/>
  <c r="R834" i="1"/>
  <c r="L834" i="1" l="1"/>
  <c r="AF834" i="1" l="1"/>
  <c r="X845" i="1"/>
  <c r="U845" i="1"/>
  <c r="R845" i="1"/>
  <c r="L845" i="1" l="1"/>
  <c r="AF845" i="1" l="1"/>
  <c r="AJ656" i="1" l="1"/>
  <c r="AI656" i="1"/>
  <c r="AJ682" i="1"/>
  <c r="AI682" i="1"/>
  <c r="AJ726" i="1"/>
  <c r="AI726" i="1"/>
  <c r="AJ739" i="1"/>
  <c r="AI739" i="1"/>
  <c r="AJ679" i="1"/>
  <c r="AI679" i="1"/>
  <c r="AJ681" i="1"/>
  <c r="AI681" i="1"/>
  <c r="AJ663" i="1" l="1"/>
  <c r="AI663" i="1"/>
  <c r="AJ725" i="1"/>
  <c r="AI725" i="1"/>
  <c r="AJ664" i="1"/>
  <c r="AI664" i="1"/>
  <c r="AJ658" i="1"/>
  <c r="AI658" i="1"/>
  <c r="AJ653" i="1"/>
  <c r="AI653" i="1"/>
  <c r="AA832" i="1" l="1"/>
  <c r="X832" i="1"/>
  <c r="U832" i="1"/>
  <c r="R832" i="1"/>
  <c r="L832" i="1" l="1"/>
  <c r="AJ95" i="1"/>
  <c r="AI95" i="1"/>
  <c r="AF832" i="1" l="1"/>
  <c r="AA833" i="1"/>
  <c r="X833" i="1"/>
  <c r="U833" i="1"/>
  <c r="R833" i="1"/>
  <c r="L833" i="1" l="1"/>
  <c r="AA831" i="1"/>
  <c r="X831" i="1"/>
  <c r="U831" i="1"/>
  <c r="R831" i="1"/>
  <c r="AF833" i="1" l="1"/>
  <c r="AA314" i="1"/>
  <c r="X314" i="1"/>
  <c r="U314" i="1"/>
  <c r="R314" i="1"/>
  <c r="L831" i="1" l="1"/>
  <c r="AF831" i="1"/>
  <c r="AF314" i="1"/>
  <c r="L314" i="1" l="1"/>
  <c r="AA830" i="1"/>
  <c r="X830" i="1"/>
  <c r="U830" i="1"/>
  <c r="R830" i="1"/>
  <c r="AA828" i="1" l="1"/>
  <c r="X828" i="1"/>
  <c r="U828" i="1"/>
  <c r="R828" i="1"/>
  <c r="AF830" i="1" l="1"/>
  <c r="L830" i="1"/>
  <c r="AF828" i="1"/>
  <c r="AE381" i="1"/>
  <c r="L828" i="1" l="1"/>
  <c r="AA829" i="1"/>
  <c r="X829" i="1"/>
  <c r="U829" i="1"/>
  <c r="R829" i="1"/>
  <c r="M809" i="1"/>
  <c r="M808" i="1"/>
  <c r="AA826" i="1" l="1"/>
  <c r="X826" i="1"/>
  <c r="U826" i="1"/>
  <c r="R826" i="1"/>
  <c r="L829" i="1" l="1"/>
  <c r="AF829" i="1"/>
  <c r="AF826" i="1"/>
  <c r="AA827" i="1"/>
  <c r="X827" i="1"/>
  <c r="U827" i="1"/>
  <c r="R827" i="1"/>
  <c r="L826" i="1" l="1"/>
  <c r="AA825" i="1"/>
  <c r="X825" i="1"/>
  <c r="U825" i="1"/>
  <c r="R825" i="1"/>
  <c r="AF827" i="1" l="1"/>
  <c r="L827" i="1"/>
  <c r="L825" i="1"/>
  <c r="AA824" i="1"/>
  <c r="X824" i="1"/>
  <c r="U824" i="1"/>
  <c r="R824" i="1"/>
  <c r="AF825" i="1" l="1"/>
  <c r="L824" i="1"/>
  <c r="AA823" i="1"/>
  <c r="X823" i="1"/>
  <c r="U823" i="1"/>
  <c r="R823" i="1"/>
  <c r="AF824" i="1" l="1"/>
  <c r="AA756" i="1"/>
  <c r="L823" i="1" l="1"/>
  <c r="AF823" i="1"/>
  <c r="AA822" i="1"/>
  <c r="X822" i="1"/>
  <c r="U822" i="1"/>
  <c r="R822" i="1"/>
  <c r="AA280" i="1" l="1"/>
  <c r="U280" i="1"/>
  <c r="R280" i="1"/>
  <c r="L822" i="1" l="1"/>
  <c r="AF822" i="1"/>
  <c r="L280" i="1"/>
  <c r="AF280" i="1" l="1"/>
  <c r="X55" i="1" l="1"/>
  <c r="U55" i="1"/>
  <c r="R55" i="1"/>
  <c r="AA821" i="1" l="1"/>
  <c r="X821" i="1"/>
  <c r="U821" i="1"/>
  <c r="R821" i="1"/>
  <c r="L55" i="1" l="1"/>
  <c r="AF55" i="1"/>
  <c r="AF821" i="1"/>
  <c r="L821" i="1" l="1"/>
  <c r="AA820" i="1"/>
  <c r="X820" i="1"/>
  <c r="U820" i="1"/>
  <c r="R820" i="1"/>
  <c r="AF820" i="1" l="1"/>
  <c r="AA819" i="1"/>
  <c r="X819" i="1"/>
  <c r="U819" i="1"/>
  <c r="R819" i="1"/>
  <c r="AI94" i="1"/>
  <c r="L820" i="1" l="1"/>
  <c r="AF819" i="1"/>
  <c r="AA818" i="1"/>
  <c r="U818" i="1"/>
  <c r="X818" i="1"/>
  <c r="R818" i="1"/>
  <c r="L819" i="1" l="1"/>
  <c r="L818" i="1"/>
  <c r="AA816" i="1"/>
  <c r="AA817" i="1"/>
  <c r="X816" i="1"/>
  <c r="X817" i="1"/>
  <c r="U816" i="1"/>
  <c r="U817" i="1"/>
  <c r="R816" i="1"/>
  <c r="R817" i="1"/>
  <c r="AF818" i="1" l="1"/>
  <c r="AF816" i="1"/>
  <c r="AF817" i="1"/>
  <c r="R740" i="1"/>
  <c r="R685" i="1"/>
  <c r="L816" i="1" l="1"/>
  <c r="L817" i="1"/>
  <c r="R257" i="1"/>
  <c r="X257" i="1" l="1"/>
  <c r="AA815" i="1" l="1"/>
  <c r="X815" i="1"/>
  <c r="U815" i="1"/>
  <c r="R815" i="1"/>
  <c r="L815" i="1" l="1"/>
  <c r="AA321" i="1"/>
  <c r="X6" i="1"/>
  <c r="X7" i="1"/>
  <c r="X8" i="1"/>
  <c r="X9" i="1"/>
  <c r="X10" i="1"/>
  <c r="X11" i="1"/>
  <c r="X12" i="1"/>
  <c r="X13" i="1"/>
  <c r="X14" i="1"/>
  <c r="X20" i="1"/>
  <c r="X21" i="1"/>
  <c r="X22" i="1"/>
  <c r="X23" i="1"/>
  <c r="X24" i="1"/>
  <c r="X27" i="1"/>
  <c r="X28" i="1"/>
  <c r="X29" i="1"/>
  <c r="X30" i="1"/>
  <c r="X31" i="1"/>
  <c r="X34" i="1"/>
  <c r="X35" i="1"/>
  <c r="X36" i="1"/>
  <c r="X37" i="1"/>
  <c r="X38" i="1"/>
  <c r="X39" i="1"/>
  <c r="X46" i="1"/>
  <c r="X47" i="1"/>
  <c r="X48" i="1"/>
  <c r="X49" i="1"/>
  <c r="X54" i="1"/>
  <c r="X56" i="1"/>
  <c r="X62" i="1"/>
  <c r="X63" i="1"/>
  <c r="X64" i="1"/>
  <c r="X65" i="1"/>
  <c r="X70" i="1"/>
  <c r="X71" i="1"/>
  <c r="X72" i="1"/>
  <c r="X73" i="1"/>
  <c r="X76" i="1"/>
  <c r="X77" i="1"/>
  <c r="X78" i="1"/>
  <c r="X79" i="1"/>
  <c r="X80" i="1"/>
  <c r="X81" i="1"/>
  <c r="X82" i="1"/>
  <c r="X83" i="1"/>
  <c r="X92" i="1"/>
  <c r="X93" i="1"/>
  <c r="X94" i="1"/>
  <c r="X95" i="1"/>
  <c r="X97" i="1"/>
  <c r="X98" i="1"/>
  <c r="X99" i="1"/>
  <c r="X100" i="1"/>
  <c r="X101" i="1"/>
  <c r="X102" i="1"/>
  <c r="X119" i="1"/>
  <c r="X120" i="1"/>
  <c r="X121" i="1"/>
  <c r="X122" i="1"/>
  <c r="X123" i="1"/>
  <c r="X124" i="1"/>
  <c r="X125" i="1"/>
  <c r="X129" i="1"/>
  <c r="X130" i="1"/>
  <c r="X131" i="1"/>
  <c r="X132" i="1"/>
  <c r="X133" i="1"/>
  <c r="X134" i="1"/>
  <c r="X135" i="1"/>
  <c r="X138" i="1"/>
  <c r="X139" i="1"/>
  <c r="X140" i="1"/>
  <c r="X145" i="1"/>
  <c r="X146" i="1"/>
  <c r="X147" i="1"/>
  <c r="X148" i="1"/>
  <c r="X149" i="1"/>
  <c r="X150" i="1"/>
  <c r="X151" i="1"/>
  <c r="X162" i="1"/>
  <c r="X163" i="1"/>
  <c r="X164" i="1"/>
  <c r="X165" i="1"/>
  <c r="X166" i="1"/>
  <c r="X177" i="1"/>
  <c r="X179" i="1"/>
  <c r="X180" i="1"/>
  <c r="X181" i="1"/>
  <c r="X187" i="1"/>
  <c r="X188" i="1"/>
  <c r="X189" i="1"/>
  <c r="X190" i="1"/>
  <c r="X191" i="1"/>
  <c r="X192" i="1"/>
  <c r="X193" i="1"/>
  <c r="X194" i="1"/>
  <c r="X195" i="1"/>
  <c r="X198" i="1"/>
  <c r="X199" i="1"/>
  <c r="X200" i="1"/>
  <c r="X201" i="1"/>
  <c r="X202" i="1"/>
  <c r="X203" i="1"/>
  <c r="X206" i="1"/>
  <c r="X207" i="1"/>
  <c r="X208" i="1"/>
  <c r="X209" i="1"/>
  <c r="X213" i="1"/>
  <c r="X214" i="1"/>
  <c r="X215" i="1"/>
  <c r="X216" i="1"/>
  <c r="X217" i="1"/>
  <c r="X218" i="1"/>
  <c r="X219" i="1"/>
  <c r="X222" i="1"/>
  <c r="X224" i="1"/>
  <c r="X225" i="1"/>
  <c r="X232" i="1"/>
  <c r="X233" i="1"/>
  <c r="X234" i="1"/>
  <c r="X235" i="1"/>
  <c r="X236" i="1"/>
  <c r="X237" i="1"/>
  <c r="X238" i="1"/>
  <c r="X239" i="1"/>
  <c r="X241" i="1"/>
  <c r="X255" i="1"/>
  <c r="X256" i="1"/>
  <c r="X258" i="1"/>
  <c r="X259" i="1"/>
  <c r="X260" i="1"/>
  <c r="X268" i="1"/>
  <c r="X273" i="1"/>
  <c r="X274" i="1"/>
  <c r="X275" i="1"/>
  <c r="X278" i="1"/>
  <c r="X279" i="1"/>
  <c r="X285" i="1"/>
  <c r="X286" i="1"/>
  <c r="X287" i="1"/>
  <c r="X291" i="1"/>
  <c r="X292" i="1"/>
  <c r="X293" i="1"/>
  <c r="X294" i="1"/>
  <c r="X295" i="1"/>
  <c r="X296" i="1"/>
  <c r="X302" i="1"/>
  <c r="X303" i="1"/>
  <c r="X304" i="1"/>
  <c r="X310" i="1"/>
  <c r="X311" i="1"/>
  <c r="X312" i="1"/>
  <c r="X313" i="1"/>
  <c r="X315" i="1"/>
  <c r="X316" i="1"/>
  <c r="X317" i="1"/>
  <c r="X318" i="1"/>
  <c r="X319" i="1"/>
  <c r="X320" i="1"/>
  <c r="X321" i="1"/>
  <c r="U6" i="1"/>
  <c r="U7" i="1"/>
  <c r="U8" i="1"/>
  <c r="U9" i="1"/>
  <c r="U10" i="1"/>
  <c r="U11" i="1"/>
  <c r="U12" i="1"/>
  <c r="U13" i="1"/>
  <c r="U14" i="1"/>
  <c r="U20" i="1"/>
  <c r="U21" i="1"/>
  <c r="U22" i="1"/>
  <c r="U23" i="1"/>
  <c r="U24" i="1"/>
  <c r="U27" i="1"/>
  <c r="U28" i="1"/>
  <c r="U29" i="1"/>
  <c r="U30" i="1"/>
  <c r="U31" i="1"/>
  <c r="U34" i="1"/>
  <c r="U35" i="1"/>
  <c r="U36" i="1"/>
  <c r="U37" i="1"/>
  <c r="U38" i="1"/>
  <c r="U39" i="1"/>
  <c r="U46" i="1"/>
  <c r="U47" i="1"/>
  <c r="U48" i="1"/>
  <c r="U49" i="1"/>
  <c r="U54" i="1"/>
  <c r="U56" i="1"/>
  <c r="U62" i="1"/>
  <c r="U63" i="1"/>
  <c r="U64" i="1"/>
  <c r="U65" i="1"/>
  <c r="U70" i="1"/>
  <c r="U71" i="1"/>
  <c r="U72" i="1"/>
  <c r="U73" i="1"/>
  <c r="U76" i="1"/>
  <c r="U77" i="1"/>
  <c r="U78" i="1"/>
  <c r="U79" i="1"/>
  <c r="U80" i="1"/>
  <c r="U81" i="1"/>
  <c r="U82" i="1"/>
  <c r="U92" i="1"/>
  <c r="U93" i="1"/>
  <c r="U94" i="1"/>
  <c r="U95" i="1"/>
  <c r="U97" i="1"/>
  <c r="U98" i="1"/>
  <c r="U99" i="1"/>
  <c r="U100" i="1"/>
  <c r="U101" i="1"/>
  <c r="U102" i="1"/>
  <c r="U119" i="1"/>
  <c r="U120" i="1"/>
  <c r="U121" i="1"/>
  <c r="U122" i="1"/>
  <c r="U123" i="1"/>
  <c r="U124" i="1"/>
  <c r="U125" i="1"/>
  <c r="U129" i="1"/>
  <c r="U130" i="1"/>
  <c r="U131" i="1"/>
  <c r="U132" i="1"/>
  <c r="U133" i="1"/>
  <c r="U134" i="1"/>
  <c r="U138" i="1"/>
  <c r="U139" i="1"/>
  <c r="U140" i="1"/>
  <c r="U145" i="1"/>
  <c r="U146" i="1"/>
  <c r="U147" i="1"/>
  <c r="U148" i="1"/>
  <c r="U149" i="1"/>
  <c r="U150" i="1"/>
  <c r="U151" i="1"/>
  <c r="U162" i="1"/>
  <c r="U163" i="1"/>
  <c r="U164" i="1"/>
  <c r="U165" i="1"/>
  <c r="U166" i="1"/>
  <c r="U177" i="1"/>
  <c r="U179" i="1"/>
  <c r="U180" i="1"/>
  <c r="U181" i="1"/>
  <c r="U187" i="1"/>
  <c r="U188" i="1"/>
  <c r="U189" i="1"/>
  <c r="U190" i="1"/>
  <c r="U191" i="1"/>
  <c r="U192" i="1"/>
  <c r="U193" i="1"/>
  <c r="U194" i="1"/>
  <c r="U195" i="1"/>
  <c r="U198" i="1"/>
  <c r="U199" i="1"/>
  <c r="U200" i="1"/>
  <c r="U201" i="1"/>
  <c r="U202" i="1"/>
  <c r="U203" i="1"/>
  <c r="U206" i="1"/>
  <c r="U207" i="1"/>
  <c r="U208" i="1"/>
  <c r="U209" i="1"/>
  <c r="U213" i="1"/>
  <c r="U214" i="1"/>
  <c r="U215" i="1"/>
  <c r="U216" i="1"/>
  <c r="U217" i="1"/>
  <c r="U218" i="1"/>
  <c r="U219" i="1"/>
  <c r="U222" i="1"/>
  <c r="U224" i="1"/>
  <c r="U225" i="1"/>
  <c r="U232" i="1"/>
  <c r="U233" i="1"/>
  <c r="U234" i="1"/>
  <c r="U235" i="1"/>
  <c r="U236" i="1"/>
  <c r="U237" i="1"/>
  <c r="U238" i="1"/>
  <c r="U239" i="1"/>
  <c r="U241" i="1"/>
  <c r="U255" i="1"/>
  <c r="U256" i="1"/>
  <c r="U258" i="1"/>
  <c r="U259" i="1"/>
  <c r="U260" i="1"/>
  <c r="U268" i="1"/>
  <c r="U273" i="1"/>
  <c r="U274" i="1"/>
  <c r="U275" i="1"/>
  <c r="U278" i="1"/>
  <c r="U279" i="1"/>
  <c r="U285" i="1"/>
  <c r="U286" i="1"/>
  <c r="U287" i="1"/>
  <c r="U291" i="1"/>
  <c r="U292" i="1"/>
  <c r="U293" i="1"/>
  <c r="U294" i="1"/>
  <c r="U295" i="1"/>
  <c r="U296" i="1"/>
  <c r="U302" i="1"/>
  <c r="U303" i="1"/>
  <c r="U304" i="1"/>
  <c r="U310" i="1"/>
  <c r="U311" i="1"/>
  <c r="U312" i="1"/>
  <c r="U313" i="1"/>
  <c r="U315" i="1"/>
  <c r="U316" i="1"/>
  <c r="U317" i="1"/>
  <c r="U318" i="1"/>
  <c r="U319" i="1"/>
  <c r="U320" i="1"/>
  <c r="U321" i="1"/>
  <c r="R321" i="1"/>
  <c r="AF815" i="1" l="1"/>
  <c r="AF321" i="1"/>
  <c r="AF135" i="1" l="1"/>
  <c r="L135" i="1"/>
  <c r="L321" i="1"/>
  <c r="R49" i="1"/>
  <c r="AF49" i="1" l="1"/>
  <c r="L49" i="1"/>
  <c r="AA814" i="1"/>
  <c r="X814" i="1"/>
  <c r="U814" i="1"/>
  <c r="R814" i="1"/>
  <c r="U813" i="1"/>
  <c r="AA813" i="1"/>
  <c r="X813" i="1"/>
  <c r="R813" i="1"/>
  <c r="L813" i="1" l="1"/>
  <c r="L814" i="1"/>
  <c r="AA812" i="1"/>
  <c r="X812" i="1"/>
  <c r="U812" i="1"/>
  <c r="R812" i="1"/>
  <c r="AF812" i="1" l="1"/>
  <c r="AF813" i="1"/>
  <c r="AF814" i="1"/>
  <c r="AA24" i="1"/>
  <c r="R24" i="1"/>
  <c r="L812" i="1" l="1"/>
  <c r="X811" i="1"/>
  <c r="AF24" i="1" l="1"/>
  <c r="L24" i="1"/>
  <c r="AA811" i="1"/>
  <c r="U811" i="1"/>
  <c r="R811" i="1"/>
  <c r="N811" i="1"/>
  <c r="O811" i="1"/>
  <c r="P811" i="1"/>
  <c r="AA83" i="1" l="1"/>
  <c r="R83" i="1"/>
  <c r="L811" i="1" l="1"/>
  <c r="AF811" i="1"/>
  <c r="AA810" i="1"/>
  <c r="X810" i="1"/>
  <c r="U810" i="1"/>
  <c r="R810" i="1"/>
  <c r="Q810" i="1"/>
  <c r="Q811" i="1" s="1"/>
  <c r="Q812" i="1" s="1"/>
  <c r="Q813" i="1" s="1"/>
  <c r="Q814" i="1" s="1"/>
  <c r="Q815" i="1" s="1"/>
  <c r="D811" i="1"/>
  <c r="L83" i="1" l="1"/>
  <c r="AF83" i="1"/>
  <c r="AF810" i="1"/>
  <c r="AA125" i="1"/>
  <c r="R125" i="1"/>
  <c r="L810" i="1" l="1"/>
  <c r="L125" i="1"/>
  <c r="AA313" i="1"/>
  <c r="R313" i="1"/>
  <c r="AF125" i="1" l="1"/>
  <c r="AF313" i="1" l="1"/>
  <c r="L313" i="1"/>
  <c r="AA225" i="1" l="1"/>
  <c r="R225" i="1"/>
  <c r="L225" i="1" l="1"/>
  <c r="AJ667" i="1"/>
  <c r="AI667" i="1"/>
  <c r="AF225" i="1" l="1"/>
  <c r="AJ665" i="1" l="1"/>
  <c r="AI665" i="1"/>
  <c r="L799" i="1" l="1"/>
  <c r="AA181" i="1" l="1"/>
  <c r="R181" i="1"/>
  <c r="M181" i="1"/>
  <c r="M182" i="1" s="1"/>
  <c r="N181" i="1"/>
  <c r="N182" i="1" s="1"/>
  <c r="O181" i="1"/>
  <c r="P181" i="1"/>
  <c r="P182" i="1" s="1"/>
  <c r="Q181" i="1"/>
  <c r="G181" i="1"/>
  <c r="L181" i="1" l="1"/>
  <c r="AA809" i="1"/>
  <c r="X809" i="1"/>
  <c r="U809" i="1"/>
  <c r="R809" i="1"/>
  <c r="AF181" i="1" l="1"/>
  <c r="AF809" i="1"/>
  <c r="AA808" i="1"/>
  <c r="X808" i="1"/>
  <c r="U808" i="1"/>
  <c r="R808" i="1"/>
  <c r="L809" i="1" l="1"/>
  <c r="AA806" i="1"/>
  <c r="AA807" i="1"/>
  <c r="X806" i="1"/>
  <c r="X807" i="1"/>
  <c r="U806" i="1"/>
  <c r="U807" i="1"/>
  <c r="R806" i="1"/>
  <c r="R807" i="1"/>
  <c r="L808" i="1" l="1"/>
  <c r="AF808" i="1"/>
  <c r="L807" i="1" l="1"/>
  <c r="AF807" i="1"/>
  <c r="L806" i="1"/>
  <c r="AF806" i="1"/>
  <c r="X805" i="1" l="1"/>
  <c r="U805" i="1"/>
  <c r="AA805" i="1"/>
  <c r="R805" i="1"/>
  <c r="N808" i="1"/>
  <c r="N809" i="1" s="1"/>
  <c r="O805" i="1"/>
  <c r="O806" i="1" s="1"/>
  <c r="O807" i="1" s="1"/>
  <c r="P805" i="1"/>
  <c r="P806" i="1" s="1"/>
  <c r="P807" i="1" s="1"/>
  <c r="Q805" i="1"/>
  <c r="Q806" i="1" s="1"/>
  <c r="Q807" i="1" s="1"/>
  <c r="Q808" i="1" s="1"/>
  <c r="AF805" i="1" l="1"/>
  <c r="L805" i="1" l="1"/>
  <c r="AA337" i="1"/>
  <c r="X337" i="1"/>
  <c r="U337" i="1"/>
  <c r="R337" i="1"/>
  <c r="AA241" i="1"/>
  <c r="R241" i="1"/>
  <c r="R803" i="1"/>
  <c r="U803" i="1"/>
  <c r="X803" i="1"/>
  <c r="AA803" i="1"/>
  <c r="R804" i="1"/>
  <c r="U804" i="1"/>
  <c r="X804" i="1"/>
  <c r="AA804" i="1"/>
  <c r="AF804" i="1" l="1"/>
  <c r="L337" i="1"/>
  <c r="L803" i="1"/>
  <c r="AF241" i="1" l="1"/>
  <c r="L241" i="1"/>
  <c r="L804" i="1"/>
  <c r="AF803" i="1"/>
  <c r="AF337" i="1"/>
  <c r="AA203" i="1"/>
  <c r="R203" i="1"/>
  <c r="AF203" i="1" l="1"/>
  <c r="L203" i="1"/>
  <c r="AA802" i="1"/>
  <c r="AA801" i="1" l="1"/>
  <c r="X802" i="1"/>
  <c r="U802" i="1"/>
  <c r="R802" i="1"/>
  <c r="AF802" i="1" l="1"/>
  <c r="X801" i="1"/>
  <c r="U801" i="1"/>
  <c r="R801" i="1"/>
  <c r="L802" i="1" l="1"/>
  <c r="L801" i="1"/>
  <c r="X800" i="1"/>
  <c r="U800" i="1"/>
  <c r="R800" i="1"/>
  <c r="AF801" i="1" l="1"/>
  <c r="AA800" i="1"/>
  <c r="AF800" i="1" s="1"/>
  <c r="L800" i="1" l="1"/>
  <c r="AA268" i="1"/>
  <c r="R268" i="1"/>
  <c r="AI644" i="1" l="1"/>
  <c r="AJ654" i="1"/>
  <c r="AI654" i="1"/>
  <c r="L268" i="1" l="1"/>
  <c r="AF268" i="1"/>
  <c r="AA798" i="1"/>
  <c r="X798" i="1"/>
  <c r="U798" i="1"/>
  <c r="R798" i="1"/>
  <c r="AF798" i="1" l="1"/>
  <c r="L798" i="1" l="1"/>
  <c r="R39" i="1"/>
  <c r="AA797" i="1" l="1"/>
  <c r="U797" i="1"/>
  <c r="X797" i="1"/>
  <c r="R797" i="1"/>
  <c r="AF39" i="1" l="1"/>
  <c r="L39" i="1"/>
  <c r="AF797" i="1"/>
  <c r="L797" i="1" l="1"/>
  <c r="AA796" i="1"/>
  <c r="X796" i="1"/>
  <c r="U796" i="1"/>
  <c r="R796" i="1" l="1"/>
  <c r="AA795" i="1" l="1"/>
  <c r="X795" i="1"/>
  <c r="U795" i="1"/>
  <c r="R795" i="1"/>
  <c r="AF796" i="1" l="1"/>
  <c r="L796" i="1"/>
  <c r="AF795" i="1"/>
  <c r="AA296" i="1"/>
  <c r="R296" i="1"/>
  <c r="L795" i="1" l="1"/>
  <c r="L296" i="1"/>
  <c r="AF296" i="1" l="1"/>
  <c r="L73" i="1" l="1"/>
  <c r="AF73" i="1"/>
  <c r="AA794" i="1"/>
  <c r="X794" i="1"/>
  <c r="U794" i="1"/>
  <c r="R794" i="1"/>
  <c r="R793" i="1"/>
  <c r="AA793" i="1"/>
  <c r="U793" i="1"/>
  <c r="AA792" i="1"/>
  <c r="X792" i="1"/>
  <c r="U792" i="1"/>
  <c r="R792" i="1"/>
  <c r="L794" i="1" l="1"/>
  <c r="L792" i="1"/>
  <c r="AA353" i="1"/>
  <c r="X353" i="1"/>
  <c r="U353" i="1"/>
  <c r="R353" i="1"/>
  <c r="AF792" i="1" l="1"/>
  <c r="AF794" i="1"/>
  <c r="L353" i="1"/>
  <c r="AF353" i="1" l="1"/>
  <c r="AA332" i="1"/>
  <c r="X332" i="1"/>
  <c r="U332" i="1"/>
  <c r="R332" i="1"/>
  <c r="AA331" i="1"/>
  <c r="X331" i="1"/>
  <c r="U331" i="1"/>
  <c r="R331" i="1"/>
  <c r="AA38" i="1"/>
  <c r="R38" i="1"/>
  <c r="AA330" i="1"/>
  <c r="X330" i="1"/>
  <c r="U330" i="1"/>
  <c r="R330" i="1"/>
  <c r="AA166" i="1"/>
  <c r="R166" i="1"/>
  <c r="AF332" i="1" l="1"/>
  <c r="L331" i="1"/>
  <c r="AF330" i="1"/>
  <c r="AA791" i="1"/>
  <c r="X791" i="1"/>
  <c r="U791" i="1"/>
  <c r="R791" i="1"/>
  <c r="AF166" i="1" l="1"/>
  <c r="L166" i="1"/>
  <c r="AF38" i="1"/>
  <c r="L38" i="1"/>
  <c r="L332" i="1"/>
  <c r="L330" i="1"/>
  <c r="AF331" i="1"/>
  <c r="AF791" i="1"/>
  <c r="X793" i="1"/>
  <c r="L793" i="1" s="1"/>
  <c r="L791" i="1" l="1"/>
  <c r="AF793" i="1"/>
  <c r="R672" i="1"/>
  <c r="AA790" i="1" l="1"/>
  <c r="X790" i="1"/>
  <c r="U790" i="1"/>
  <c r="R790" i="1"/>
  <c r="AA788" i="1"/>
  <c r="X788" i="1"/>
  <c r="U788" i="1"/>
  <c r="R788" i="1"/>
  <c r="AA348" i="1"/>
  <c r="X348" i="1"/>
  <c r="U348" i="1"/>
  <c r="R348" i="1"/>
  <c r="AF348" i="1" l="1"/>
  <c r="L788" i="1"/>
  <c r="AF790" i="1" l="1"/>
  <c r="L790" i="1"/>
  <c r="L348" i="1"/>
  <c r="AF788" i="1"/>
  <c r="AA275" i="1"/>
  <c r="R275" i="1"/>
  <c r="R47" i="1" l="1"/>
  <c r="R48" i="1"/>
  <c r="AF275" i="1" l="1"/>
  <c r="L275" i="1"/>
  <c r="AF48" i="1" l="1"/>
  <c r="L48" i="1"/>
  <c r="AA789" i="1"/>
  <c r="X789" i="1" l="1"/>
  <c r="U789" i="1"/>
  <c r="R789" i="1"/>
  <c r="AF789" i="1" l="1"/>
  <c r="L789" i="1" l="1"/>
  <c r="AA124" i="1"/>
  <c r="R124" i="1"/>
  <c r="L129" i="1" l="1"/>
  <c r="AA295" i="1"/>
  <c r="R295" i="1"/>
  <c r="AF124" i="1" l="1"/>
  <c r="L124" i="1"/>
  <c r="AF295" i="1" l="1"/>
  <c r="L295" i="1"/>
  <c r="R56" i="1"/>
  <c r="M56" i="1"/>
  <c r="N56" i="1" l="1"/>
  <c r="L56" i="1" l="1"/>
  <c r="AF56" i="1"/>
  <c r="AA320" i="1"/>
  <c r="R320" i="1"/>
  <c r="AA140" i="1" l="1"/>
  <c r="R140" i="1"/>
  <c r="AF320" i="1" l="1"/>
  <c r="L320" i="1"/>
  <c r="L140" i="1"/>
  <c r="AF140" i="1" l="1"/>
  <c r="AA102" i="1"/>
  <c r="R102" i="1"/>
  <c r="L102" i="1" l="1"/>
  <c r="AF102" i="1" l="1"/>
  <c r="AF256" i="1"/>
  <c r="AF129" i="1"/>
  <c r="R100" i="1" l="1"/>
  <c r="AF100" i="1" l="1"/>
  <c r="L100" i="1"/>
  <c r="AA224" i="1"/>
  <c r="R224" i="1"/>
  <c r="L224" i="1" l="1"/>
  <c r="AA260" i="1"/>
  <c r="R260" i="1"/>
  <c r="AF224" i="1" l="1"/>
  <c r="X787" i="1"/>
  <c r="U787" i="1"/>
  <c r="R787" i="1"/>
  <c r="AF787" i="1" l="1"/>
  <c r="AA37" i="1"/>
  <c r="R37" i="1"/>
  <c r="AA239" i="1"/>
  <c r="R239" i="1"/>
  <c r="L787" i="1" l="1"/>
  <c r="L239" i="1"/>
  <c r="AA319" i="1"/>
  <c r="R319" i="1"/>
  <c r="AF37" i="1" l="1"/>
  <c r="L37" i="1"/>
  <c r="AF239" i="1"/>
  <c r="AA150" i="1"/>
  <c r="R150" i="1"/>
  <c r="AF319" i="1" l="1"/>
  <c r="L319" i="1"/>
  <c r="L150" i="1"/>
  <c r="AF150" i="1" l="1"/>
  <c r="AA98" i="1" l="1"/>
  <c r="AA99" i="1"/>
  <c r="AA101" i="1"/>
  <c r="R97" i="1"/>
  <c r="R98" i="1"/>
  <c r="R99" i="1"/>
  <c r="R101" i="1"/>
  <c r="L98" i="1" l="1"/>
  <c r="AA151" i="1"/>
  <c r="R151" i="1"/>
  <c r="P151" i="1"/>
  <c r="Q151" i="1"/>
  <c r="AF99" i="1" l="1"/>
  <c r="L99" i="1"/>
  <c r="AF101" i="1"/>
  <c r="L101" i="1"/>
  <c r="AF98" i="1"/>
  <c r="AA238" i="1"/>
  <c r="R238" i="1"/>
  <c r="AF151" i="1" l="1"/>
  <c r="L151" i="1"/>
  <c r="L238" i="1"/>
  <c r="AA14" i="1"/>
  <c r="R14" i="1"/>
  <c r="L14" i="1" l="1"/>
  <c r="AF238" i="1"/>
  <c r="X365" i="1"/>
  <c r="AA365" i="1"/>
  <c r="U365" i="1"/>
  <c r="AF14" i="1" l="1"/>
  <c r="L365" i="1"/>
  <c r="R65" i="1"/>
  <c r="L260" i="1" l="1"/>
  <c r="AF365" i="1"/>
  <c r="AA364" i="1"/>
  <c r="X364" i="1"/>
  <c r="U364" i="1"/>
  <c r="R237" i="1"/>
  <c r="AA237" i="1"/>
  <c r="AF65" i="1" l="1"/>
  <c r="L65" i="1"/>
  <c r="AF260" i="1"/>
  <c r="L364" i="1"/>
  <c r="AA31" i="1"/>
  <c r="R31" i="1"/>
  <c r="AF237" i="1" l="1"/>
  <c r="L237" i="1"/>
  <c r="AF364" i="1"/>
  <c r="AF31" i="1" l="1"/>
  <c r="L31" i="1"/>
  <c r="AA195" i="1"/>
  <c r="R195" i="1"/>
  <c r="L195" i="1" l="1"/>
  <c r="R759" i="1"/>
  <c r="AA259" i="1"/>
  <c r="R259" i="1"/>
  <c r="AF195" i="1" l="1"/>
  <c r="R207" i="1"/>
  <c r="AA134" i="1" l="1"/>
  <c r="R134" i="1"/>
  <c r="M134" i="1" l="1"/>
  <c r="E134" i="1"/>
  <c r="AF134" i="1" l="1"/>
  <c r="L134" i="1"/>
  <c r="R194" i="1"/>
  <c r="AF194" i="1" l="1"/>
  <c r="L194" i="1"/>
  <c r="AA139" i="1" l="1"/>
  <c r="R139" i="1"/>
  <c r="L139" i="1" l="1"/>
  <c r="X786" i="1"/>
  <c r="AA786" i="1"/>
  <c r="U786" i="1"/>
  <c r="R786" i="1"/>
  <c r="AF139" i="1" l="1"/>
  <c r="L786" i="1"/>
  <c r="AF786" i="1" l="1"/>
  <c r="AA133" i="1"/>
  <c r="R133" i="1"/>
  <c r="AA454" i="1"/>
  <c r="X454" i="1"/>
  <c r="U454" i="1"/>
  <c r="R454" i="1"/>
  <c r="AA453" i="1"/>
  <c r="X453" i="1"/>
  <c r="U453" i="1"/>
  <c r="R453" i="1"/>
  <c r="L454" i="1" l="1"/>
  <c r="AF453" i="1"/>
  <c r="L133" i="1" l="1"/>
  <c r="L453" i="1"/>
  <c r="AF133" i="1"/>
  <c r="AF454" i="1"/>
  <c r="U785" i="1"/>
  <c r="AA785" i="1" l="1"/>
  <c r="X785" i="1"/>
  <c r="R785" i="1"/>
  <c r="AF785" i="1" l="1"/>
  <c r="R742" i="1"/>
  <c r="L785" i="1" l="1"/>
  <c r="AA82" i="1"/>
  <c r="R82" i="1"/>
  <c r="L82" i="1" l="1"/>
  <c r="AF82" i="1" l="1"/>
  <c r="L784" i="1" l="1"/>
  <c r="L223" i="1"/>
  <c r="AA23" i="1" l="1"/>
  <c r="R23" i="1"/>
  <c r="AA689" i="1" l="1"/>
  <c r="X689" i="1"/>
  <c r="R689" i="1"/>
  <c r="U689" i="1"/>
  <c r="AF23" i="1" l="1"/>
  <c r="L23" i="1"/>
  <c r="AA235" i="1" l="1"/>
  <c r="AA236" i="1"/>
  <c r="R236" i="1"/>
  <c r="X329" i="1" l="1"/>
  <c r="AF236" i="1" l="1"/>
  <c r="L236" i="1"/>
  <c r="X375" i="1"/>
  <c r="U375" i="1"/>
  <c r="R375" i="1"/>
  <c r="AF375" i="1" l="1"/>
  <c r="R216" i="1"/>
  <c r="AA780" i="1"/>
  <c r="U780" i="1"/>
  <c r="R780" i="1"/>
  <c r="L375" i="1" l="1"/>
  <c r="AF780" i="1"/>
  <c r="X346" i="1"/>
  <c r="L780" i="1" l="1"/>
  <c r="AA455" i="1"/>
  <c r="X455" i="1"/>
  <c r="U455" i="1"/>
  <c r="R455" i="1"/>
  <c r="AB730" i="1" l="1"/>
  <c r="AA13" i="1"/>
  <c r="R13" i="1"/>
  <c r="AF455" i="1" l="1"/>
  <c r="L455" i="1"/>
  <c r="AA416" i="1"/>
  <c r="X416" i="1"/>
  <c r="U416" i="1"/>
  <c r="AF13" i="1" l="1"/>
  <c r="L13" i="1"/>
  <c r="AF416" i="1"/>
  <c r="L416" i="1" l="1"/>
  <c r="AA12" i="1"/>
  <c r="R12" i="1"/>
  <c r="AA347" i="1" l="1"/>
  <c r="X347" i="1"/>
  <c r="X336" i="1"/>
  <c r="U346" i="1"/>
  <c r="U347" i="1"/>
  <c r="R347" i="1"/>
  <c r="R344" i="1"/>
  <c r="AF12" i="1" l="1"/>
  <c r="L12" i="1"/>
  <c r="AA346" i="1"/>
  <c r="R346" i="1"/>
  <c r="R345" i="1"/>
  <c r="L347" i="1"/>
  <c r="AF347" i="1" l="1"/>
  <c r="AF346" i="1"/>
  <c r="L346" i="1" l="1"/>
  <c r="AA449" i="1"/>
  <c r="X449" i="1"/>
  <c r="U449" i="1"/>
  <c r="R449" i="1"/>
  <c r="AA704" i="1"/>
  <c r="X704" i="1"/>
  <c r="U704" i="1"/>
  <c r="R704" i="1"/>
  <c r="AF449" i="1" l="1"/>
  <c r="AA193" i="1"/>
  <c r="AF704" i="1" l="1"/>
  <c r="L449" i="1"/>
  <c r="L704" i="1"/>
  <c r="AA783" i="1"/>
  <c r="X783" i="1"/>
  <c r="U783" i="1"/>
  <c r="R783" i="1"/>
  <c r="L783" i="1" l="1"/>
  <c r="AF783" i="1" l="1"/>
  <c r="AI646" i="1" l="1"/>
  <c r="AA760" i="1" l="1"/>
  <c r="AA734" i="1"/>
  <c r="AA730" i="1"/>
  <c r="X760" i="1"/>
  <c r="X734" i="1"/>
  <c r="X730" i="1"/>
  <c r="U734" i="1"/>
  <c r="U730" i="1"/>
  <c r="U760" i="1"/>
  <c r="R734" i="1"/>
  <c r="R730" i="1"/>
  <c r="R760" i="1"/>
  <c r="AF730" i="1" l="1"/>
  <c r="L760" i="1"/>
  <c r="L734" i="1" l="1"/>
  <c r="L730" i="1"/>
  <c r="AF760" i="1"/>
  <c r="AF734" i="1"/>
  <c r="AA703" i="1" l="1"/>
  <c r="X703" i="1"/>
  <c r="U703" i="1"/>
  <c r="R703" i="1"/>
  <c r="U782" i="1" l="1"/>
  <c r="AA782" i="1"/>
  <c r="X782" i="1"/>
  <c r="R782" i="1"/>
  <c r="L703" i="1" l="1"/>
  <c r="AF703" i="1"/>
  <c r="AF782" i="1"/>
  <c r="L782" i="1" l="1"/>
  <c r="AA11" i="1"/>
  <c r="R11" i="1"/>
  <c r="AF11" i="1" l="1"/>
  <c r="L11" i="1"/>
  <c r="R623" i="1"/>
  <c r="R202" i="1" l="1"/>
  <c r="AA30" i="1" l="1"/>
  <c r="R30" i="1"/>
  <c r="AF30" i="1" l="1"/>
  <c r="L30" i="1"/>
  <c r="AA122" i="1" l="1"/>
  <c r="AA10" i="1" l="1"/>
  <c r="R10" i="1"/>
  <c r="AA336" i="1" l="1"/>
  <c r="U336" i="1"/>
  <c r="R336" i="1"/>
  <c r="AF10" i="1" l="1"/>
  <c r="L10" i="1"/>
  <c r="L336" i="1"/>
  <c r="AF336" i="1" l="1"/>
  <c r="AA328" i="1"/>
  <c r="R209" i="1"/>
  <c r="AA776" i="1" l="1"/>
  <c r="AA777" i="1"/>
  <c r="X776" i="1"/>
  <c r="X777" i="1"/>
  <c r="U776" i="1"/>
  <c r="U777" i="1"/>
  <c r="R776" i="1"/>
  <c r="R777" i="1"/>
  <c r="L776" i="1" l="1"/>
  <c r="AF777" i="1"/>
  <c r="L778" i="1" l="1"/>
  <c r="L777" i="1"/>
  <c r="AF776" i="1"/>
  <c r="X328" i="1"/>
  <c r="U328" i="1"/>
  <c r="R328" i="1"/>
  <c r="L328" i="1" l="1"/>
  <c r="U775" i="1"/>
  <c r="AF328" i="1" l="1"/>
  <c r="R235" i="1"/>
  <c r="L235" i="1" l="1"/>
  <c r="AF235" i="1" l="1"/>
  <c r="AA294" i="1" l="1"/>
  <c r="R294" i="1"/>
  <c r="AA287" i="1"/>
  <c r="R287" i="1"/>
  <c r="AA218" i="1"/>
  <c r="AA219" i="1"/>
  <c r="R218" i="1"/>
  <c r="R219" i="1"/>
  <c r="AA209" i="1"/>
  <c r="AA202" i="1"/>
  <c r="AA201" i="1"/>
  <c r="AA200" i="1"/>
  <c r="AA199" i="1"/>
  <c r="R201" i="1"/>
  <c r="R193" i="1"/>
  <c r="AA165" i="1"/>
  <c r="R165" i="1"/>
  <c r="AA132" i="1"/>
  <c r="R132" i="1"/>
  <c r="AA81" i="1"/>
  <c r="R81" i="1"/>
  <c r="AA36" i="1"/>
  <c r="R36" i="1"/>
  <c r="L287" i="1" l="1"/>
  <c r="L209" i="1"/>
  <c r="L294" i="1"/>
  <c r="L201" i="1"/>
  <c r="L202" i="1"/>
  <c r="AF218" i="1" l="1"/>
  <c r="L218" i="1"/>
  <c r="AF132" i="1"/>
  <c r="L132" i="1"/>
  <c r="AF219" i="1"/>
  <c r="L219" i="1"/>
  <c r="AF165" i="1"/>
  <c r="L165" i="1"/>
  <c r="AF193" i="1"/>
  <c r="L193" i="1"/>
  <c r="AF81" i="1"/>
  <c r="L81" i="1"/>
  <c r="AF36" i="1"/>
  <c r="L36" i="1"/>
  <c r="AF201" i="1"/>
  <c r="AF294" i="1"/>
  <c r="AF209" i="1"/>
  <c r="AF287" i="1"/>
  <c r="AF202" i="1"/>
  <c r="AA80" i="1" l="1"/>
  <c r="R80" i="1"/>
  <c r="L80" i="1" l="1"/>
  <c r="AF80" i="1" l="1"/>
  <c r="AA164" i="1"/>
  <c r="R164" i="1"/>
  <c r="L164" i="1" l="1"/>
  <c r="AF164" i="1" l="1"/>
  <c r="R192" i="1"/>
  <c r="L192" i="1" l="1"/>
  <c r="AF192" i="1"/>
  <c r="AA722" i="1" l="1"/>
  <c r="AA428" i="1" l="1"/>
  <c r="AA429" i="1"/>
  <c r="AA430" i="1"/>
  <c r="X427" i="1"/>
  <c r="X428" i="1"/>
  <c r="X429" i="1"/>
  <c r="X430" i="1"/>
  <c r="U427" i="1"/>
  <c r="U428" i="1"/>
  <c r="U429" i="1"/>
  <c r="U430" i="1"/>
  <c r="R428" i="1"/>
  <c r="R429" i="1"/>
  <c r="R430" i="1"/>
  <c r="R427" i="1"/>
  <c r="AF430" i="1" l="1"/>
  <c r="L428" i="1"/>
  <c r="L429" i="1" l="1"/>
  <c r="L430" i="1"/>
  <c r="AF428" i="1"/>
  <c r="AF429" i="1"/>
  <c r="AA217" i="1"/>
  <c r="R217" i="1"/>
  <c r="AA216" i="1"/>
  <c r="L216" i="1" s="1"/>
  <c r="AF216" i="1" l="1"/>
  <c r="AF217" i="1" l="1"/>
  <c r="L217" i="1"/>
  <c r="R200" i="1"/>
  <c r="L200" i="1" l="1"/>
  <c r="R122" i="1"/>
  <c r="L122" i="1" l="1"/>
  <c r="AF200" i="1"/>
  <c r="AF122" i="1" l="1"/>
  <c r="AA438" i="1"/>
  <c r="X438" i="1"/>
  <c r="U438" i="1"/>
  <c r="R438" i="1"/>
  <c r="L438" i="1" l="1"/>
  <c r="AF438" i="1" l="1"/>
  <c r="X327" i="1"/>
  <c r="R327" i="1"/>
  <c r="R121" i="1" l="1"/>
  <c r="L121" i="1" l="1"/>
  <c r="AA772" i="1"/>
  <c r="X772" i="1"/>
  <c r="R302" i="1" l="1"/>
  <c r="AA304" i="1" l="1"/>
  <c r="AA302" i="1"/>
  <c r="R304" i="1"/>
  <c r="L304" i="1" l="1"/>
  <c r="L302" i="1"/>
  <c r="AF302" i="1"/>
  <c r="AF304" i="1"/>
  <c r="AF121" i="1"/>
  <c r="R131" i="1"/>
  <c r="R130" i="1"/>
  <c r="AA769" i="1"/>
  <c r="X769" i="1"/>
  <c r="R769" i="1"/>
  <c r="AA207" i="1" l="1"/>
  <c r="L207" i="1" s="1"/>
  <c r="AA373" i="1"/>
  <c r="X373" i="1"/>
  <c r="U373" i="1"/>
  <c r="R373" i="1"/>
  <c r="AA372" i="1"/>
  <c r="X372" i="1"/>
  <c r="U372" i="1"/>
  <c r="R372" i="1"/>
  <c r="AF373" i="1" l="1"/>
  <c r="AF207" i="1"/>
  <c r="L372" i="1" l="1"/>
  <c r="L373" i="1"/>
  <c r="AF372" i="1"/>
  <c r="X766" i="1" l="1"/>
  <c r="AA779" i="1"/>
  <c r="AA648" i="1"/>
  <c r="AA775" i="1"/>
  <c r="AA774" i="1"/>
  <c r="AA773" i="1"/>
  <c r="AA771" i="1"/>
  <c r="AA770" i="1"/>
  <c r="AA768" i="1"/>
  <c r="X779" i="1"/>
  <c r="X648" i="1"/>
  <c r="X775" i="1"/>
  <c r="X774" i="1"/>
  <c r="X773" i="1"/>
  <c r="X771" i="1"/>
  <c r="X770" i="1"/>
  <c r="X768" i="1"/>
  <c r="U779" i="1"/>
  <c r="U648" i="1"/>
  <c r="U774" i="1"/>
  <c r="U773" i="1"/>
  <c r="U772" i="1"/>
  <c r="U770" i="1"/>
  <c r="U769" i="1"/>
  <c r="U768" i="1"/>
  <c r="R779" i="1"/>
  <c r="R648" i="1"/>
  <c r="R775" i="1"/>
  <c r="R774" i="1"/>
  <c r="R773" i="1"/>
  <c r="R772" i="1"/>
  <c r="R771" i="1"/>
  <c r="R770" i="1"/>
  <c r="R768" i="1"/>
  <c r="AA767" i="1"/>
  <c r="X767" i="1"/>
  <c r="U767" i="1"/>
  <c r="R767" i="1"/>
  <c r="AA766" i="1"/>
  <c r="U766" i="1"/>
  <c r="R766" i="1"/>
  <c r="U437" i="1"/>
  <c r="AA97" i="1"/>
  <c r="R96" i="1"/>
  <c r="L766" i="1" l="1"/>
  <c r="L767" i="1"/>
  <c r="AF774" i="1"/>
  <c r="L97" i="1"/>
  <c r="L769" i="1"/>
  <c r="AF772" i="1"/>
  <c r="AF648" i="1"/>
  <c r="AF768" i="1"/>
  <c r="AF771" i="1"/>
  <c r="L775" i="1"/>
  <c r="AF779" i="1" l="1"/>
  <c r="L96" i="1"/>
  <c r="AF773" i="1"/>
  <c r="AF770" i="1"/>
  <c r="L773" i="1"/>
  <c r="L771" i="1"/>
  <c r="L772" i="1"/>
  <c r="L648" i="1"/>
  <c r="L770" i="1"/>
  <c r="L768" i="1"/>
  <c r="L774" i="1"/>
  <c r="L779" i="1"/>
  <c r="AF97" i="1"/>
  <c r="AF775" i="1"/>
  <c r="AF96" i="1"/>
  <c r="AF769" i="1"/>
  <c r="AF766" i="1"/>
  <c r="AF767" i="1"/>
  <c r="AA763" i="1"/>
  <c r="X763" i="1"/>
  <c r="U763" i="1"/>
  <c r="R763" i="1"/>
  <c r="U764" i="1" l="1"/>
  <c r="R758" i="1" l="1"/>
  <c r="R755" i="1" l="1"/>
  <c r="AA781" i="1" l="1"/>
  <c r="X781" i="1"/>
  <c r="U781" i="1"/>
  <c r="R781" i="1"/>
  <c r="L781" i="1" l="1"/>
  <c r="AF781" i="1" l="1"/>
  <c r="R303" i="1"/>
  <c r="AA745" i="1" l="1"/>
  <c r="X745" i="1"/>
  <c r="U745" i="1"/>
  <c r="R745" i="1"/>
  <c r="AF745" i="1" l="1"/>
  <c r="X335" i="1"/>
  <c r="L745" i="1" l="1"/>
  <c r="AA190" i="1"/>
  <c r="R190" i="1"/>
  <c r="L190" i="1" l="1"/>
  <c r="AF190" i="1" l="1"/>
  <c r="X352" i="1"/>
  <c r="AA437" i="1"/>
  <c r="X437" i="1"/>
  <c r="R437" i="1"/>
  <c r="R34" i="1" l="1"/>
  <c r="R258" i="1" l="1"/>
  <c r="AF34" i="1" l="1"/>
  <c r="L34" i="1"/>
  <c r="L258" i="1"/>
  <c r="AF258" i="1" l="1"/>
  <c r="AA234" i="1" l="1"/>
  <c r="S234" i="1"/>
  <c r="R120" i="1" l="1"/>
  <c r="AA189" i="1"/>
  <c r="R189" i="1"/>
  <c r="L189" i="1" l="1"/>
  <c r="R273" i="1"/>
  <c r="AF189" i="1" l="1"/>
  <c r="AA738" i="1" l="1"/>
  <c r="AA739" i="1"/>
  <c r="AA740" i="1"/>
  <c r="AA741" i="1"/>
  <c r="AA742" i="1"/>
  <c r="AA743" i="1"/>
  <c r="AA744" i="1"/>
  <c r="AA746" i="1"/>
  <c r="AA747" i="1"/>
  <c r="AA748" i="1"/>
  <c r="AA749" i="1"/>
  <c r="AA303" i="1"/>
  <c r="AA750" i="1"/>
  <c r="AA751" i="1"/>
  <c r="AA752" i="1"/>
  <c r="AA753" i="1"/>
  <c r="AA754" i="1"/>
  <c r="AA755" i="1"/>
  <c r="AA757" i="1"/>
  <c r="AA758" i="1"/>
  <c r="AA759" i="1"/>
  <c r="AA638" i="1"/>
  <c r="AA761" i="1"/>
  <c r="AA762" i="1"/>
  <c r="AA764" i="1"/>
  <c r="X738" i="1"/>
  <c r="X739" i="1"/>
  <c r="X740" i="1"/>
  <c r="X741" i="1"/>
  <c r="X742" i="1"/>
  <c r="X743" i="1"/>
  <c r="X744" i="1"/>
  <c r="X746" i="1"/>
  <c r="X747" i="1"/>
  <c r="X748" i="1"/>
  <c r="X749" i="1"/>
  <c r="X750" i="1"/>
  <c r="X751" i="1"/>
  <c r="X752" i="1"/>
  <c r="X753" i="1"/>
  <c r="X754" i="1"/>
  <c r="X755" i="1"/>
  <c r="X756" i="1"/>
  <c r="X757" i="1"/>
  <c r="X758" i="1"/>
  <c r="X759" i="1"/>
  <c r="X638" i="1"/>
  <c r="X761" i="1"/>
  <c r="X762" i="1"/>
  <c r="X764" i="1"/>
  <c r="U738" i="1"/>
  <c r="U739" i="1"/>
  <c r="U740" i="1"/>
  <c r="U741" i="1"/>
  <c r="U742" i="1"/>
  <c r="U743" i="1"/>
  <c r="U744" i="1"/>
  <c r="U746" i="1"/>
  <c r="U747" i="1"/>
  <c r="U748" i="1"/>
  <c r="U749" i="1"/>
  <c r="U750" i="1"/>
  <c r="U751" i="1"/>
  <c r="U752" i="1"/>
  <c r="U753" i="1"/>
  <c r="U754" i="1"/>
  <c r="U755" i="1"/>
  <c r="U756" i="1"/>
  <c r="U757" i="1"/>
  <c r="U758" i="1"/>
  <c r="U759" i="1"/>
  <c r="U638" i="1"/>
  <c r="U761" i="1"/>
  <c r="U762" i="1"/>
  <c r="R738" i="1"/>
  <c r="R739" i="1"/>
  <c r="R741" i="1"/>
  <c r="R743" i="1"/>
  <c r="R744" i="1"/>
  <c r="R746" i="1"/>
  <c r="R747" i="1"/>
  <c r="R748" i="1"/>
  <c r="R749" i="1"/>
  <c r="R750" i="1"/>
  <c r="R751" i="1"/>
  <c r="R752" i="1"/>
  <c r="R753" i="1"/>
  <c r="R754" i="1"/>
  <c r="R756" i="1"/>
  <c r="R757" i="1"/>
  <c r="R638" i="1"/>
  <c r="R761" i="1"/>
  <c r="R762" i="1"/>
  <c r="R764" i="1"/>
  <c r="AF746" i="1" l="1"/>
  <c r="L638" i="1"/>
  <c r="L756" i="1"/>
  <c r="AF752" i="1"/>
  <c r="AF749" i="1"/>
  <c r="L742" i="1"/>
  <c r="AF738" i="1"/>
  <c r="AF761" i="1"/>
  <c r="AF757" i="1"/>
  <c r="AF753" i="1"/>
  <c r="AF739" i="1"/>
  <c r="AF762" i="1"/>
  <c r="L758" i="1"/>
  <c r="AF754" i="1"/>
  <c r="AF750" i="1"/>
  <c r="AF747" i="1"/>
  <c r="AF743" i="1"/>
  <c r="AF740" i="1"/>
  <c r="L763" i="1"/>
  <c r="L759" i="1"/>
  <c r="L755" i="1"/>
  <c r="AF751" i="1"/>
  <c r="AF748" i="1"/>
  <c r="AF744" i="1"/>
  <c r="AF741" i="1"/>
  <c r="AF764" i="1" l="1"/>
  <c r="L303" i="1"/>
  <c r="L754" i="1"/>
  <c r="L750" i="1"/>
  <c r="L752" i="1"/>
  <c r="L762" i="1"/>
  <c r="L751" i="1"/>
  <c r="L740" i="1"/>
  <c r="L748" i="1"/>
  <c r="L741" i="1"/>
  <c r="L738" i="1"/>
  <c r="L739" i="1"/>
  <c r="L743" i="1"/>
  <c r="L747" i="1"/>
  <c r="L764" i="1"/>
  <c r="L757" i="1"/>
  <c r="L746" i="1"/>
  <c r="L753" i="1"/>
  <c r="L749" i="1"/>
  <c r="L744" i="1"/>
  <c r="L761" i="1"/>
  <c r="AF758" i="1"/>
  <c r="AF755" i="1"/>
  <c r="AF759" i="1"/>
  <c r="AF303" i="1"/>
  <c r="AF638" i="1"/>
  <c r="AF742" i="1"/>
  <c r="AF756" i="1"/>
  <c r="AF763" i="1"/>
  <c r="AA640" i="1" l="1"/>
  <c r="X640" i="1"/>
  <c r="U640" i="1"/>
  <c r="R640" i="1"/>
  <c r="AF640" i="1" l="1"/>
  <c r="R728" i="1"/>
  <c r="L640" i="1" l="1"/>
  <c r="AA427" i="1"/>
  <c r="L427" i="1" s="1"/>
  <c r="AA62" i="1"/>
  <c r="R62" i="1"/>
  <c r="AF427" i="1" l="1"/>
  <c r="L62" i="1" l="1"/>
  <c r="AF62" i="1"/>
  <c r="AA94" i="1"/>
  <c r="AA95" i="1"/>
  <c r="R94" i="1"/>
  <c r="R95" i="1"/>
  <c r="L94" i="1" l="1"/>
  <c r="AF95" i="1"/>
  <c r="L95" i="1"/>
  <c r="AF94" i="1"/>
  <c r="R649" i="1" l="1"/>
  <c r="AA278" i="1" l="1"/>
  <c r="R278" i="1"/>
  <c r="L278" i="1" l="1"/>
  <c r="AF278" i="1"/>
  <c r="AA721" i="1"/>
  <c r="AA723" i="1"/>
  <c r="AA724" i="1"/>
  <c r="AA725" i="1"/>
  <c r="AA726" i="1"/>
  <c r="AA727" i="1"/>
  <c r="AA728" i="1"/>
  <c r="AA729" i="1"/>
  <c r="X721" i="1"/>
  <c r="X722" i="1"/>
  <c r="X723" i="1"/>
  <c r="X724" i="1"/>
  <c r="X725" i="1"/>
  <c r="X726" i="1"/>
  <c r="X727" i="1"/>
  <c r="X728" i="1"/>
  <c r="X729" i="1"/>
  <c r="U721" i="1"/>
  <c r="U722" i="1"/>
  <c r="U723" i="1"/>
  <c r="U724" i="1"/>
  <c r="U725" i="1"/>
  <c r="U726" i="1"/>
  <c r="U727" i="1"/>
  <c r="U728" i="1"/>
  <c r="U729" i="1"/>
  <c r="R721" i="1"/>
  <c r="R722" i="1"/>
  <c r="R723" i="1"/>
  <c r="R724" i="1"/>
  <c r="R725" i="1"/>
  <c r="R726" i="1"/>
  <c r="R727" i="1"/>
  <c r="AA717" i="1"/>
  <c r="AA718" i="1"/>
  <c r="AA719" i="1"/>
  <c r="AA720" i="1"/>
  <c r="AA731" i="1"/>
  <c r="AA732" i="1"/>
  <c r="AA733" i="1"/>
  <c r="AA674" i="1"/>
  <c r="AA735" i="1"/>
  <c r="AA736" i="1"/>
  <c r="AA737" i="1"/>
  <c r="AA765" i="1"/>
  <c r="X717" i="1"/>
  <c r="X718" i="1"/>
  <c r="X719" i="1"/>
  <c r="X720" i="1"/>
  <c r="X731" i="1"/>
  <c r="X732" i="1"/>
  <c r="X733" i="1"/>
  <c r="X674" i="1"/>
  <c r="X735" i="1"/>
  <c r="U717" i="1"/>
  <c r="U718" i="1"/>
  <c r="U719" i="1"/>
  <c r="U720" i="1"/>
  <c r="U731" i="1"/>
  <c r="U732" i="1"/>
  <c r="U733" i="1"/>
  <c r="U674" i="1"/>
  <c r="U735" i="1"/>
  <c r="U736" i="1"/>
  <c r="R717" i="1"/>
  <c r="R719" i="1"/>
  <c r="R720" i="1"/>
  <c r="R731" i="1"/>
  <c r="R732" i="1"/>
  <c r="R733" i="1"/>
  <c r="R674" i="1"/>
  <c r="R735" i="1"/>
  <c r="X736" i="1"/>
  <c r="R736" i="1"/>
  <c r="L724" i="1" l="1"/>
  <c r="L728" i="1"/>
  <c r="AF735" i="1"/>
  <c r="AF732" i="1"/>
  <c r="L718" i="1"/>
  <c r="AF731" i="1"/>
  <c r="AF733" i="1"/>
  <c r="AF719" i="1"/>
  <c r="AF726" i="1"/>
  <c r="AF722" i="1"/>
  <c r="AF727" i="1"/>
  <c r="L723" i="1"/>
  <c r="AF717" i="1"/>
  <c r="L736" i="1"/>
  <c r="AF720" i="1"/>
  <c r="AF674" i="1"/>
  <c r="AF729" i="1"/>
  <c r="AF725" i="1"/>
  <c r="AF721" i="1"/>
  <c r="L735" i="1" l="1"/>
  <c r="L725" i="1"/>
  <c r="L727" i="1"/>
  <c r="L722" i="1"/>
  <c r="L674" i="1"/>
  <c r="L732" i="1"/>
  <c r="L729" i="1"/>
  <c r="L717" i="1"/>
  <c r="L719" i="1"/>
  <c r="L726" i="1"/>
  <c r="L733" i="1"/>
  <c r="L721" i="1"/>
  <c r="L731" i="1"/>
  <c r="L720" i="1"/>
  <c r="AF718" i="1"/>
  <c r="AF728" i="1"/>
  <c r="AF723" i="1"/>
  <c r="AF724" i="1"/>
  <c r="AF736" i="1"/>
  <c r="AA8" i="1" l="1"/>
  <c r="AA9" i="1"/>
  <c r="R8" i="1"/>
  <c r="R9" i="1"/>
  <c r="R7" i="1" l="1"/>
  <c r="AF8" i="1" l="1"/>
  <c r="L8" i="1"/>
  <c r="AF9" i="1"/>
  <c r="L9" i="1"/>
  <c r="AA711" i="1"/>
  <c r="AA712" i="1"/>
  <c r="AA713" i="1"/>
  <c r="AA714" i="1"/>
  <c r="AA715" i="1"/>
  <c r="AA716" i="1"/>
  <c r="AA649" i="1"/>
  <c r="X711" i="1"/>
  <c r="X712" i="1"/>
  <c r="X713" i="1"/>
  <c r="X714" i="1"/>
  <c r="X715" i="1"/>
  <c r="X716" i="1"/>
  <c r="X649" i="1"/>
  <c r="U711" i="1"/>
  <c r="U712" i="1"/>
  <c r="U713" i="1"/>
  <c r="U714" i="1"/>
  <c r="U715" i="1"/>
  <c r="U716" i="1"/>
  <c r="U649" i="1"/>
  <c r="R711" i="1"/>
  <c r="R712" i="1"/>
  <c r="R713" i="1"/>
  <c r="R714" i="1"/>
  <c r="R715" i="1"/>
  <c r="R716" i="1"/>
  <c r="AF715" i="1" l="1"/>
  <c r="L649" i="1"/>
  <c r="AF716" i="1"/>
  <c r="AF712" i="1"/>
  <c r="AF711" i="1"/>
  <c r="AF713" i="1"/>
  <c r="R381" i="1"/>
  <c r="AF714" i="1" l="1"/>
  <c r="L713" i="1"/>
  <c r="L714" i="1"/>
  <c r="L716" i="1"/>
  <c r="L711" i="1"/>
  <c r="L712" i="1"/>
  <c r="L715" i="1"/>
  <c r="AF649" i="1"/>
  <c r="R709" i="1"/>
  <c r="R611" i="1" l="1"/>
  <c r="R705" i="1" l="1"/>
  <c r="AA381" i="1" l="1"/>
  <c r="X381" i="1"/>
  <c r="U381" i="1"/>
  <c r="L381" i="1" l="1"/>
  <c r="AF381" i="1"/>
  <c r="AA292" i="1"/>
  <c r="R292" i="1"/>
  <c r="L292" i="1" l="1"/>
  <c r="AA701" i="1"/>
  <c r="AA700" i="1"/>
  <c r="X700" i="1"/>
  <c r="AF292" i="1" l="1"/>
  <c r="AA414" i="1"/>
  <c r="X414" i="1"/>
  <c r="U414" i="1"/>
  <c r="AA699" i="1"/>
  <c r="U699" i="1"/>
  <c r="R699" i="1"/>
  <c r="AA702" i="1"/>
  <c r="AA639" i="1"/>
  <c r="AA686" i="1"/>
  <c r="AA705" i="1"/>
  <c r="AA706" i="1"/>
  <c r="AA707" i="1"/>
  <c r="AA708" i="1"/>
  <c r="AA709" i="1"/>
  <c r="AA710" i="1"/>
  <c r="X701" i="1"/>
  <c r="X702" i="1"/>
  <c r="X639" i="1"/>
  <c r="X686" i="1"/>
  <c r="X705" i="1"/>
  <c r="X706" i="1"/>
  <c r="X707" i="1"/>
  <c r="X708" i="1"/>
  <c r="X709" i="1"/>
  <c r="X710" i="1"/>
  <c r="X737" i="1"/>
  <c r="X765" i="1"/>
  <c r="U700" i="1"/>
  <c r="U701" i="1"/>
  <c r="U702" i="1"/>
  <c r="U639" i="1"/>
  <c r="U686" i="1"/>
  <c r="U705" i="1"/>
  <c r="U706" i="1"/>
  <c r="U707" i="1"/>
  <c r="U708" i="1"/>
  <c r="U709" i="1"/>
  <c r="U710" i="1"/>
  <c r="U737" i="1"/>
  <c r="U765" i="1"/>
  <c r="R700" i="1"/>
  <c r="R701" i="1"/>
  <c r="R702" i="1"/>
  <c r="R639" i="1"/>
  <c r="R686" i="1"/>
  <c r="R706" i="1"/>
  <c r="R707" i="1"/>
  <c r="R708" i="1"/>
  <c r="R710" i="1"/>
  <c r="R737" i="1"/>
  <c r="R765" i="1"/>
  <c r="L705" i="1" l="1"/>
  <c r="L709" i="1"/>
  <c r="AF710" i="1"/>
  <c r="AF639" i="1"/>
  <c r="AF701" i="1"/>
  <c r="AF702" i="1"/>
  <c r="AF765" i="1"/>
  <c r="AF699" i="1"/>
  <c r="AF708" i="1"/>
  <c r="AF686" i="1"/>
  <c r="L700" i="1"/>
  <c r="X698" i="1"/>
  <c r="AA698" i="1"/>
  <c r="U698" i="1"/>
  <c r="R698" i="1"/>
  <c r="L706" i="1" l="1"/>
  <c r="AF737" i="1"/>
  <c r="L414" i="1"/>
  <c r="L702" i="1"/>
  <c r="L710" i="1"/>
  <c r="L686" i="1"/>
  <c r="L737" i="1"/>
  <c r="L639" i="1"/>
  <c r="L765" i="1"/>
  <c r="L707" i="1"/>
  <c r="L699" i="1"/>
  <c r="L708" i="1"/>
  <c r="L701" i="1"/>
  <c r="AF709" i="1"/>
  <c r="AF414" i="1"/>
  <c r="AF707" i="1"/>
  <c r="AF706" i="1"/>
  <c r="AF705" i="1"/>
  <c r="AF700" i="1"/>
  <c r="AF698" i="1"/>
  <c r="AA697" i="1"/>
  <c r="X697" i="1"/>
  <c r="U697" i="1"/>
  <c r="R697" i="1"/>
  <c r="L698" i="1" l="1"/>
  <c r="AA682" i="1"/>
  <c r="AF697" i="1" l="1"/>
  <c r="L697" i="1"/>
  <c r="AA316" i="1"/>
  <c r="AA317" i="1"/>
  <c r="AA318" i="1"/>
  <c r="R317" i="1"/>
  <c r="R318" i="1"/>
  <c r="L317" i="1" l="1"/>
  <c r="L689" i="1"/>
  <c r="AF318" i="1" l="1"/>
  <c r="L318" i="1"/>
  <c r="AF317" i="1"/>
  <c r="R675" i="1"/>
  <c r="R687" i="1"/>
  <c r="R688" i="1"/>
  <c r="R690" i="1"/>
  <c r="R691" i="1"/>
  <c r="R692" i="1"/>
  <c r="R693" i="1"/>
  <c r="R694" i="1"/>
  <c r="AA681" i="1" l="1"/>
  <c r="AA683" i="1"/>
  <c r="AA684" i="1"/>
  <c r="AA685" i="1"/>
  <c r="AA675" i="1"/>
  <c r="AA687" i="1"/>
  <c r="AA688" i="1"/>
  <c r="AA690" i="1"/>
  <c r="AA691" i="1"/>
  <c r="AA692" i="1"/>
  <c r="AA693" i="1"/>
  <c r="AA694" i="1"/>
  <c r="AA695" i="1"/>
  <c r="AA696" i="1"/>
  <c r="X683" i="1"/>
  <c r="X684" i="1"/>
  <c r="X685" i="1"/>
  <c r="X675" i="1"/>
  <c r="X687" i="1"/>
  <c r="X688" i="1"/>
  <c r="X690" i="1"/>
  <c r="X691" i="1"/>
  <c r="X692" i="1"/>
  <c r="X693" i="1"/>
  <c r="X694" i="1"/>
  <c r="X695" i="1"/>
  <c r="X696" i="1"/>
  <c r="U685" i="1"/>
  <c r="U675" i="1"/>
  <c r="U687" i="1"/>
  <c r="U688" i="1"/>
  <c r="U690" i="1"/>
  <c r="U691" i="1"/>
  <c r="U692" i="1"/>
  <c r="U693" i="1"/>
  <c r="U694" i="1"/>
  <c r="U695" i="1"/>
  <c r="U696" i="1"/>
  <c r="R695" i="1"/>
  <c r="L693" i="1" l="1"/>
  <c r="L688" i="1"/>
  <c r="L692" i="1"/>
  <c r="L694" i="1"/>
  <c r="L690" i="1"/>
  <c r="L687" i="1"/>
  <c r="L675" i="1"/>
  <c r="L685" i="1"/>
  <c r="R46" i="1"/>
  <c r="L691" i="1" l="1"/>
  <c r="AF695" i="1"/>
  <c r="L695" i="1"/>
  <c r="AF693" i="1"/>
  <c r="AF692" i="1"/>
  <c r="AF685" i="1"/>
  <c r="AF691" i="1"/>
  <c r="AF689" i="1"/>
  <c r="AF687" i="1"/>
  <c r="AF688" i="1"/>
  <c r="AF694" i="1"/>
  <c r="AF690" i="1"/>
  <c r="AF675" i="1"/>
  <c r="R680" i="1"/>
  <c r="AA680" i="1"/>
  <c r="L46" i="1" l="1"/>
  <c r="AF46" i="1"/>
  <c r="X679" i="1"/>
  <c r="X678" i="1"/>
  <c r="U679" i="1"/>
  <c r="U678" i="1"/>
  <c r="R679" i="1"/>
  <c r="R678" i="1"/>
  <c r="AA256" i="1" l="1"/>
  <c r="R256" i="1"/>
  <c r="L256" i="1" s="1"/>
  <c r="AA678" i="1" l="1"/>
  <c r="L678" i="1" s="1"/>
  <c r="AA679" i="1"/>
  <c r="L679" i="1" s="1"/>
  <c r="X680" i="1"/>
  <c r="X681" i="1"/>
  <c r="X682" i="1"/>
  <c r="U680" i="1"/>
  <c r="U681" i="1"/>
  <c r="U682" i="1"/>
  <c r="U683" i="1"/>
  <c r="U684" i="1"/>
  <c r="R681" i="1"/>
  <c r="R682" i="1"/>
  <c r="R683" i="1"/>
  <c r="R684" i="1"/>
  <c r="R696" i="1"/>
  <c r="AF696" i="1" l="1"/>
  <c r="AF679" i="1"/>
  <c r="L682" i="1"/>
  <c r="L683" i="1"/>
  <c r="L681" i="1"/>
  <c r="L680" i="1"/>
  <c r="AF678" i="1"/>
  <c r="AA676" i="1"/>
  <c r="X676" i="1"/>
  <c r="U676" i="1"/>
  <c r="R676" i="1"/>
  <c r="L684" i="1" l="1"/>
  <c r="L696" i="1"/>
  <c r="L676" i="1"/>
  <c r="AF683" i="1"/>
  <c r="AF681" i="1"/>
  <c r="AF680" i="1"/>
  <c r="AF682" i="1"/>
  <c r="AF684" i="1"/>
  <c r="R643" i="1"/>
  <c r="AF676" i="1" l="1"/>
  <c r="AA450" i="1" l="1"/>
  <c r="X450" i="1"/>
  <c r="U450" i="1"/>
  <c r="R450" i="1"/>
  <c r="L450" i="1" l="1"/>
  <c r="AF450" i="1" l="1"/>
  <c r="U631" i="1"/>
  <c r="U606" i="1" l="1"/>
  <c r="U607" i="1"/>
  <c r="U608" i="1"/>
  <c r="U610" i="1"/>
  <c r="U612" i="1"/>
  <c r="U613" i="1"/>
  <c r="U614" i="1"/>
  <c r="U446" i="1"/>
  <c r="U616" i="1"/>
  <c r="U617" i="1"/>
  <c r="U618" i="1"/>
  <c r="U619" i="1"/>
  <c r="U447" i="1"/>
  <c r="U621" i="1"/>
  <c r="U622" i="1"/>
  <c r="U623" i="1"/>
  <c r="U624" i="1"/>
  <c r="U625" i="1"/>
  <c r="U626" i="1"/>
  <c r="U627" i="1"/>
  <c r="U628" i="1"/>
  <c r="U629" i="1"/>
  <c r="U630" i="1"/>
  <c r="U632" i="1"/>
  <c r="U633" i="1"/>
  <c r="U634" i="1"/>
  <c r="U451" i="1"/>
  <c r="U636" i="1"/>
  <c r="U448" i="1"/>
  <c r="U452" i="1"/>
  <c r="U609" i="1"/>
  <c r="U615" i="1"/>
  <c r="U641" i="1"/>
  <c r="U642" i="1"/>
  <c r="U637" i="1"/>
  <c r="U644" i="1"/>
  <c r="U645" i="1"/>
  <c r="U646" i="1"/>
  <c r="U647" i="1"/>
  <c r="U620" i="1"/>
  <c r="U635" i="1"/>
  <c r="U650" i="1"/>
  <c r="U651" i="1"/>
  <c r="U652" i="1"/>
  <c r="U653" i="1"/>
  <c r="U654" i="1"/>
  <c r="U655" i="1"/>
  <c r="U656" i="1"/>
  <c r="U657" i="1"/>
  <c r="U658" i="1"/>
  <c r="U659" i="1"/>
  <c r="U660" i="1"/>
  <c r="U661" i="1"/>
  <c r="U662" i="1"/>
  <c r="U663" i="1"/>
  <c r="U664" i="1"/>
  <c r="U665" i="1"/>
  <c r="U666" i="1"/>
  <c r="U667" i="1"/>
  <c r="U668" i="1"/>
  <c r="U669" i="1"/>
  <c r="U670" i="1"/>
  <c r="U671" i="1"/>
  <c r="U672" i="1"/>
  <c r="U673" i="1"/>
  <c r="U643" i="1"/>
  <c r="U677" i="1"/>
  <c r="AA431" i="1" l="1"/>
  <c r="X425" i="1"/>
  <c r="X426" i="1"/>
  <c r="X431" i="1"/>
  <c r="X424" i="1"/>
  <c r="R425" i="1"/>
  <c r="R426" i="1"/>
  <c r="R431" i="1"/>
  <c r="R424" i="1"/>
  <c r="X417" i="1"/>
  <c r="X415" i="1"/>
  <c r="X383" i="1"/>
  <c r="X382" i="1"/>
  <c r="X374" i="1"/>
  <c r="X363" i="1"/>
  <c r="R383" i="1"/>
  <c r="R382" i="1"/>
  <c r="R374" i="1"/>
  <c r="R316" i="1"/>
  <c r="R352" i="1"/>
  <c r="R335" i="1"/>
  <c r="R329" i="1"/>
  <c r="R311" i="1"/>
  <c r="R312" i="1"/>
  <c r="AA293" i="1"/>
  <c r="R293" i="1"/>
  <c r="R286" i="1"/>
  <c r="R279" i="1"/>
  <c r="R274" i="1"/>
  <c r="R255" i="1"/>
  <c r="R232" i="1"/>
  <c r="AA214" i="1"/>
  <c r="AA215" i="1"/>
  <c r="R214" i="1"/>
  <c r="R215" i="1"/>
  <c r="AA147" i="1"/>
  <c r="AA148" i="1"/>
  <c r="AA149" i="1"/>
  <c r="R148" i="1"/>
  <c r="R149" i="1"/>
  <c r="R199" i="1"/>
  <c r="AA188" i="1"/>
  <c r="AA191" i="1"/>
  <c r="R188" i="1"/>
  <c r="R191" i="1"/>
  <c r="AA180" i="1"/>
  <c r="R180" i="1"/>
  <c r="R177" i="1"/>
  <c r="R163" i="1"/>
  <c r="R162" i="1"/>
  <c r="R147" i="1"/>
  <c r="R146" i="1"/>
  <c r="R145" i="1"/>
  <c r="AA138" i="1"/>
  <c r="R93" i="1"/>
  <c r="R78" i="1"/>
  <c r="R79" i="1"/>
  <c r="R77" i="1"/>
  <c r="L316" i="1" l="1"/>
  <c r="L215" i="1"/>
  <c r="L180" i="1"/>
  <c r="L149" i="1"/>
  <c r="L148" i="1"/>
  <c r="L191" i="1"/>
  <c r="L188" i="1"/>
  <c r="AA77" i="1"/>
  <c r="AA78" i="1"/>
  <c r="L78" i="1" s="1"/>
  <c r="AA79" i="1"/>
  <c r="L79" i="1" s="1"/>
  <c r="AA92" i="1"/>
  <c r="AA93" i="1"/>
  <c r="AA119" i="1"/>
  <c r="AA120" i="1"/>
  <c r="AA130" i="1"/>
  <c r="AA131" i="1"/>
  <c r="AA145" i="1"/>
  <c r="AA146" i="1"/>
  <c r="AA162" i="1"/>
  <c r="AA163" i="1"/>
  <c r="AA177" i="1"/>
  <c r="AA179" i="1"/>
  <c r="AA187" i="1"/>
  <c r="AA198" i="1"/>
  <c r="AA206" i="1"/>
  <c r="AA213" i="1"/>
  <c r="AA222" i="1"/>
  <c r="AA232" i="1"/>
  <c r="AA233" i="1"/>
  <c r="L233" i="1" s="1"/>
  <c r="L234" i="1"/>
  <c r="AA255" i="1"/>
  <c r="AA257" i="1"/>
  <c r="AA273" i="1"/>
  <c r="AA274" i="1"/>
  <c r="AA279" i="1"/>
  <c r="AA285" i="1"/>
  <c r="AA286" i="1"/>
  <c r="AA291" i="1"/>
  <c r="AA310" i="1"/>
  <c r="AA311" i="1"/>
  <c r="AA312" i="1"/>
  <c r="L312" i="1" s="1"/>
  <c r="AA315" i="1"/>
  <c r="AA327" i="1"/>
  <c r="AA329" i="1"/>
  <c r="AA335" i="1"/>
  <c r="AA344" i="1"/>
  <c r="AA345" i="1"/>
  <c r="AA352" i="1"/>
  <c r="AA362" i="1"/>
  <c r="AA363" i="1"/>
  <c r="AA374" i="1"/>
  <c r="AA382" i="1"/>
  <c r="AA383" i="1"/>
  <c r="AA415" i="1"/>
  <c r="AA417" i="1"/>
  <c r="AA424" i="1"/>
  <c r="AA425" i="1"/>
  <c r="AA426" i="1"/>
  <c r="AA606" i="1"/>
  <c r="AA607" i="1"/>
  <c r="AA608" i="1"/>
  <c r="AA610" i="1"/>
  <c r="AA611" i="1"/>
  <c r="AA612" i="1"/>
  <c r="AA76" i="1"/>
  <c r="AF76" i="1"/>
  <c r="L147" i="1"/>
  <c r="L214" i="1"/>
  <c r="U327" i="1"/>
  <c r="U329" i="1"/>
  <c r="U335" i="1"/>
  <c r="U345" i="1"/>
  <c r="U352" i="1"/>
  <c r="U362" i="1"/>
  <c r="U363" i="1"/>
  <c r="U374" i="1"/>
  <c r="U382" i="1"/>
  <c r="U383" i="1"/>
  <c r="U415" i="1"/>
  <c r="U417" i="1"/>
  <c r="U424" i="1"/>
  <c r="U425" i="1"/>
  <c r="U426" i="1"/>
  <c r="U431" i="1"/>
  <c r="L431" i="1" s="1"/>
  <c r="R76" i="1"/>
  <c r="R63" i="1"/>
  <c r="R64" i="1"/>
  <c r="AA71" i="1"/>
  <c r="AA72" i="1"/>
  <c r="R71" i="1"/>
  <c r="R72" i="1"/>
  <c r="AA47" i="1"/>
  <c r="AA35" i="1"/>
  <c r="R35" i="1"/>
  <c r="AA123" i="1"/>
  <c r="AA28" i="1"/>
  <c r="AA29" i="1"/>
  <c r="L29" i="1" s="1"/>
  <c r="AA27" i="1"/>
  <c r="R123" i="1"/>
  <c r="AA21" i="1"/>
  <c r="AA22" i="1"/>
  <c r="AA20" i="1"/>
  <c r="R21" i="1"/>
  <c r="R22" i="1"/>
  <c r="R6" i="1"/>
  <c r="AA5" i="1"/>
  <c r="AA6" i="1"/>
  <c r="AA7" i="1"/>
  <c r="AA4" i="1"/>
  <c r="R607" i="1"/>
  <c r="AA613" i="1"/>
  <c r="AA614" i="1"/>
  <c r="AA446" i="1"/>
  <c r="AA616" i="1"/>
  <c r="AA617" i="1"/>
  <c r="AA618" i="1"/>
  <c r="AA619" i="1"/>
  <c r="AA447" i="1"/>
  <c r="AA621" i="1"/>
  <c r="AA622" i="1"/>
  <c r="AA623" i="1"/>
  <c r="AA624" i="1"/>
  <c r="AA625" i="1"/>
  <c r="AA626" i="1"/>
  <c r="AA627" i="1"/>
  <c r="AA628" i="1"/>
  <c r="AA629" i="1"/>
  <c r="AA630" i="1"/>
  <c r="AA631" i="1"/>
  <c r="AA632" i="1"/>
  <c r="AA633" i="1"/>
  <c r="AA634" i="1"/>
  <c r="AA451" i="1"/>
  <c r="AA636" i="1"/>
  <c r="AA448" i="1"/>
  <c r="AA452" i="1"/>
  <c r="AA609" i="1"/>
  <c r="AA615" i="1"/>
  <c r="AA641" i="1"/>
  <c r="AA642" i="1"/>
  <c r="AA637" i="1"/>
  <c r="AA644" i="1"/>
  <c r="AA645" i="1"/>
  <c r="AA646" i="1"/>
  <c r="AA647" i="1"/>
  <c r="AA620" i="1"/>
  <c r="AA635" i="1"/>
  <c r="AA650" i="1"/>
  <c r="AA651" i="1"/>
  <c r="AA652" i="1"/>
  <c r="AA653" i="1"/>
  <c r="AA654" i="1"/>
  <c r="AA655" i="1"/>
  <c r="AA656" i="1"/>
  <c r="AA657" i="1"/>
  <c r="AA658" i="1"/>
  <c r="AA659" i="1"/>
  <c r="AA660" i="1"/>
  <c r="AA661" i="1"/>
  <c r="AA662" i="1"/>
  <c r="AA663" i="1"/>
  <c r="AA664" i="1"/>
  <c r="AA665" i="1"/>
  <c r="AA666" i="1"/>
  <c r="AA667" i="1"/>
  <c r="AA668" i="1"/>
  <c r="AA669" i="1"/>
  <c r="AA670" i="1"/>
  <c r="AA671" i="1"/>
  <c r="AA672" i="1"/>
  <c r="AA673" i="1"/>
  <c r="AA643" i="1"/>
  <c r="AA677" i="1"/>
  <c r="X622" i="1"/>
  <c r="X623" i="1"/>
  <c r="X624" i="1"/>
  <c r="X625" i="1"/>
  <c r="X626" i="1"/>
  <c r="X627" i="1"/>
  <c r="X628" i="1"/>
  <c r="X629" i="1"/>
  <c r="X630" i="1"/>
  <c r="X631" i="1"/>
  <c r="X632" i="1"/>
  <c r="X633" i="1"/>
  <c r="X634" i="1"/>
  <c r="X451" i="1"/>
  <c r="X636" i="1"/>
  <c r="X448" i="1"/>
  <c r="X452" i="1"/>
  <c r="X609" i="1"/>
  <c r="X615" i="1"/>
  <c r="X641" i="1"/>
  <c r="X642" i="1"/>
  <c r="X637" i="1"/>
  <c r="X644" i="1"/>
  <c r="X645" i="1"/>
  <c r="X646" i="1"/>
  <c r="X647" i="1"/>
  <c r="X620" i="1"/>
  <c r="X635" i="1"/>
  <c r="X650" i="1"/>
  <c r="X651" i="1"/>
  <c r="X652" i="1"/>
  <c r="X653" i="1"/>
  <c r="X654" i="1"/>
  <c r="X655" i="1"/>
  <c r="X656" i="1"/>
  <c r="X658" i="1"/>
  <c r="X659" i="1"/>
  <c r="X660" i="1"/>
  <c r="X661" i="1"/>
  <c r="X662" i="1"/>
  <c r="X663" i="1"/>
  <c r="X664" i="1"/>
  <c r="X665" i="1"/>
  <c r="X666" i="1"/>
  <c r="X667" i="1"/>
  <c r="X668" i="1"/>
  <c r="X669" i="1"/>
  <c r="X670" i="1"/>
  <c r="X671" i="1"/>
  <c r="X672" i="1"/>
  <c r="X673" i="1"/>
  <c r="X643" i="1"/>
  <c r="X677" i="1"/>
  <c r="X606" i="1"/>
  <c r="X607" i="1"/>
  <c r="X608" i="1"/>
  <c r="X610" i="1"/>
  <c r="X611" i="1"/>
  <c r="X612" i="1"/>
  <c r="X613" i="1"/>
  <c r="X614" i="1"/>
  <c r="X446" i="1"/>
  <c r="X616" i="1"/>
  <c r="X617" i="1"/>
  <c r="X618" i="1"/>
  <c r="X619" i="1"/>
  <c r="X447" i="1"/>
  <c r="X621" i="1"/>
  <c r="R606" i="1"/>
  <c r="R608" i="1"/>
  <c r="R610" i="1"/>
  <c r="R612" i="1"/>
  <c r="R613" i="1"/>
  <c r="R614" i="1"/>
  <c r="R446" i="1"/>
  <c r="R616" i="1"/>
  <c r="R617" i="1"/>
  <c r="R618" i="1"/>
  <c r="R619" i="1"/>
  <c r="R447" i="1"/>
  <c r="R621" i="1"/>
  <c r="R622" i="1"/>
  <c r="R624" i="1"/>
  <c r="R625" i="1"/>
  <c r="R626" i="1"/>
  <c r="R627" i="1"/>
  <c r="R628" i="1"/>
  <c r="R629" i="1"/>
  <c r="R630" i="1"/>
  <c r="R631" i="1"/>
  <c r="R632" i="1"/>
  <c r="R633" i="1"/>
  <c r="R634" i="1"/>
  <c r="R451" i="1"/>
  <c r="R636" i="1"/>
  <c r="R448" i="1"/>
  <c r="R452" i="1"/>
  <c r="R609" i="1"/>
  <c r="R615" i="1"/>
  <c r="R641" i="1"/>
  <c r="R642" i="1"/>
  <c r="R637" i="1"/>
  <c r="R644" i="1"/>
  <c r="R645" i="1"/>
  <c r="R646" i="1"/>
  <c r="R647" i="1"/>
  <c r="R620" i="1"/>
  <c r="R635" i="1"/>
  <c r="R650" i="1"/>
  <c r="R651" i="1"/>
  <c r="R652" i="1"/>
  <c r="R653" i="1"/>
  <c r="R654" i="1"/>
  <c r="R655" i="1"/>
  <c r="R656" i="1"/>
  <c r="R657" i="1"/>
  <c r="R658" i="1"/>
  <c r="R659" i="1"/>
  <c r="R660" i="1"/>
  <c r="R661" i="1"/>
  <c r="R662" i="1"/>
  <c r="R663" i="1"/>
  <c r="R664" i="1"/>
  <c r="R665" i="1"/>
  <c r="R666" i="1"/>
  <c r="R667" i="1"/>
  <c r="R668" i="1"/>
  <c r="R669" i="1"/>
  <c r="R670" i="1"/>
  <c r="R671" i="1"/>
  <c r="R673" i="1"/>
  <c r="R677" i="1"/>
  <c r="R291" i="1"/>
  <c r="R315" i="1"/>
  <c r="X362" i="1"/>
  <c r="AA70" i="1"/>
  <c r="R70" i="1"/>
  <c r="R310" i="1"/>
  <c r="R285" i="1"/>
  <c r="R222" i="1"/>
  <c r="R206" i="1"/>
  <c r="R213" i="1"/>
  <c r="R187" i="1"/>
  <c r="R198" i="1"/>
  <c r="R179" i="1"/>
  <c r="R138" i="1"/>
  <c r="R92" i="1"/>
  <c r="R54" i="1"/>
  <c r="R27" i="1"/>
  <c r="R20" i="1"/>
  <c r="X5" i="1"/>
  <c r="U5" i="1"/>
  <c r="R5" i="1"/>
  <c r="X4" i="1"/>
  <c r="U4" i="1"/>
  <c r="R4" i="1"/>
  <c r="L76" i="1" l="1"/>
  <c r="L28" i="1"/>
  <c r="AF29" i="1"/>
  <c r="L120" i="1"/>
  <c r="AF149" i="1"/>
  <c r="AF148" i="1"/>
  <c r="AF312" i="1"/>
  <c r="L274" i="1"/>
  <c r="AF79" i="1"/>
  <c r="AF191" i="1"/>
  <c r="AF233" i="1"/>
  <c r="AF180" i="1"/>
  <c r="AF78" i="1"/>
  <c r="AF234" i="1"/>
  <c r="AF214" i="1"/>
  <c r="AF188" i="1"/>
  <c r="AF215" i="1"/>
  <c r="AF147" i="1"/>
  <c r="AF316" i="1"/>
  <c r="L643" i="1"/>
  <c r="L163" i="1"/>
  <c r="L383" i="1"/>
  <c r="L123" i="1"/>
  <c r="L5" i="1"/>
  <c r="L671" i="1"/>
  <c r="L667" i="1"/>
  <c r="L663" i="1"/>
  <c r="L659" i="1"/>
  <c r="L655" i="1"/>
  <c r="L650" i="1"/>
  <c r="L646" i="1"/>
  <c r="L642" i="1"/>
  <c r="L452" i="1"/>
  <c r="L634" i="1"/>
  <c r="L630" i="1"/>
  <c r="L626" i="1"/>
  <c r="L622" i="1"/>
  <c r="L618" i="1"/>
  <c r="L614" i="1"/>
  <c r="L610" i="1"/>
  <c r="L425" i="1"/>
  <c r="L286" i="1"/>
  <c r="AD4" i="1"/>
  <c r="L670" i="1"/>
  <c r="L666" i="1"/>
  <c r="L662" i="1"/>
  <c r="L658" i="1"/>
  <c r="L654" i="1"/>
  <c r="L635" i="1"/>
  <c r="L645" i="1"/>
  <c r="L641" i="1"/>
  <c r="L448" i="1"/>
  <c r="L633" i="1"/>
  <c r="L629" i="1"/>
  <c r="L625" i="1"/>
  <c r="L621" i="1"/>
  <c r="L617" i="1"/>
  <c r="L613" i="1"/>
  <c r="L619" i="1"/>
  <c r="L255" i="1"/>
  <c r="L146" i="1"/>
  <c r="AF431" i="1"/>
  <c r="L417" i="1"/>
  <c r="L345" i="1"/>
  <c r="L363" i="1"/>
  <c r="L329" i="1"/>
  <c r="L93" i="1"/>
  <c r="L131" i="1"/>
  <c r="L199" i="1"/>
  <c r="L611" i="1"/>
  <c r="L636" i="1"/>
  <c r="L628" i="1"/>
  <c r="L624" i="1"/>
  <c r="L672" i="1"/>
  <c r="L668" i="1"/>
  <c r="L664" i="1"/>
  <c r="L660" i="1"/>
  <c r="L656" i="1"/>
  <c r="L651" i="1"/>
  <c r="L609" i="1"/>
  <c r="L451" i="1"/>
  <c r="L631" i="1"/>
  <c r="L627" i="1"/>
  <c r="L623" i="1"/>
  <c r="L607" i="1"/>
  <c r="L669" i="1"/>
  <c r="L665" i="1"/>
  <c r="L661" i="1"/>
  <c r="L657" i="1"/>
  <c r="L652" i="1"/>
  <c r="L620" i="1"/>
  <c r="L447" i="1"/>
  <c r="L616" i="1"/>
  <c r="L612" i="1"/>
  <c r="L608" i="1"/>
  <c r="L426" i="1"/>
  <c r="L311" i="1"/>
  <c r="L293" i="1"/>
  <c r="L72" i="1"/>
  <c r="L637" i="1" l="1"/>
  <c r="L177" i="1"/>
  <c r="L382" i="1"/>
  <c r="L64" i="1"/>
  <c r="L615" i="1"/>
  <c r="L647" i="1"/>
  <c r="L677" i="1"/>
  <c r="L673" i="1"/>
  <c r="L606" i="1"/>
  <c r="L162" i="1"/>
  <c r="L362" i="1"/>
  <c r="AF270" i="1"/>
  <c r="L270" i="1"/>
  <c r="L352" i="1"/>
  <c r="L374" i="1"/>
  <c r="AF269" i="1"/>
  <c r="L269" i="1"/>
  <c r="L335" i="1"/>
  <c r="L424" i="1"/>
  <c r="L130" i="1"/>
  <c r="L415" i="1"/>
  <c r="L344" i="1"/>
  <c r="L437" i="1"/>
  <c r="L632" i="1"/>
  <c r="L446" i="1"/>
  <c r="L273" i="1"/>
  <c r="L644" i="1"/>
  <c r="L92" i="1"/>
  <c r="L653" i="1"/>
  <c r="L7" i="1"/>
  <c r="L206" i="1"/>
  <c r="L285" i="1"/>
  <c r="L232" i="1"/>
  <c r="L310" i="1"/>
  <c r="L327" i="1"/>
  <c r="L291" i="1"/>
  <c r="L70" i="1"/>
  <c r="L63" i="1"/>
  <c r="L145" i="1"/>
  <c r="L279" i="1"/>
  <c r="L259" i="1"/>
  <c r="L119" i="1"/>
  <c r="L198" i="1"/>
  <c r="L77" i="1"/>
  <c r="L47" i="1"/>
  <c r="L138" i="1"/>
  <c r="L187" i="1"/>
  <c r="L54" i="1"/>
  <c r="L315" i="1"/>
  <c r="L179" i="1"/>
  <c r="AF22" i="1"/>
  <c r="L22" i="1"/>
  <c r="AF27" i="1"/>
  <c r="L27" i="1"/>
  <c r="L213" i="1"/>
  <c r="AF20" i="1"/>
  <c r="L20" i="1"/>
  <c r="L222" i="1"/>
  <c r="AF35" i="1"/>
  <c r="L35" i="1"/>
  <c r="AF6" i="1"/>
  <c r="L6" i="1"/>
  <c r="AF71" i="1"/>
  <c r="L71" i="1"/>
  <c r="AF21" i="1"/>
  <c r="L21" i="1"/>
  <c r="AF28" i="1"/>
  <c r="AF47" i="1"/>
  <c r="AF7" i="1"/>
  <c r="AF64" i="1"/>
  <c r="AF374" i="1"/>
  <c r="AF315" i="1"/>
  <c r="AF259" i="1"/>
  <c r="AF382" i="1"/>
  <c r="AF72" i="1"/>
  <c r="AF437" i="1"/>
  <c r="AF131" i="1"/>
  <c r="AF279" i="1"/>
  <c r="AF415" i="1"/>
  <c r="AF199" i="1"/>
  <c r="AF417" i="1"/>
  <c r="AF383" i="1"/>
  <c r="AF274" i="1"/>
  <c r="AF293" i="1"/>
  <c r="AF130" i="1"/>
  <c r="AF329" i="1"/>
  <c r="AF363" i="1"/>
  <c r="AF177" i="1"/>
  <c r="AF120" i="1"/>
  <c r="AF286" i="1"/>
  <c r="AF163" i="1"/>
  <c r="AF345" i="1"/>
  <c r="AF311" i="1"/>
  <c r="AF608" i="1"/>
  <c r="AF652" i="1"/>
  <c r="AF665" i="1"/>
  <c r="AF607" i="1"/>
  <c r="AF451" i="1"/>
  <c r="AF651" i="1"/>
  <c r="AF664" i="1"/>
  <c r="AF628" i="1"/>
  <c r="AF424" i="1"/>
  <c r="AF619" i="1"/>
  <c r="AF621" i="1"/>
  <c r="AF653" i="1"/>
  <c r="AF666" i="1"/>
  <c r="AF425" i="1"/>
  <c r="AF610" i="1"/>
  <c r="AF626" i="1"/>
  <c r="AF642" i="1"/>
  <c r="AF655" i="1"/>
  <c r="AF671" i="1"/>
  <c r="AF612" i="1"/>
  <c r="AF669" i="1"/>
  <c r="AF623" i="1"/>
  <c r="AF668" i="1"/>
  <c r="AF636" i="1"/>
  <c r="AF92" i="1"/>
  <c r="AF625" i="1"/>
  <c r="AF641" i="1"/>
  <c r="AF654" i="1"/>
  <c r="AF670" i="1"/>
  <c r="AF614" i="1"/>
  <c r="AF630" i="1"/>
  <c r="AF646" i="1"/>
  <c r="AF659" i="1"/>
  <c r="AF5" i="1"/>
  <c r="AF123" i="1"/>
  <c r="AF643" i="1"/>
  <c r="AF426" i="1"/>
  <c r="AF616" i="1"/>
  <c r="AF644" i="1"/>
  <c r="AF627" i="1"/>
  <c r="AF656" i="1"/>
  <c r="AF672" i="1"/>
  <c r="AF606" i="1"/>
  <c r="AF615" i="1"/>
  <c r="AF255" i="1"/>
  <c r="AF613" i="1"/>
  <c r="AF629" i="1"/>
  <c r="AF645" i="1"/>
  <c r="AF658" i="1"/>
  <c r="AF618" i="1"/>
  <c r="AF634" i="1"/>
  <c r="AF650" i="1"/>
  <c r="AF663" i="1"/>
  <c r="AF447" i="1"/>
  <c r="AF661" i="1"/>
  <c r="AF677" i="1"/>
  <c r="AF631" i="1"/>
  <c r="AF647" i="1"/>
  <c r="AF660" i="1"/>
  <c r="AF624" i="1"/>
  <c r="AF611" i="1"/>
  <c r="AF146" i="1"/>
  <c r="AF446" i="1"/>
  <c r="AF617" i="1"/>
  <c r="AF633" i="1"/>
  <c r="AF635" i="1"/>
  <c r="AF662" i="1"/>
  <c r="AF622" i="1"/>
  <c r="AF452" i="1"/>
  <c r="AF667" i="1"/>
  <c r="AF93" i="1"/>
  <c r="AF673" i="1"/>
  <c r="AF187" i="1"/>
  <c r="AF179" i="1"/>
  <c r="AF77" i="1"/>
  <c r="AF448" i="1"/>
  <c r="AF273" i="1"/>
  <c r="AF285" i="1"/>
  <c r="AF335" i="1"/>
  <c r="AF232" i="1"/>
  <c r="AF213" i="1"/>
  <c r="AF222" i="1"/>
  <c r="AF291" i="1"/>
  <c r="AF352" i="1"/>
  <c r="AF344" i="1"/>
  <c r="AF206" i="1"/>
  <c r="AF362" i="1"/>
  <c r="AF310" i="1"/>
  <c r="AF327" i="1"/>
  <c r="AF162" i="1"/>
  <c r="AF145" i="1"/>
  <c r="AF198" i="1"/>
  <c r="AF138" i="1"/>
  <c r="AF119" i="1"/>
  <c r="AF63" i="1"/>
  <c r="AF637" i="1"/>
  <c r="AF609" i="1"/>
  <c r="AF657" i="1"/>
  <c r="AF620" i="1"/>
  <c r="AF632" i="1"/>
  <c r="AF54" i="1"/>
  <c r="L4" i="1"/>
  <c r="AF70" i="1"/>
  <c r="AF4" i="1"/>
  <c r="XFB4" i="1" l="1"/>
  <c r="AA208" i="1" l="1"/>
  <c r="L208" i="1" l="1"/>
  <c r="AF208" i="1"/>
  <c r="U257" i="1" l="1"/>
  <c r="AF257" i="1" l="1"/>
  <c r="L257" i="1"/>
  <c r="R406" i="1" l="1"/>
  <c r="L406" i="1" l="1"/>
  <c r="AF406" i="1"/>
  <c r="L469" i="1" l="1"/>
  <c r="AF469" i="1"/>
  <c r="AF893" i="1" s="1"/>
  <c r="X469" i="1" l="1"/>
</calcChain>
</file>

<file path=xl/sharedStrings.xml><?xml version="1.0" encoding="utf-8"?>
<sst xmlns="http://schemas.openxmlformats.org/spreadsheetml/2006/main" count="10611" uniqueCount="3303">
  <si>
    <t>Nr. crt.</t>
  </si>
  <si>
    <t>Titlu proiect</t>
  </si>
  <si>
    <t xml:space="preserve">Regiune </t>
  </si>
  <si>
    <t>Localitate</t>
  </si>
  <si>
    <t>Tip beneficiar</t>
  </si>
  <si>
    <t>Total valoare proiect</t>
  </si>
  <si>
    <t>Act aditional NR.</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</si>
  <si>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</si>
  <si>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</si>
  <si>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</si>
  <si>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</si>
  <si>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</si>
  <si>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</si>
  <si>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</si>
  <si>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</si>
  <si>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</si>
  <si>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</si>
  <si>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</si>
  <si>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</si>
  <si>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</si>
  <si>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</si>
  <si>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</si>
  <si>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</si>
  <si>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</si>
  <si>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</si>
  <si>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</si>
  <si>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</si>
  <si>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</si>
  <si>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</si>
  <si>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</si>
  <si>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</si>
  <si>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</si>
  <si>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</si>
  <si>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</si>
  <si>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</si>
  <si>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</si>
  <si>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</si>
  <si>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</si>
  <si>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</si>
  <si>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</si>
  <si>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</si>
  <si>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</si>
  <si>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</si>
  <si>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</si>
  <si>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</si>
  <si>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</si>
  <si>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</si>
  <si>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</si>
  <si>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</si>
  <si>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</si>
  <si>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</si>
  <si>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</si>
  <si>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</si>
  <si>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</si>
  <si>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</si>
  <si>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</si>
  <si>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</si>
  <si>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</si>
  <si>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</si>
  <si>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</si>
  <si>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</si>
  <si>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</si>
  <si>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</si>
  <si>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</si>
  <si>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</si>
  <si>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</si>
  <si>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</si>
  <si>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</si>
  <si>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</si>
  <si>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</si>
  <si>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</si>
  <si>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</si>
  <si>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</si>
  <si>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</si>
  <si>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</si>
  <si>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</si>
  <si>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</si>
  <si>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</si>
  <si>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</si>
  <si>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</si>
  <si>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</si>
  <si>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</si>
  <si>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</si>
  <si>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</si>
  <si>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</si>
  <si>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</si>
  <si>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</si>
  <si>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</si>
  <si>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</si>
  <si>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</si>
  <si>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</si>
  <si>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</si>
  <si>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</si>
  <si>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</si>
  <si>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</si>
  <si>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</si>
  <si>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</si>
  <si>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</si>
  <si>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</si>
  <si>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</si>
  <si>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</si>
  <si>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</si>
  <si>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</si>
  <si>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</si>
  <si>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</si>
  <si>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</si>
  <si>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</si>
  <si>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</si>
  <si>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</si>
  <si>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</si>
  <si>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</si>
  <si>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</si>
  <si>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</si>
  <si>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</si>
  <si>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</si>
  <si>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</si>
  <si>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</si>
  <si>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</si>
  <si>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</si>
  <si>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</si>
  <si>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</si>
  <si>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</si>
  <si>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</si>
  <si>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</si>
  <si>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</si>
  <si>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</si>
  <si>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</si>
  <si>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</si>
  <si>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</si>
  <si>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</si>
  <si>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</si>
  <si>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</si>
  <si>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</si>
  <si>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</si>
  <si>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</si>
  <si>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</si>
  <si>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</si>
  <si>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</si>
  <si>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</si>
  <si>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</si>
  <si>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AP3/  /3.1</t>
  </si>
  <si>
    <t>AP3/  /3.2</t>
  </si>
  <si>
    <t>Cod apel</t>
  </si>
  <si>
    <t>AP1/11i /1.1</t>
  </si>
  <si>
    <t>AP1/11i /1.4</t>
  </si>
  <si>
    <t xml:space="preserve">AP1/11i /1.3 </t>
  </si>
  <si>
    <t xml:space="preserve">AP1/11i /1.2 </t>
  </si>
  <si>
    <t>IP2/2015</t>
  </si>
  <si>
    <t>IP5/2016</t>
  </si>
  <si>
    <t>regiune mai dezvoltată</t>
  </si>
  <si>
    <t>regiune mai puțin dezvoltată</t>
  </si>
  <si>
    <t>n.a</t>
  </si>
  <si>
    <t>AA5/ 27.11.2017</t>
  </si>
  <si>
    <t>AA3/ 12.10.2017</t>
  </si>
  <si>
    <t>AA6/ 21.11.2017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</si>
  <si>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</si>
  <si>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</si>
  <si>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</si>
  <si>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</si>
  <si>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</si>
  <si>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</si>
  <si>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</si>
  <si>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</si>
  <si>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</si>
  <si>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</si>
  <si>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</si>
  <si>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</si>
  <si>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</si>
  <si>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</si>
  <si>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</si>
  <si>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</si>
  <si>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</si>
  <si>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</si>
  <si>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</si>
  <si>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</si>
  <si>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</si>
  <si>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</si>
  <si>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</si>
  <si>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</si>
  <si>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</si>
  <si>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</si>
  <si>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</si>
  <si>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</si>
  <si>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</si>
  <si>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</si>
  <si>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</si>
  <si>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</si>
  <si>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</si>
  <si>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</si>
  <si>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</si>
  <si>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</si>
  <si>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</si>
  <si>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</si>
  <si>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</si>
  <si>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</si>
  <si>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</si>
  <si>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</si>
  <si>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</si>
  <si>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</si>
  <si>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</si>
  <si>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</si>
  <si>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</si>
  <si>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</si>
  <si>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</si>
  <si>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</si>
  <si>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</si>
  <si>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</si>
  <si>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</si>
  <si>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</si>
  <si>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</si>
  <si>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</si>
  <si>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</si>
  <si>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</si>
  <si>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</si>
  <si>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</si>
  <si>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</si>
  <si>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</si>
  <si>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</si>
  <si>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</si>
  <si>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</si>
  <si>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</si>
  <si>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</si>
  <si>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</si>
  <si>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</si>
  <si>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</si>
  <si>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</si>
  <si>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</si>
  <si>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</si>
  <si>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</si>
  <si>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</si>
  <si>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</si>
  <si>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</si>
  <si>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</si>
  <si>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</si>
  <si>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</si>
  <si>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</si>
  <si>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</si>
  <si>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</si>
  <si>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</si>
  <si>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</si>
  <si>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</si>
  <si>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</si>
  <si>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</si>
  <si>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</si>
  <si>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</si>
  <si>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</si>
  <si>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</si>
  <si>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</si>
  <si>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</si>
  <si>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JUDEȚUL GORJ</t>
  </si>
  <si>
    <t>CALITATE = EFICIENTA = PERFORMANTA</t>
  </si>
  <si>
    <t>Asigurarea managementului performantei si calitatii in Municipiul Ploiesti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</si>
  <si>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</si>
  <si>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</si>
  <si>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</si>
  <si>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</si>
  <si>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</si>
  <si>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</si>
  <si>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</si>
  <si>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</si>
  <si>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</si>
  <si>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</si>
  <si>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</si>
  <si>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</si>
  <si>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</si>
  <si>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</si>
  <si>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</si>
  <si>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</si>
  <si>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</si>
  <si>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</si>
  <si>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</si>
  <si>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</si>
  <si>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</si>
  <si>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</si>
  <si>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</si>
  <si>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</si>
  <si>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</si>
  <si>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</si>
  <si>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</si>
  <si>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</si>
  <si>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</si>
  <si>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</si>
  <si>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</si>
  <si>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</si>
  <si>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</si>
  <si>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</si>
  <si>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</si>
  <si>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</si>
  <si>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</si>
  <si>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</si>
  <si>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</si>
  <si>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</si>
  <si>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</si>
  <si>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</si>
  <si>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</si>
  <si>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</si>
  <si>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</si>
  <si>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</si>
  <si>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</si>
  <si>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</si>
  <si>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</si>
  <si>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Alba Iulia</t>
  </si>
  <si>
    <t>ALBA</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</si>
  <si>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</si>
  <si>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</si>
  <si>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</si>
  <si>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</si>
  <si>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</si>
  <si>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</si>
  <si>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</si>
  <si>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</si>
  <si>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</si>
  <si>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</si>
  <si>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</si>
  <si>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</si>
  <si>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</si>
  <si>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</si>
  <si>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</si>
  <si>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</si>
  <si>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</si>
  <si>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</si>
  <si>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</si>
  <si>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</si>
  <si>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</si>
  <si>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</si>
  <si>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</si>
  <si>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</si>
  <si>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</si>
  <si>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</si>
  <si>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</si>
  <si>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</si>
  <si>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</si>
  <si>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</si>
  <si>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</si>
  <si>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</si>
  <si>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</si>
  <si>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</si>
  <si>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</si>
  <si>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</si>
  <si>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</si>
  <si>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</si>
  <si>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</si>
  <si>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</si>
  <si>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</si>
  <si>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</si>
  <si>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Asociația "C4C Communication for Community"</t>
  </si>
  <si>
    <t>„Acces la educație incluzivă de calitate pentru copiii CES cu deficiențe auditive și vizuale (EDU-CES)”,</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</si>
  <si>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</si>
  <si>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</si>
  <si>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</si>
  <si>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</si>
  <si>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</si>
  <si>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</si>
  <si>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</si>
  <si>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</si>
  <si>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</si>
  <si>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</si>
  <si>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</si>
  <si>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</si>
  <si>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</si>
  <si>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</si>
  <si>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</si>
  <si>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</si>
  <si>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PRAHOVA</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</si>
  <si>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</si>
  <si>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</si>
  <si>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</si>
  <si>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</si>
  <si>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</si>
  <si>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</si>
  <si>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</si>
  <si>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</si>
  <si>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</si>
  <si>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</si>
  <si>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</si>
  <si>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</si>
  <si>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</si>
  <si>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</si>
  <si>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</si>
  <si>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</si>
  <si>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</si>
  <si>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</si>
  <si>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</si>
  <si>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</si>
  <si>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</si>
  <si>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</si>
  <si>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</si>
  <si>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</si>
  <si>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</si>
  <si>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</si>
  <si>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</si>
  <si>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Urziceni</t>
  </si>
  <si>
    <t>Buna guvernare in domeniul serviciilor sociale</t>
  </si>
  <si>
    <t>ASOCIATIA ASISTENTILOR SOCIALI PROFESIONISTI "PROSOCIAL"</t>
  </si>
  <si>
    <t>Cluj-Napoca</t>
  </si>
  <si>
    <t>Institutul Roman Pentru Educație și Incluziune Sociala</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</si>
  <si>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</si>
  <si>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</si>
  <si>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</si>
  <si>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</si>
  <si>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</si>
  <si>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</si>
  <si>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</si>
  <si>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</si>
  <si>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</si>
  <si>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</si>
  <si>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</si>
  <si>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</si>
  <si>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</si>
  <si>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</si>
  <si>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</si>
  <si>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</si>
  <si>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</si>
  <si>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</si>
  <si>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</si>
  <si>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</si>
  <si>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</si>
  <si>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</si>
  <si>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</si>
  <si>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</si>
  <si>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</si>
  <si>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</si>
  <si>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</si>
  <si>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</si>
  <si>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</si>
  <si>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</si>
  <si>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</si>
  <si>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</si>
  <si>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</si>
  <si>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</si>
  <si>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Asociația Română pentr Promovarea Sănătății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</si>
  <si>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</si>
  <si>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</si>
  <si>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</si>
  <si>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</si>
  <si>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</si>
  <si>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</si>
  <si>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</si>
  <si>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</si>
  <si>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</si>
  <si>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</si>
  <si>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</si>
  <si>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</si>
  <si>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</si>
  <si>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</si>
  <si>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</si>
  <si>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</si>
  <si>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</si>
  <si>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</si>
  <si>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</si>
  <si>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</si>
  <si>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</si>
  <si>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</si>
  <si>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</si>
  <si>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</si>
  <si>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</si>
  <si>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</si>
  <si>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CP6 less /2017</t>
  </si>
  <si>
    <t>"Administrație eficientă, servicii de calitate la nivel local"</t>
  </si>
  <si>
    <t>Județul Prahova</t>
  </si>
  <si>
    <t>119 -  Investiții în capacitatea instituțională și în eficiența administrațiilor și a serviciilor publice la nivel național, regional și local, în perspectiva realizării de reforme, a unei mai bune legiferări și a bunei guvernanțe</t>
  </si>
  <si>
    <t>Consolidarea capacității instituționale a Oficiului Național al Registrului Comerțului, a sistemului registrului comerțului și a sistemului de publicitate legală</t>
  </si>
  <si>
    <t>Fundația Corona</t>
  </si>
  <si>
    <t>1. MDRAP</t>
  </si>
  <si>
    <t>Bugetarea pe bază de gen în politicile public</t>
  </si>
  <si>
    <t>FUNDAÞIA "CENTRUL DE MEDIERE SI SECURITATE COMUNITARA" 
AGENTIA NATIONALA PENTRU
EGALITATEA DE SANSE INTRE FEMEI
SI BARBATI</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</si>
  <si>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</si>
  <si>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</si>
  <si>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</si>
  <si>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</si>
  <si>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</si>
  <si>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</si>
  <si>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Medierea-politică publică eficientă în dialogul civic</t>
  </si>
  <si>
    <t>Asociația "Centrul de Mediere si Arbitraj Propact"</t>
  </si>
  <si>
    <t>Universitatea ”Andrei Șaguna”</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</si>
  <si>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</si>
  <si>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</si>
  <si>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</si>
  <si>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</si>
  <si>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</si>
  <si>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</si>
  <si>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Motru</t>
  </si>
  <si>
    <t>Asociația pentru Implicare Socială, Educație și Cultură</t>
  </si>
  <si>
    <t>Asociația “Ai încredere”</t>
  </si>
  <si>
    <t xml:space="preserve">P1: Asociația de Dezvoltare Durabilă a Județului Tulcea 
</t>
  </si>
  <si>
    <t>Tulcea</t>
  </si>
  <si>
    <t xml:space="preserve"> în implementare</t>
  </si>
  <si>
    <t>Dezvoltarea unui sistem unitar de management al calității la nivelul Consiliului Județean Vâlcea și al instituțiilor subordonate</t>
  </si>
  <si>
    <t>Județul Vâlcea</t>
  </si>
  <si>
    <t>Râmnicu Vâlcea</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</si>
  <si>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</si>
  <si>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</si>
  <si>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</si>
  <si>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</si>
  <si>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</si>
  <si>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</si>
  <si>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</si>
  <si>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</si>
  <si>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</si>
  <si>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</si>
  <si>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</si>
  <si>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</si>
  <si>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</si>
  <si>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</si>
  <si>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Municipiul Aiud</t>
  </si>
  <si>
    <t>Performanța si eficiența în administrație prin implementarea unui management competitiv</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</si>
  <si>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</si>
  <si>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</si>
  <si>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</si>
  <si>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</si>
  <si>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</si>
  <si>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</si>
  <si>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Platforma Acţiunilor Comune Transparente - PACT A.Co.R</t>
  </si>
  <si>
    <t>Asociația Comunelor din România</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</si>
  <si>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</si>
  <si>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</si>
  <si>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</si>
  <si>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</si>
  <si>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</si>
  <si>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</si>
  <si>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</si>
  <si>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Asociația Centrul pentru Legislație Nonprofit</t>
  </si>
  <si>
    <t>Îmbunatațirea cadrului juridic privind finanțarea publica a organizațiilor neguvernamentale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</si>
  <si>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</si>
  <si>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</si>
  <si>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</si>
  <si>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</si>
  <si>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</si>
  <si>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</si>
  <si>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</si>
  <si>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</si>
  <si>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</si>
  <si>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</si>
  <si>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</si>
  <si>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</si>
  <si>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</si>
  <si>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Dezvoltarea unui management performant în cadrul primăriei municipiului Lugoj prin optimizarea proceselor orientate către beneficiari și pregătirea resurselor umane</t>
  </si>
  <si>
    <t>Timiș</t>
  </si>
  <si>
    <t>Lugoj</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</si>
  <si>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</si>
  <si>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Transparență, etica și integritate</t>
  </si>
  <si>
    <t>Targu Jiu</t>
  </si>
  <si>
    <t>Legislație actualizată pentru un comerț calitativ cu produse agroalimentare</t>
  </si>
  <si>
    <t>Asociația ACDBR</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</si>
  <si>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</si>
  <si>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</si>
  <si>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</si>
  <si>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</si>
  <si>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</si>
  <si>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</si>
  <si>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</si>
  <si>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</si>
  <si>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</si>
  <si>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</si>
  <si>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</si>
  <si>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</si>
  <si>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</si>
  <si>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</si>
  <si>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</si>
  <si>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</si>
  <si>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</si>
  <si>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</si>
  <si>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</si>
  <si>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</si>
  <si>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</si>
  <si>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</si>
  <si>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</si>
  <si>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</si>
  <si>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</si>
  <si>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</si>
  <si>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</si>
  <si>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</si>
  <si>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</si>
  <si>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</si>
  <si>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</si>
  <si>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</si>
  <si>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</si>
  <si>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</si>
  <si>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</si>
  <si>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</si>
  <si>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MaraQuality</t>
  </si>
  <si>
    <t>Județul Maramureș</t>
  </si>
  <si>
    <t>Maramureș</t>
  </si>
  <si>
    <t>Baia Mare</t>
  </si>
  <si>
    <t>ASOCIAȚIA PENTRU DEZVOLTARE DURABILĂ SLATINA</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</si>
  <si>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</si>
  <si>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</si>
  <si>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</si>
  <si>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</si>
  <si>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</si>
  <si>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</si>
  <si>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</si>
  <si>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</si>
  <si>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</si>
  <si>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</si>
  <si>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</si>
  <si>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</si>
  <si>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Certificarea activităților Consiliului Județean Argeș și dezvoltarea abilităților personalului, în concordanță cu prevederile SCAP</t>
  </si>
  <si>
    <t>Județul Argeș</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</si>
  <si>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</si>
  <si>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</si>
  <si>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</si>
  <si>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</si>
  <si>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Asociatia Centrul de Resurse APOLLO</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</si>
  <si>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</si>
  <si>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</si>
  <si>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</si>
  <si>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</si>
  <si>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</si>
  <si>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</si>
  <si>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</si>
  <si>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</si>
  <si>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</si>
  <si>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</si>
  <si>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</si>
  <si>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</si>
  <si>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</si>
  <si>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</si>
  <si>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</si>
  <si>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Implementarea, certificarea sistemului de management al calității conform standardului ISO 9001 la Consiliul Județean Arad</t>
  </si>
  <si>
    <t>Județul Arad</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</si>
  <si>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</si>
  <si>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</si>
  <si>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</si>
  <si>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 xml:space="preserve">Asociația Regională Pentru Dezvoltare Socială </t>
  </si>
  <si>
    <t>ASOCIAȚIA REGIONALĂ PENTRU PROMOVAREA CAPITALULUI UMAN</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</si>
  <si>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</si>
  <si>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</si>
  <si>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</si>
  <si>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</si>
  <si>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</si>
  <si>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</si>
  <si>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</si>
  <si>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Botoșani</t>
  </si>
  <si>
    <t>Monumente istorice - planificare strategica si politici publice optimizate</t>
  </si>
  <si>
    <t>INSTITUTUL NATIONAL AL PATRIMONIULUI/Direcþia Patrimoniu Imobil</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</si>
  <si>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</si>
  <si>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</si>
  <si>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</si>
  <si>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</si>
  <si>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</si>
  <si>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</si>
  <si>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</si>
  <si>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</si>
  <si>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</si>
  <si>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</si>
  <si>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</si>
  <si>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</si>
  <si>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</si>
  <si>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</si>
  <si>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</si>
  <si>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</si>
  <si>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</si>
  <si>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</si>
  <si>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</si>
  <si>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</si>
  <si>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</si>
  <si>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Sa spunem NU coruptiei</t>
  </si>
  <si>
    <t>Județul Sibiu</t>
  </si>
  <si>
    <t>Asociația Română Pentru Transparență</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</si>
  <si>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</si>
  <si>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</si>
  <si>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</si>
  <si>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</si>
  <si>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</si>
  <si>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</si>
  <si>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</si>
  <si>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</si>
  <si>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</si>
  <si>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</si>
  <si>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</si>
  <si>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Implementarea Sistemului de Management al Calitatii si Performantei conform SR EN ISO 9001:2015 în cadrul Consiliului Judetean Salaj</t>
  </si>
  <si>
    <t>Spre o administrație publică performantă</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</si>
  <si>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</si>
  <si>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</si>
  <si>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</si>
  <si>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</si>
  <si>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</si>
  <si>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</si>
  <si>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</si>
  <si>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</si>
  <si>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1. Academia de Studii Economice
2. INSTITUTUL NAȚIONAL DE CERCETARE-DEZVOLTARE ÎN SILVICULTURA "MARIN
DRACEA"</t>
  </si>
  <si>
    <t>CP6 more /2017</t>
  </si>
  <si>
    <t xml:space="preserve">1. Ministerul Afacerilor Interne
</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</si>
  <si>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</si>
  <si>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</si>
  <si>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</si>
  <si>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</si>
  <si>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</si>
  <si>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</si>
  <si>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</si>
  <si>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Ilfov</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</si>
  <si>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</si>
  <si>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</si>
  <si>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</si>
  <si>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</si>
  <si>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</si>
  <si>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</si>
  <si>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Politici publice alternative de mediu în România</t>
  </si>
  <si>
    <t>Asociația Simț Civic</t>
  </si>
  <si>
    <t>ASOCIATIA ROMANA PENTRU MANAGEMENTUL DESEURILOR - A.R.M.D.</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</si>
  <si>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</si>
  <si>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</si>
  <si>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Agenția Națională de Integritate</t>
  </si>
  <si>
    <t>ASOCIATIA ROMANA PENTRU TRANSPARENTA</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</si>
  <si>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</si>
  <si>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</si>
  <si>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</si>
  <si>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</si>
  <si>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</si>
  <si>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</si>
  <si>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</si>
  <si>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</si>
  <si>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Elaborarea unei politici publice alternative în domeniul promovarii exporturilor romanesti</t>
  </si>
  <si>
    <t>ASOCIATIA PENTRU PROMOVAREA ALIMENTULUI ROMANESC-A.P.A.R.</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</si>
  <si>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</si>
  <si>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</si>
  <si>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</si>
  <si>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</si>
  <si>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</si>
  <si>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</si>
  <si>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</si>
  <si>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</si>
  <si>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</si>
  <si>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</si>
  <si>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</si>
  <si>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Județul Bacău</t>
  </si>
  <si>
    <t>Fundația de Sprijin Comunitar</t>
  </si>
  <si>
    <t>ASOCIATIA FOUR CHANGE; UNIVERSITATEA "DANUBIUS" DIN GALATI</t>
  </si>
  <si>
    <t>Sprijinirea masurilor referitoare la prevenirea coruptiei la nivelul Municipiului Sebes</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</si>
  <si>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</si>
  <si>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</si>
  <si>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</si>
  <si>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</si>
  <si>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</si>
  <si>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</si>
  <si>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</si>
  <si>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</si>
  <si>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</si>
  <si>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</si>
  <si>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</si>
  <si>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</si>
  <si>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</si>
  <si>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</si>
  <si>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</si>
  <si>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</si>
  <si>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</si>
  <si>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</si>
  <si>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</si>
  <si>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</si>
  <si>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</si>
  <si>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</si>
  <si>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</si>
  <si>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</si>
  <si>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</si>
  <si>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</si>
  <si>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</si>
  <si>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</si>
  <si>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</si>
  <si>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</si>
  <si>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</si>
  <si>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</si>
  <si>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</si>
  <si>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</si>
  <si>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</si>
  <si>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</si>
  <si>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</si>
  <si>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</si>
  <si>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</si>
  <si>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</si>
  <si>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</si>
  <si>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</si>
  <si>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</si>
  <si>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</si>
  <si>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</si>
  <si>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</si>
  <si>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</si>
  <si>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</si>
  <si>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</si>
  <si>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</si>
  <si>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</si>
  <si>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</si>
  <si>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Asociația Institutul pentru Politici Publice                            Universitatea George Bacovia</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</si>
  <si>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</si>
  <si>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</si>
  <si>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</si>
  <si>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</si>
  <si>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</si>
  <si>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</si>
  <si>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</si>
  <si>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</si>
  <si>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</si>
  <si>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</si>
  <si>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</si>
  <si>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</si>
  <si>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</si>
  <si>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</si>
  <si>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</si>
  <si>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</si>
  <si>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</si>
  <si>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</si>
  <si>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</si>
  <si>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</si>
  <si>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</si>
  <si>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</si>
  <si>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</si>
  <si>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</si>
  <si>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</si>
  <si>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</si>
  <si>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</si>
  <si>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</si>
  <si>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</si>
  <si>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</si>
  <si>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</si>
  <si>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</si>
  <si>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</si>
  <si>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</si>
  <si>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</si>
  <si>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Implicarea salvează vieți!</t>
  </si>
  <si>
    <t>Societatea Națională de Cruce Roșie din România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</si>
  <si>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</si>
  <si>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</si>
  <si>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</si>
  <si>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</si>
  <si>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</si>
  <si>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</si>
  <si>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</si>
  <si>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</si>
  <si>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</si>
  <si>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</si>
  <si>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</si>
  <si>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Municipiul Toplița</t>
  </si>
  <si>
    <t>Consolidarea integritatii în institutiiile_x000D_
publice si în mediul de afaceri</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</si>
  <si>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</si>
  <si>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</si>
  <si>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</si>
  <si>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</si>
  <si>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</si>
  <si>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</si>
  <si>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</si>
  <si>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</si>
  <si>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</si>
  <si>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Târgoviște</t>
  </si>
  <si>
    <t>Help again!</t>
  </si>
  <si>
    <t>SOCIETATEA NATIONALĂ DE CRUCE ROȘIE FILIALA SATU MARE</t>
  </si>
  <si>
    <t>ANALIZA, EFICIENTIZAREA SI
ACTUALIZAREA CADRULUI LEGAL ÎN
DOMENIUL TURISMULUI</t>
  </si>
  <si>
    <t>SECRETARIATUL GENERAL AL
Parteneri GUVERNULUI</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</si>
  <si>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</si>
  <si>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</si>
  <si>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</si>
  <si>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AUTORITATEA NAŢIONALĂ DE MANAGEMENT AL CALITĂŢII ÎN SĂNĂTATE</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</si>
  <si>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</si>
  <si>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</si>
  <si>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</si>
  <si>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</si>
  <si>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</si>
  <si>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</si>
  <si>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Finalizat</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</si>
  <si>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</si>
  <si>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</si>
  <si>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</si>
  <si>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</si>
  <si>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</si>
  <si>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ASOCIATIA ARES'EL</t>
  </si>
  <si>
    <t>UNIVERSITATEA DE ARTE DIN TARGU MURES</t>
  </si>
  <si>
    <t>Ploiești</t>
  </si>
  <si>
    <t>DialLogos</t>
  </si>
  <si>
    <t>SINDICATUL NATIONAL AL LUCRATORILOR DE PENITENCIARE</t>
  </si>
  <si>
    <t>INSTITUTUL NATIONAL DE
CERCETARE STIINTIFICA IN
DOMENIUL MUNCII SI PROTECTIEI
SOCIALE - I N C S M P S</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</si>
  <si>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</si>
  <si>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</si>
  <si>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</si>
  <si>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</si>
  <si>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Municipiul Buzau</t>
  </si>
  <si>
    <t>METROPOLITAN – Politica publica alternativa la politicile publice iniþiate de Guvern în domeniul
transportului public local si metropolitan de calatori din România</t>
  </si>
  <si>
    <t>Asociația pentru Mobilitate Metropolitană</t>
  </si>
  <si>
    <t>AA5 /24.11.2017
AA6/18.10.2018</t>
  </si>
  <si>
    <t>Implementarea managementului calității - administrație durabilă (IMCAD)</t>
  </si>
  <si>
    <t>Județul Neamț</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</si>
  <si>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</si>
  <si>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</si>
  <si>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</si>
  <si>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</si>
  <si>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</si>
  <si>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</si>
  <si>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</si>
  <si>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</si>
  <si>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</si>
  <si>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</si>
  <si>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</si>
  <si>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Sălajul spune NU corupției!</t>
  </si>
  <si>
    <t>Județul Sălaj</t>
  </si>
  <si>
    <t>AA1 /08.11.2018</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</si>
  <si>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</si>
  <si>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</si>
  <si>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</si>
  <si>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</si>
  <si>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</si>
  <si>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</si>
  <si>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</si>
  <si>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</si>
  <si>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Sisteme informatice inovative pentru simplificare administrativă și optimizare a furnizării serviciilor pentru cetățeni</t>
  </si>
  <si>
    <t>Eficienta instituțională prin investiții la nivel
local</t>
  </si>
  <si>
    <t>CP10 more/2018</t>
  </si>
  <si>
    <t>e-CETATEAN (Cunoastere, Egalitate, Transparenta, Administratie, Tinta, Evolutie,Actualitate, Normalitate)</t>
  </si>
  <si>
    <t>Sector 4 București</t>
  </si>
  <si>
    <t>Municipiul Roman</t>
  </si>
  <si>
    <t>ADMINISTRAȚIE ELECTRONICĂ LA NIVELUL MUNICIPIULUI ROMAN PENTRU REDUCEREA
BIROCRAȚIEI</t>
  </si>
  <si>
    <t>Municipiul Târgu Jiu</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</si>
  <si>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</si>
  <si>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</si>
  <si>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</si>
  <si>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</si>
  <si>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</si>
  <si>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</si>
  <si>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Planificare Strategică pentru dezvoltarea durabilă a județului Vaslui</t>
  </si>
  <si>
    <t>Municipiul Vaslui</t>
  </si>
  <si>
    <t>Smart CT</t>
  </si>
  <si>
    <t>eFuncționar+. Servicii electronice și simplificare administrativă</t>
  </si>
  <si>
    <t>Municipiul Brașov</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</si>
  <si>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</si>
  <si>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</si>
  <si>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</si>
  <si>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</si>
  <si>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</si>
  <si>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</si>
  <si>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</si>
  <si>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</si>
  <si>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</si>
  <si>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</si>
  <si>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</si>
  <si>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</si>
  <si>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</si>
  <si>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</si>
  <si>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Îmbunătățirea capacității instituționale și de planificare strategică a administrației publice din județul Teleorman</t>
  </si>
  <si>
    <t>Județul Teleorman</t>
  </si>
  <si>
    <t>AA 1/05.12.2018</t>
  </si>
  <si>
    <t>Mecanisme si proceduri administrative moderne in Primaria Giurgiu (MEPAM)</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</si>
  <si>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</si>
  <si>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</si>
  <si>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</si>
  <si>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</si>
  <si>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Solutii informatice integrate pentru simplificarea procedurilor administrative si reducerea birocratiei</t>
  </si>
  <si>
    <t>Platforma online pentru eficientizarea
serviciilor publice oferite cetaþenilor de
Unitatea Administrativ-Teritoriala Judeþul
Ilfov</t>
  </si>
  <si>
    <t>eCetatean@Sighisoara2021</t>
  </si>
  <si>
    <t>Municipiul Sighișoara</t>
  </si>
  <si>
    <t>AA6/02.11.2018</t>
  </si>
  <si>
    <t>Municipiul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</si>
  <si>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</si>
  <si>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</si>
  <si>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</si>
  <si>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</si>
  <si>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</si>
  <si>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</si>
  <si>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</si>
  <si>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</si>
  <si>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</si>
  <si>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</si>
  <si>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</si>
  <si>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Cresterea capacității administrative a autorității publice locale a Municipiului Codlea, in fundamentarea deciziilor, planificarea strategică si măsurile de simplificare pentru cetățeni</t>
  </si>
  <si>
    <t>Municipiul Codlea</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</si>
  <si>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</si>
  <si>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</si>
  <si>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</si>
  <si>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Consolidarea mecanismului de coordonare a implementarii Conventiei ONU privind drepturile persoanelor cu dizabilitati</t>
  </si>
  <si>
    <t>Capacitate administrativă ridicată prin investiții integrate și complementare - CARIC</t>
  </si>
  <si>
    <t>Județul Galați</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</si>
  <si>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</si>
  <si>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</si>
  <si>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</si>
  <si>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</si>
  <si>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</si>
  <si>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</si>
  <si>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</si>
  <si>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</si>
  <si>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Judetul Cluj - Smart Territory</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</si>
  <si>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</si>
  <si>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</si>
  <si>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</si>
  <si>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</si>
  <si>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</si>
  <si>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ASOCIATIA "SOCIETATEA NATIONALA SPIRU HARET PENTRU EDUCATIE, STIINTA SI CULTURA"</t>
  </si>
  <si>
    <t>iNFOLex</t>
  </si>
  <si>
    <t>CP8 less /2018</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</si>
  <si>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</si>
  <si>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</si>
  <si>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</si>
  <si>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</si>
  <si>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</si>
  <si>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</si>
  <si>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</si>
  <si>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</si>
  <si>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</si>
  <si>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</si>
  <si>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</si>
  <si>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</si>
  <si>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</si>
  <si>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</si>
  <si>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Cresterea capacitații administrative a Ministerului Economiei în vederea monitorizarii, evaluarii și
coordonării politicilor publice din domeniul competitivitații economice</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</si>
  <si>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</si>
  <si>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</si>
  <si>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</si>
  <si>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</si>
  <si>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</si>
  <si>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</si>
  <si>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</si>
  <si>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</si>
  <si>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</si>
  <si>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</si>
  <si>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</si>
  <si>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</si>
  <si>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</si>
  <si>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</si>
  <si>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</si>
  <si>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</si>
  <si>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</si>
  <si>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Municipiul Rm. Sarat</t>
  </si>
  <si>
    <t>ALT- Sibiu: Administrație de Calitate, Accesibilă Locuitorilor prin Tehnologie„SALT- Sibiu: Administrație de Calitate, Accesibilă Locuitorilor prin Tehnologie</t>
  </si>
  <si>
    <t>Municipiul Sibiu</t>
  </si>
  <si>
    <t>Sustenabilitate. Inovare. Bunăstare. Incluziune Socială. Unitate. SIBIU - Strategia 2030</t>
  </si>
  <si>
    <t>AA1</t>
  </si>
  <si>
    <t>Administrație modernă. Creșterea calității proceselor</t>
  </si>
  <si>
    <t>Asisteță pentru formularea propunerii de
politica publica a Municipiului Dragasani si
a principalelor instrumente aplicabile în
fiecare etapa pentru perioada 2020-2024</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</si>
  <si>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</si>
  <si>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</si>
  <si>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</si>
  <si>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</si>
  <si>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Administrație publică locală eficientă pentru cetățeni</t>
  </si>
  <si>
    <t>1. AASOCIAȚIA PROFESIONALĂ NEGUVERNAMENTALĂ DE ASISTENȚA SOCIALA ASSOC - FILIALA VÂLCEA
2. COMUNA MĂCIUCA</t>
  </si>
  <si>
    <t>Justitie si mediere pentru toata lumea/ Law and mediation for everyone</t>
  </si>
  <si>
    <t>Asociația Liga Apărării Drepturilor Colective</t>
  </si>
  <si>
    <t>Consolidarea capacității administrative a Municipiului Lugoj prin dezvoltarea capacității de planificare strategică și prin simplificarea procedurilor administrative pentru reducerea birocrației destinate</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</si>
  <si>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</si>
  <si>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</si>
  <si>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Optimizarea proceselor în concordanță cu Strategia pentru Consolidarea Administrației Publice la nivelul Municipiului Deva</t>
  </si>
  <si>
    <t>Asociația Centrul Pentru Dezvoltare Durabilă Columna</t>
  </si>
  <si>
    <t>Administratie moderna in sprijunul cetatenilor</t>
  </si>
  <si>
    <t>Judetul Botosani</t>
  </si>
  <si>
    <t>Soluții informatice integrate pentru simplificarea procedurilor on-line si reducerea birocrației la nivelul municipiului Râmnicu Vâlcea</t>
  </si>
  <si>
    <t>Municipiul Râmnicu Vâlcea</t>
  </si>
  <si>
    <t>Elaborarea strategiei de dezvoltare durabilă a județului Prahova pentru perioada 2021-2027</t>
  </si>
  <si>
    <t>Sistem informatic integrat de e-administrație pentru îmbunătățirea accesului populației la servicii electronice și simplificare administrativă</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</si>
  <si>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</si>
  <si>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</si>
  <si>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</si>
  <si>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AA 1/29.11.2018          AA 2 /03.04.2019</t>
  </si>
  <si>
    <t>AA 1/ 15.04.2019</t>
  </si>
  <si>
    <t>AA 1/ 01.04.2019</t>
  </si>
  <si>
    <t>AA 1/ 28.03.2019</t>
  </si>
  <si>
    <t xml:space="preserve">AA 1/02.04.2019 </t>
  </si>
  <si>
    <t>AA2/17.04.2019</t>
  </si>
  <si>
    <t>MaraStrategy</t>
  </si>
  <si>
    <t>AA3/15.04.2019</t>
  </si>
  <si>
    <t>AA6/08.04.2019 PRELUNGIRE 6 LUNI</t>
  </si>
  <si>
    <t>Planificare strategică și managementul
performanței în folosul cetățenilor din
județul Harghita prin implementarea CAF
(CAFHR)</t>
  </si>
  <si>
    <t>Județul Harghita</t>
  </si>
  <si>
    <t>IP14/2019
(MySMIS: 
POCA/ 513/1/1 )</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</si>
  <si>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</si>
  <si>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</si>
  <si>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</si>
  <si>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</si>
  <si>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t>AA1/16.05.2019</t>
  </si>
  <si>
    <t>AA2/16.05.2019</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</si>
  <si>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</si>
  <si>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</si>
  <si>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</si>
  <si>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</si>
  <si>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</si>
  <si>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</si>
  <si>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</si>
  <si>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</si>
  <si>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</si>
  <si>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</si>
  <si>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</si>
  <si>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</si>
  <si>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</si>
  <si>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Implementarea unui sistem de informatizare a administrației publice, sistem de management integrat al datelor administraţiei publice şi îmbunătățirea organizării instituționale și a procedurilor la nivelul Municipiului Reşiţa</t>
  </si>
  <si>
    <t>Municpiul Resita</t>
  </si>
  <si>
    <t>Simplificarea administrativa si reducerea birocratiei pentru cetatenii din 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</si>
  <si>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</si>
  <si>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</si>
  <si>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</si>
  <si>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</si>
  <si>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AA1/12.10.2018</t>
  </si>
  <si>
    <t>Consiliul Județean Dolj</t>
  </si>
  <si>
    <t>Simplificarea procedurilor prin eficientizare si digitalizare la consiliul județean</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</si>
  <si>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</si>
  <si>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</si>
  <si>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</si>
  <si>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</si>
  <si>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</si>
  <si>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</si>
  <si>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</si>
  <si>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</si>
  <si>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</si>
  <si>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</si>
  <si>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</si>
  <si>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Implementarea unor măsuri și instrumente destinate îmbunătățirii proceselor administrative în cadrul Consiliului Județean Argeș</t>
  </si>
  <si>
    <t>ePAS-eficientizarea Procedurilor Administrative prin Simplificare la Primăria Municipiului Petroșani</t>
  </si>
  <si>
    <t>Municipiul Petroșani</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</si>
  <si>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</si>
  <si>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</si>
  <si>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</si>
  <si>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Simplificarea administrativa si reducerea birocratiei prin implementarea de masuri de digitalizare in Municipiul Botosani</t>
  </si>
  <si>
    <t>Simplificarea Procedurilor Administrative prin Digitalizare</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</si>
  <si>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</si>
  <si>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AA1 /13.06.2019</t>
  </si>
  <si>
    <t>AA1/06.06.2019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</si>
  <si>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</si>
  <si>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</si>
  <si>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Municipiul Alba Iulia - Administratie
inteligenta</t>
  </si>
  <si>
    <t>Municipiul Lupeni</t>
  </si>
  <si>
    <t>Proceduri Administrative Simplificate prin Eficientizare Digitala - la Primaria Municipiului Lupeni</t>
  </si>
  <si>
    <t>Lupeni</t>
  </si>
  <si>
    <t>Soluții informatice integrate pentru
simplificarea procedurilor administrative si
reducerea birocrației la nivelul Municipiului
DEJ</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</si>
  <si>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</si>
  <si>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</si>
  <si>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</si>
  <si>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</si>
  <si>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</si>
  <si>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</si>
  <si>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</si>
  <si>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</si>
  <si>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Creșterea transparenței decizionale si simplificarea procedurilor administrative pentru cetățeni - ANTO-CIIC</t>
  </si>
  <si>
    <t>Armonizarea cadrului legislativ pentru implementarea planului de reformă în sănătate</t>
  </si>
  <si>
    <t>Soluții informatice integrate pentru simplificarea procedurilor administrative si reducerea birocrației la nivelul Municipiului Câmpina</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</si>
  <si>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</si>
  <si>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</si>
  <si>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</si>
  <si>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</si>
  <si>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</si>
  <si>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</si>
  <si>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</si>
  <si>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Soluții informatice integrate pentru simplificarea procedurilor administrative și reducerea birocrației la nivelul Municipiului</t>
  </si>
  <si>
    <t>Municipiul Urziceni</t>
  </si>
  <si>
    <t>Municipiul Huși</t>
  </si>
  <si>
    <t>Îmbunătățirea capacității instituționale și reducerea birocrației pentru cetățenii din Municipiul Toplița</t>
  </si>
  <si>
    <t>Toplita</t>
  </si>
  <si>
    <t>Mecanisme si instrumente implementate la nivelul S1MB pentru fundamentarea deciziilor si planificarii
strategice pe termen lung</t>
  </si>
  <si>
    <t>Management al performantei in cadrul Primariei Sectorului 2</t>
  </si>
  <si>
    <t>Servicii publice performante furnizate cetatenilor din Municipiul Caransebes</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</si>
  <si>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</si>
  <si>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</si>
  <si>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AA 2/08.07.2019 prel. 16 L</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</si>
  <si>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</si>
  <si>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</si>
  <si>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</si>
  <si>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</si>
  <si>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AA 1/08.07.2019</t>
  </si>
  <si>
    <t>Soluții informatice integrate pentru simplificarea furnizării serviciilor către cetățeni si mediul de afaceri și optimizarea procedurilor administrative la nivelul Municipiului Râmnicu-Sărat</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</si>
  <si>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</si>
  <si>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</si>
  <si>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</si>
  <si>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</si>
  <si>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</si>
  <si>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</si>
  <si>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</si>
  <si>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</si>
  <si>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</si>
  <si>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</si>
  <si>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</si>
  <si>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</si>
  <si>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</si>
  <si>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</si>
  <si>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</si>
  <si>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</si>
  <si>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O administratie in slujba cetateanului</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</si>
  <si>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</si>
  <si>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</si>
  <si>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</si>
  <si>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</si>
  <si>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</si>
  <si>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</si>
  <si>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</si>
  <si>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</si>
  <si>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</si>
  <si>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APLICAT - Administratie Publica Locala Informatizata, Calitativa si Accesibila Tuturor la Suceava</t>
  </si>
  <si>
    <t>Municipiul Suceava</t>
  </si>
  <si>
    <t>A.N.A.N.P.-Pilon strategic în dezvoltarea comunitaþiilor locale si a mediului de afaceri prin
consolidarea capacitaþii administrative în ariile naturale protejate din România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</si>
  <si>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</si>
  <si>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</si>
  <si>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</si>
  <si>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</si>
  <si>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AA 1/22.07.2019</t>
  </si>
  <si>
    <t>AA1/ 24.07.2019</t>
  </si>
  <si>
    <t>AA2/29.07.2019</t>
  </si>
  <si>
    <t>Cod SIPOCA</t>
  </si>
  <si>
    <t>Planificare strategica si simplificarea procedurilor administrative la nivelul Municipiului Tarnaveni</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</si>
  <si>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</si>
  <si>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</si>
  <si>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</si>
  <si>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</si>
  <si>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AA1/31.07.2019</t>
  </si>
  <si>
    <t>PROGRES în asigurarea tranziþiei de la îngrijirea în instituþii la îngrijirea în comunitate</t>
  </si>
  <si>
    <t>Consolidarea capacității administrative a Ministerului Energiei prin implementarea instrumentului CAF și a Sistemului de Management al Calității SR EN IS0 9001:2015</t>
  </si>
  <si>
    <t>Soluții informatice integrate pentru simplificarea procedurilor administrative si reducerea birocrației la nivelul municipiului Onești</t>
  </si>
  <si>
    <t>Municipiul Onești</t>
  </si>
  <si>
    <t>Onești</t>
  </si>
  <si>
    <t>Îmbunatațirea capacitații autoritații publice centrale în domeniul managementului apelor în ceea ce
priveste planificarea, implementarea si raportarea cerințelor europene din domeniul apelor</t>
  </si>
  <si>
    <t xml:space="preserve">ADMINISTRATIA NATIONALA "APELE ROMANE" </t>
  </si>
  <si>
    <t>Dezvoltarea capacității administrative a MCI de implementare a unor acțiuni stabilite în Strategia Națională de Cercetare, Dezvoltare tehnologică și Inovare 2014-2020</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</si>
  <si>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</si>
  <si>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</si>
  <si>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</si>
  <si>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</si>
  <si>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</si>
  <si>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</si>
  <si>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</si>
  <si>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</si>
  <si>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</si>
  <si>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</si>
  <si>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</si>
  <si>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</si>
  <si>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</si>
  <si>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</si>
  <si>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</si>
  <si>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</si>
  <si>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</si>
  <si>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</si>
  <si>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</si>
  <si>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</si>
  <si>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</si>
  <si>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AA 1/09.08.2019 prel 2L</t>
  </si>
  <si>
    <t>Extinderea instrumentelor de management al performanței la nivelul Primăriei Municipiului Galați prin implementarea CAF</t>
  </si>
  <si>
    <t>INSTITUTUL NATIONAL DE CERCETARI ECONOMICE "COSTIN C. KIRITESCU"</t>
  </si>
  <si>
    <t>AA1/14.08.2019</t>
  </si>
  <si>
    <t>Național</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</si>
  <si>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</si>
  <si>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</si>
  <si>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</si>
  <si>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</si>
  <si>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</si>
  <si>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</si>
  <si>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</si>
  <si>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</si>
  <si>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</si>
  <si>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</si>
  <si>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</si>
  <si>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</si>
  <si>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</si>
  <si>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</si>
  <si>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</si>
  <si>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</si>
  <si>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AA1/21.08.2019</t>
  </si>
  <si>
    <t>-</t>
  </si>
  <si>
    <t>Fundamentarea politicii de investiții pentru dezvoltarea socio-economică în perioada 2021-2030</t>
  </si>
  <si>
    <t>Consolidarea funcțiilor de management strategic la nivelul SGG</t>
  </si>
  <si>
    <t>Studii de impact pentru o reglementare mai buna!</t>
  </si>
  <si>
    <t>Sistem performant de management al resurselor umane din cadrul Ministerului Afacerilor Interne</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</si>
  <si>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</si>
  <si>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</si>
  <si>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</si>
  <si>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</si>
  <si>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</si>
  <si>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</si>
  <si>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</si>
  <si>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</si>
  <si>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</si>
  <si>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</si>
  <si>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</si>
  <si>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</si>
  <si>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</si>
  <si>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</si>
  <si>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AA2 din 06.09.2019</t>
  </si>
  <si>
    <t>AA1/06.09.2019</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</si>
  <si>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</si>
  <si>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</si>
  <si>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</si>
  <si>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</si>
  <si>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AA1/09.09.2019</t>
  </si>
  <si>
    <t>CCR-SAI pentru cetățean</t>
  </si>
  <si>
    <t>Promovarea politicilor publice la nivelul județului Arad</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</si>
  <si>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</si>
  <si>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</si>
  <si>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</si>
  <si>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</si>
  <si>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Consolidarea capacității MADR de a elabora politici și reglementări specifice în vederea implementării unui sistem strategic național pentru trasabilitatea și integritatea produselor agroalimentare</t>
  </si>
  <si>
    <t>AA3 /13.09.2019</t>
  </si>
  <si>
    <t>Optimizarea procesului decizional si al planificării strategice și bugetare la nivelul Consiliului Județean Bihor</t>
  </si>
  <si>
    <t>Municipiul Oradea</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</si>
  <si>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</si>
  <si>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</si>
  <si>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</si>
  <si>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Sistemului Statistic National
si modernizarea proceselor de productie
statistica pentru efectuarea recensamintelor
nationale</t>
  </si>
  <si>
    <t>AA1-08.07.2019
AA2-20.09.2019</t>
  </si>
  <si>
    <t>AA 1/12.11.2018         AA 2/20.09.2019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</si>
  <si>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</si>
  <si>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</si>
  <si>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</si>
  <si>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</si>
  <si>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</si>
  <si>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</si>
  <si>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</si>
  <si>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Elaborarea politicii urbane ca instrument de consolidare a capacității administrative si de planificare strategică a zonelor urbane din România</t>
  </si>
  <si>
    <t>Dezvoltarea capacității instituționale a Ministerul Fondurilor Europene printr-un sistem integrat de management al calității</t>
  </si>
  <si>
    <t>EMOD - Dezvoltarea capacitații instituționale a Agenției Naționale de Integritate pentru eficientizarea fluxurilor interne de lucru si a modului de depunere a declarațiilor de avere si de interese în procesul electoral și annual</t>
  </si>
  <si>
    <t>AA1/01.10.2019</t>
  </si>
  <si>
    <t>Act aditional nr. 1</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</si>
  <si>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</si>
  <si>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</si>
  <si>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</si>
  <si>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</si>
  <si>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</si>
  <si>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</si>
  <si>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</si>
  <si>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</si>
  <si>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</si>
  <si>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</si>
  <si>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</si>
  <si>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</si>
  <si>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</si>
  <si>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</si>
  <si>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</si>
  <si>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</si>
  <si>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Îmbunătăţirea sistemului de monitorizare a tranzacţiilor intracomunitare</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</si>
  <si>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</si>
  <si>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</si>
  <si>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</si>
  <si>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Crearea cadrului strategic si operational
pentru planificarea si reorganizarea la nivel
national si regional a serviciilor de sanatate</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</si>
  <si>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</si>
  <si>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</si>
  <si>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</si>
  <si>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</si>
  <si>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</si>
  <si>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</si>
  <si>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</si>
  <si>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</si>
  <si>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</si>
  <si>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</si>
  <si>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</si>
  <si>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</si>
  <si>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ASOCIAȚIA CREST</t>
  </si>
  <si>
    <t>AA 1/ 12.04.2019, AA2/28.10.2019</t>
  </si>
  <si>
    <t>AA1/28.10.2019</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</si>
  <si>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</si>
  <si>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</si>
  <si>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</si>
  <si>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</si>
  <si>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</si>
  <si>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</si>
  <si>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AA2/01.11.2019</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</si>
  <si>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</si>
  <si>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</si>
  <si>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</si>
  <si>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</si>
  <si>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</si>
  <si>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</si>
  <si>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</si>
  <si>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</si>
  <si>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</si>
  <si>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</si>
  <si>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</si>
  <si>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TRANSPORTURILOR, INFRASTRUCTURII ȘI COMUNICAȚIILOR</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</si>
  <si>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</si>
  <si>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</si>
  <si>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</si>
  <si>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</si>
  <si>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</si>
  <si>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</si>
  <si>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</si>
  <si>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</si>
  <si>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</si>
  <si>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</si>
  <si>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</si>
  <si>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</si>
  <si>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</si>
  <si>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</si>
  <si>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</si>
  <si>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</si>
  <si>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</si>
  <si>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</si>
  <si>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</si>
  <si>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</si>
  <si>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</si>
  <si>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AA2/18.12.2019</t>
  </si>
  <si>
    <t>AA2/18.11.2019</t>
  </si>
  <si>
    <t>AA 2/11.11.2019 prelungire</t>
  </si>
  <si>
    <t>AA1/19.11.2019</t>
  </si>
  <si>
    <t>Dezvoltarea, stimularea și eficientizarea muncii prin agent de muncă temporară și a serviciilor de formare profesională pentru o piață a muncii competitivă și performantă</t>
  </si>
  <si>
    <t>AA4/22.11.2019</t>
  </si>
  <si>
    <t>AA3/25.11.2019</t>
  </si>
  <si>
    <t>AA1/26.11.2019</t>
  </si>
  <si>
    <t>Act adițional nr. 2/27.11.2019 modif fse, bn si cp</t>
  </si>
  <si>
    <t>Îmbunătățirea procesului de reglementare în domeniul transplantului</t>
  </si>
  <si>
    <t>AA1/20.09.2018
AA2/19.09.2019
AA3/02.12.2019</t>
  </si>
  <si>
    <t>Agentia Nationala Anti-Doping</t>
  </si>
  <si>
    <t>OS1. Imbunatatirea cadrului metodologic privind combaterea dopajului în sport, cu accent pe măsuri de conștientizare și prevenire a dopajului în sport prin realizarea, testarea si adoptarea a 4 metodologii de lucru și a unui studiu.                                                                                                        OS2. Actualizarea si imbunatatirea cadrului legislativ pentru implementarea reglementărilor internaționale privind combaterea dopajului în sport, inclusiv a sistemului de monitorizare a dopajului și prevenirea și combaterea traficului ilicit de substanțe dopante cu grad mare de risc, definit și dezvoltat prin realizarea a 5 initiative legislative in consultare activa publica                                                                                                                        OS3. Îmbunătățirea procesului de management și digitalizarea fluxurilor de lucru din cadrul ANAD prin dezvoltarea și implementarea unei platforme informatice pentru servicii electronice care va asigura accesul online la serviciile publice de avizare/autorizare gestionate de ANAD și va furniza digital fluxurile de lucru asociate proceselor de avizare/autorizare din cadrul instituției                                                                                      OS4. Imbunatatirea comopetentelor personalului ANAD prin realizarea unei metodologii de formare a personalului si derularea a 4 programe de formare pentru 49 de angajati ai ANAD</t>
  </si>
  <si>
    <t>Ajustarea legislației relevante privind combaterea dopajului în sport</t>
  </si>
  <si>
    <t>AA2/22.10.2019         AA3/09.12.2019</t>
  </si>
  <si>
    <t>Modernizarea sistemului de evaluare a dizabilităţii din România</t>
  </si>
  <si>
    <t xml:space="preserve">Obiectivul general al proiectului/Scopul proiectului:
Realizarea si implementarea, printr-o abordare in acord cu prevederile Conventiei ONU pentru drepturile persoanelor cu dizabilitati, a unui set de criterii medico-psiho-sociale în vederea încadrării în grad de handicap a persoanelor cu dizabilitati, mecanism ce devine etapa de bază pentru intervenţii individualizate și dezvoltarea serviciilor necesare, precum și pentru utilizarea eficientă a resurselor financiare din cadrul sistemului de protecție.                                                                                                                                                                                                                                                                              OS1. Sistematizarea legislatiei si operationalizarea unui cadru institutional functional în sistemul de evaluare a dizabilității în România, bazat pe o abordare in acord cu obligatiile Romaniei ca stat parte la Conventia ONU pentru protectia drepturilor persoanelor cu dizabilitati                                                                                                                                                                                                                                                                                                                                           OS 2. Cresterea nivelului de expertiza si competenta atat pentru specialistii in cadrul administratiei publice centrale, cat si pentru specialistii din cadrul serviciilor locale de evaluare pentru incadrare in handicap a persoanelor cu dizabilitati. </t>
  </si>
  <si>
    <t>AA1/07.03.2019     AA2/09.12.2019</t>
  </si>
  <si>
    <t>AA2/13.12.2019</t>
  </si>
  <si>
    <t>AA2/13.12.2019 prelungire 5 luni + 1 lună</t>
  </si>
  <si>
    <t>AA1/10.12.2019</t>
  </si>
  <si>
    <t>AA1/21.12.2018
AA2/17.12.2019</t>
  </si>
  <si>
    <t>Sistem de monitorizare a fluxurilor de deșeuri menajere și similare în scopul îmbunătățirii mecanismelor de gestionare a instrumentului economic ”Plătește Pentru Cât Arunci</t>
  </si>
  <si>
    <t>Ministerul Mediului, Apelor și Pădurilor</t>
  </si>
  <si>
    <t>ACADEMIA DE STUDII ECONOMICE DIN BUCURESTI</t>
  </si>
  <si>
    <t>Consolidarea capacitatii institutionale a Ministerului Mediului si a unitatilor din subordine pentru
imbunatatirea politicilor din domeniul biodiversitatii</t>
  </si>
  <si>
    <t xml:space="preserve">1. UNIVERSITATEA DIN        BUCURESTI                                2.INSTITUTUL DE BIOLOGIE                                    3.  AGENTIA NATIONALA PENTRU PROTECTIA MEDIULUI         </t>
  </si>
  <si>
    <t>Consolidarea capacitaþii instituþionale pentru îmbunataþirea politicilor din domeniul schimbarilor
climatice si adaptarea la efectele schimbarilor climatice</t>
  </si>
  <si>
    <t>1. AGENTIA NATIONALA PENTRU PROTECTIA MEDIULUI                                  2. GARDA NATIONALA DE MEDIU                                       3. UNIVERSITATEA DIN BUCURESTI                                 4. AGENŢIA NAŢIONALĂ PENTRU ARII NATURALE PROTEJATE</t>
  </si>
  <si>
    <t>AA2/26.08.2019;
AA3/18.12.2019</t>
  </si>
  <si>
    <t>AA2/13.09.2019
AA3/13.12.2019</t>
  </si>
  <si>
    <t>AA1/19.12.2019</t>
  </si>
  <si>
    <t>Îmbunătățirea Calității și Performanței Serviciilor Spitalicești prin Evaluarea Costurilor și Standardizare (CaPeSSCoSt)</t>
  </si>
  <si>
    <t>1. ȘCOALA NAȚIONALĂ DE SĂNĂTATE PUBLICĂ, MANAGEMENT ȘI PERFECȚIONARE ÎN DOMENIUL SANITAR BUCUREȘTI                                2.AUTORITATEA NAŢIONALĂ DE MANAGEMENT AL CALITĂŢII ÎN SĂNĂTATE       CASA NATIONALA DE ASIGURARI DE SANATATE</t>
  </si>
  <si>
    <t>INSTITUTUL NATIONAL DE STATISTICA</t>
  </si>
  <si>
    <t>Management performant la nivelul DGRIP, DGCTI, DSG și instituțiile prefectului</t>
  </si>
  <si>
    <t xml:space="preserve">Ministerul Afacerilor Interne </t>
  </si>
  <si>
    <t>Obiectivul general al proiectului este crearea si dezvoltarea unui cadru unitar pentru managementul calitații si performanței la nivelul DGRIP, DGCTI, DSG si la nivelul celor 42 Instituții ale Prefectului.
Obiectivele specifice ale proiectului:
1. Eficientizarea activitații organizaționale prin implementarea Instrumentului de auto-evaluare a modului de funcționare a instituțiilor administrației publice (CAF) in DGRIP, DGCTI si cele 42 Instituții ale Prefectului.
2. Cresterea performanței organizaționale prin implementarea sistemului integrat de management al performanței organizaționale compus din sistemul de management Balanced Scorecard (BSC) implementat la nivelul DGRIP, DGCTI si 42 Instituții ale Prefectului si din Document Management System (DMS) mplementat la nivel central (DGRIP, DGCTI, DSG) si Instituții ale
Prefectului invederea autoamatizarii fluxurilor de colaborare pe orizontala intre prefecturi si pe veriticala intre DGRIP si prefecturi.
3. Cresterea capacitații personalului de a implementa sisteme si instrumente unitare de management al calitații si performanței prin pregatirea specifica a personalului din cadrul MAI (DGRIP, DGCTI, DSG) si al celor 42 Instituții ale Prefectului.</t>
  </si>
  <si>
    <t>În implementare</t>
  </si>
  <si>
    <t>Cresterea capacitatii administrative a ANC si MMJS prin sistematizare si simplificare legislativa in domeniul calificarilor</t>
  </si>
  <si>
    <t>AUTORITATEA NATIONALA PENTRU CALIFICARI A.N.C.</t>
  </si>
  <si>
    <t>MINISTERUL MUNCII SI JUSTITIEI SOCIALE/secretar general</t>
  </si>
  <si>
    <t>Obiectivul general al proiectului este de a dezvolta și implementa standarde pentru creșterea calității educației și formării profesionale în Romania prin eficientizarea fondului de reglementare pentru definirea calificărilor și prin armonizarea legislației care vizează sistemul național de calificări.
Obiectivele specifice ale proiectului:
1. OS1 – revizuirea reglementarilor privind sistemul national al calificarilor prin completarea fondului legislativ existent cu un numar de 5 propuneri de acte normative..
2.OS2 – dezvoltarea unui instrument standardizat de evaluare pentru calificari in vederea cresterii calitatii procesului de evaluare a competentelor profesionale.
3. OS3 – operationalizarea registrului national al calificarilor prin corelarea calificarilor cu COR si CNC prin elaborarea/revizuirea unui numar de 250 standarde ocupationale.
4. OS4 – dezvoltarea competentelor personalului ANC si MMJS, de la nivel central și din structuri subordonate, pentru transpunerea unitară a legislației din domeniul calificărilor si pentru comunicare transparentă și eficientă cu stakeholderii.</t>
  </si>
  <si>
    <t>Creșterea gradului de transparență în administrația publică locală și facilitarea accesului cetățeanului la serviciile publice în format electronic la nivelul Municipiului Brad</t>
  </si>
  <si>
    <t>Brad</t>
  </si>
  <si>
    <t>Obiectivul general al proiectului constă în consolidarea capacității instituționale și eficientizarea activității la nivelul Municipiului Brad, prin simplificarea procedurilor administrative și reducerea birocrației pentru cetățeni, implementând măsuri din perspectivă back-office (adaptarea procedurilor interne de lucru, digitalizarea arhivelor), și front-office pentru serviciile publice furnizate.
Obiectivele specifice ale proiectului
1. OS1. Implementarea unor măsuri de simplificare pentru cetățeni, în legătură cu Planul integrat pentru simplificarea procedurilor administrative aplicabile cetățenilor, atât din perspectivă back-office (adaptarea procedurilor interne de lucru, digitalizarea arhivelor), cât și front-office. În acest sens sunt avute în vedere achiziția și implementarea unei platforme integrate pentru arhivarea electronică, respectiv a unei platforme integrate (portal web, aplicație pentru dispozitive mobilă) pentru servicii electronice complete (inclusiv semnătură electronică), a unui terminal interactiv de tip self-service pentru servicii electronice. Platforma integrată pentru servicii electronice este bazată pe implementarea următoarelor principii: One Stop Shop pentru livrarea de servicii publice electronice; utilizarea inteligentă a informațiilor disponibile prin aplicarea principiului înregistrării "o singură dată" a datelor – conceptul  de identitate electronică a cetățeanului; spațiul privat virtual al cetățeanului în relația cu primăria.
2. OS2. Dezvoltarea cunoștințelor și abilităților personalului din cadrul Municipiului Brad, în vederea sprijinirii măsurilor vizate de proiect. Este avută în vedere formarea/instruirea, evaluarea/testarea și certificarea competențelor/cunoștințelor dobândite pentru 55 persoane din cadrul grupului țintă, în ceea ce privește utilizarea soluțiilor informatice implementate în cadrul proiectului . Obiectivul general al serviciilor de instruire îl constituie familiarizarea cu componentele soluţiei informatice implementate, prin însuşirea cunoştinţelor necesare utilizării aplicaţiilor, deprinderea funcţionalităţilor și a modului de folosire a acestora, înțelegerea implicațiilor și avantajelor raportate la realizarea obiectivelor specifice aferente proiectului.</t>
  </si>
  <si>
    <t>EDU Digital - Propunere alternativa de politica publica pentru simplificarea cadrului legislativ în educaþie</t>
  </si>
  <si>
    <t>AA1/20.08.2019            AA2/19.12.2019</t>
  </si>
  <si>
    <t>Sistem INTEGRAT de Management în Sistemul de Asigurari Sociale de Sanatate</t>
  </si>
  <si>
    <t>CASA NAȚIONALĂ DE ASIGURARI DE SĂNĂTATE</t>
  </si>
  <si>
    <t>AA/03.02.2020</t>
  </si>
  <si>
    <t>Omdrapfe nr. 222/23.01.18; Omlpda nr. 991/03.02.2020</t>
  </si>
  <si>
    <t>Întărirea capacității autorității publice centrale în domeniul managementului apelor în scopul implementării Strategiei Naționale de Management al Riscului la Inundații (SNMRI) pe termen mediu și lung</t>
  </si>
  <si>
    <t>finalizat</t>
  </si>
  <si>
    <t>Cresterea capacitatii institutionale pentru dezvoltarea nationala coordonata a ingrijirilor paleative si ingrijirilor la domiciliu (PAL PLAN)</t>
  </si>
  <si>
    <t>1. CASA NATIONALA DE ASIGURARI DE SANATATE    2. AUTORITATEA NAŢIONALĂ DE MANAGEMENT AL CALITĂŢII ÎN SĂNĂTATE  3.MINISTERUL MUNCII ȘI PROTECȚIEI SOCIALE          4. FUNDATIA HOSPICE CASA SPERANTEI</t>
  </si>
  <si>
    <t>Obiectiv general: Proiectul vizeaza crearea si introducere a unui mecanism unitar si fluent de planificare, dezvoltare, evaluare si monitorizare a unui sistem national de ingrijiri paliative (IP) si de ingrijiri generale la domiciliu (ID), in sensul ingrijirilor medicale si serviciilor de îngrijire personală (activităţi de bază ale vieţii zilnice si activităţi instrumentale ale vieţii zilnice), pentru asigurarea asistentei persoanelor suferind de boli cronice progresive sau incurabile, si a celor cu grad ridicat de dependenta.                                                                                            OS 1: Dezvoltarea capacității autorităților publice centrale de a elabora politici publice bazate pe dovezi in vederea cresterii accesului la servicii de calitate. 
OS 2:Dezvoltarea coordonata la nivel national si integrarea IP si ID in sistemul de sanatate                                                                                                                         OS 3: Armonizarea si simplificarea reglementarilor legislative privind ingrijirile paliative si ingrijirile la domiciliu pentru cresterea accesului la servicii de calitate</t>
  </si>
  <si>
    <t>în implementare</t>
  </si>
  <si>
    <t>AA3/02.03.2020</t>
  </si>
  <si>
    <t>CP 13 more/2019</t>
  </si>
  <si>
    <t>Instrumente pentru reducerea birocrației în serviciile de asistență socială la nivelul Sectorului 1 al Municipiului București</t>
  </si>
  <si>
    <t>DIRECTIA GENERALA DE ASISTENTA SOCIALA SI PROTECTIA COPILULUI SECTOR 1</t>
  </si>
  <si>
    <t>Cresterea calitatii serviciilor publice si simplificare adminisrativa</t>
  </si>
  <si>
    <t>DIRECTIA GENERALA DE ASISTENTA SOCIALA SI PROTECTIA COPILULUI SECTOR 3</t>
  </si>
  <si>
    <t>AA1/21.11.2019; AA2/20.03.2020</t>
  </si>
  <si>
    <t>AA1/19.03.2020</t>
  </si>
  <si>
    <t>Valoarea neeligibilă a proiectului</t>
  </si>
  <si>
    <t>CP 13 less/2019</t>
  </si>
  <si>
    <t>Municipiul Blaj – Administratie publica
inteligenta si participativa</t>
  </si>
  <si>
    <t>Promovarea dezvoltarii urbane durabile prin
elaborarea documentelor de planificare
strategica pentru perioada 2021-2027 -
PLANIFIC</t>
  </si>
  <si>
    <t>Continuarea simplificarii procedurilor
administrative si reducerea birocraþiei
pentru cetaþeni prin digitalizarea serviciilor
publice</t>
  </si>
  <si>
    <t>Ialomita</t>
  </si>
  <si>
    <t>Strategie inteligentă bazată pe integrare și urbanizare smart - SIBIU SMART</t>
  </si>
  <si>
    <t>Planificare strategică în municipiul Deva pe termen mediu și lung și acces mai facil al cetățenilor la servicii publice gestionate partajat de către UAT municipiul Deva</t>
  </si>
  <si>
    <t>Obiectivul general al proiectului
Consolidarea capacitatii institutionale si eficientizarea activitatilor la nivelul Municipiului Deva prin utilizarea mecanismelor/ instrumentelor de planificare strategica pe termen mediu si lung in procesul de dezvoltare economico sociala a municipiului in perioada programatica 2021-2027 si ulterior si simplificarea procedurilor administrative si reducerea birocratiei pentru cetateni implementand masuri din perspectiva back-office cat si front-office pentru servicii partajate in responsabilitatea administratiei publice locale.
Obiectivele specifice ale proiectului
1. OS1 - Asigurarea unei mobilitati urbane durabile in municipiul Deva prin eleborarea unui Plan de mobilitate urbana durabila ca
instrument strategic de planificare a dezvoltarii in perioada programatica 2021-2027.
2. OS2 - Asigurarea unei dezvoltari durabile si coerente in municipiul Deva prin elaborarea unei Strategii integrate pentru dezvoltare
urbana (SIDU) ca instrument strategic de planificare a dezvoltarii in perioada programatica 2021-2027
3. OS3 - Implementarea unor proceduri simplificate in domeniul serviciilor partajate pentru reducerea birocratiei pentru cetateni, in
corespondenta cu Planul integrat pentru simplificarea procedurilor administrative aplicabile cetatenilor, atat din perspectiva backoffice
cat si front-office.</t>
  </si>
  <si>
    <t>Optimizarea proceselor orientate către cetățeni în Municipiul Onești</t>
  </si>
  <si>
    <t>119 - Investiții în capacitatea instituțională și în eficiența administrațiilor și a serviciilor publice la nivel național, regional și local, în perspectiva realizării de reforme, a unei mai bune legiferări și a bunei guvernanțe119 - Investiții în capacitatea instituțională și în eficiența administrațiilor și a serviciilor publice la nivel național, regional și local, în perspectiva realizării de reforme, a unei mai bune legiferări și a bunei guvernanțe</t>
  </si>
  <si>
    <t>Planificarea si managementul mobilității urbane durabile prin elaborarea PMUD</t>
  </si>
  <si>
    <t>REFORMA - Investiții pentru creșterea
capacitații instituționale și eficienta serviciilor administrației publice locale</t>
  </si>
  <si>
    <t>AA nr.3/07.05.2020 prelungire si modif fse, bn si cp</t>
  </si>
  <si>
    <t>Servicii publice partajate digitalizate -
Continuarea simplificarii procedurilor
administrative si reducerea birocratiei
pentru cetateni in Municipiul Giurgiu
(SEPAR)</t>
  </si>
  <si>
    <t>Simplificarea procedurilor administrative si
elaborare SIDU si PMUD la nivelul
Municipiului Râmnicu Vâlcea</t>
  </si>
  <si>
    <t>Consolidarea capacitații instituționale si eficientizarea activitații la nivelul Municipiului Drobeta Turnu
Severin</t>
  </si>
  <si>
    <t>Planificare strategică și implementarea de proceduri și instrumente informatice pentru simplificarea procedurilor administrative și reducerea birocrației pentru cetățeni în domeniul socio-medical și planificare urbană la nivelul Municipiului Reghin</t>
  </si>
  <si>
    <t>Municipiul Reghin</t>
  </si>
  <si>
    <t>Dezvoltarea capacității de planificare strategică și implementare a unui sistem informatic integrat în municipiul Piatra Neamț</t>
  </si>
  <si>
    <t>Obiectivul general al proiectului consta in consolidarea capacitatii administrative a Municipiului Piatra Neamt prin dezvoltarea capacitatii de
planificare strategica si prin simplificarea procedurilor administrative, corelata cu introducerea unui sistem informatic de servicii electronice
integrat cu o platforma de management informational geografic - GIS, fapt ce va determina cresterea calitatii actului administrativ pe
termen lung.
Obiectivele specifice ale proiectului
1. OS 1. Dezvoltarea capacitatii de planificare strategica la nivelul administratiei publice locale din Municipiul Piatra Neamt prin
realizarea Strategiei Smart City si Strategiei de dezvoltare durabila 2021 – 2027.
2. OS 2. Eficientizarea si simplificarea serviciilor furnizate cetatenilor de catre Primaria Muncipiului Piatra Neamt prin implementarea
unui sistem informatic de servicii electronice integrat cu o platforma de management informational geografic – GIS.
3. OS 3. Promovarea modernizarii in administratia publica locala din Municipiul Piatra Neamt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</si>
  <si>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Implementarea cadrului instituțional de dezvoltare strategică la nivelul Județului Timiș</t>
  </si>
  <si>
    <t>Județul Timiș</t>
  </si>
  <si>
    <t>Simplificare administrativă extinsă și Planificare strategică integrată pentru cetățenii municipiului Sighișoara</t>
  </si>
  <si>
    <t>Obiectivul general al proiectului vizeaza cresterea capacitații administrative a Municipiului Sighisoara prin fundamentarea procesului
decizional si planificarii strategice si implementarea unor masuri de simplificare a procedurilor administrative în beneficiul cetațenilor.
Obiectivele specifice ale proiectului
1. OS1. Fundamentarea procesului de planificare strategica si bugetara la nivelul Municipiului Sighisoara prin Strategiei de
Dezvoltare Locala a Municipiului Sighisoara pentru perioada 2021-2027 si a Planului strategic institutional aferent perioadei
2021-2022.
2. OS2. Sustinerea masurilor de simplificare atat din perspectiva back-office cat si front-office prin implementarea unei solutii
informatice de lucru colaborativ si digitalizarea a 11 formulare de asistenta sociala.
3. OS3. Îmbunatatirea cunostintelor si abilitatilor personalului din cadrul Primariei, Consiliului Local si Directiei de Asistenta Sociala.</t>
  </si>
  <si>
    <t>Planificare strategică și financiară în județul Sălaj</t>
  </si>
  <si>
    <t>Echilibru și Dinamism</t>
  </si>
  <si>
    <t xml:space="preserve">   AA1/24.07.2019  AA2/18.05.2020 prelungire 5 luni, fse, bn, cp</t>
  </si>
  <si>
    <t>Fundamentarea deciziilor, planificare strategică și măsuri simplificate pentru cetățeni la nivelul administrației publice a municipiului Călărași</t>
  </si>
  <si>
    <t>Călărași</t>
  </si>
  <si>
    <t>i.R.E.M - Institutii Responsabile, Eficienta Manageriala</t>
  </si>
  <si>
    <t>Organizarea unei Planificări Echilibrate a Nevoilor Municipiului Reșița - O.P.E.N. Municipiul Reșița</t>
  </si>
  <si>
    <t>Universitatea Babes Bolyai</t>
  </si>
  <si>
    <t>Municipiul Reșița</t>
  </si>
  <si>
    <t>Fundamentarea deciziilor, planificarea strategică si masuri de simplificare pentru cetățeni la nivelul Municipiului Marghita</t>
  </si>
  <si>
    <t>Municipiul Marghita</t>
  </si>
  <si>
    <t>Obiectivul general al proiectului este consolidarea capacitatii administrative a Municipiului Marghita prin implementarea de masuri
pentru imbunatatirea planificarii strategice, respectiv masuri de simplificare pentru cetateni.
1. OS1. Imbunatatirea planificarii strategice a Municipiului Marghita pentru perioada 2021-2027 prin elaborarea urmatoarelor documente
strategice:
- Strategia integrata de dezvoltare urbana a Municipiului Marghita,
- Planul de mobilitate urbana durabila a Municipiului Marghita, respectiv
- Programul de Imbunatatire a Eficientei Energetice a Municipiului Marghita.
2. OS2: Simplificarea procedurilor administrative si reducerea birocratiei pentru cetateni prin achizitia de date din teren si integrarea
acestora intr-o solutie geospatiala (GIS) aferenta intravilanului Municipiului Marghita.</t>
  </si>
  <si>
    <t>Marghita</t>
  </si>
  <si>
    <t>Planificare strategică, simplificare administrativă și optimizare a unor servicii pentru cetățeni, la nivelul județului Buzău</t>
  </si>
  <si>
    <t>Obiectivul general al proiectului a constat în îmbunatatirea accesibilitatii zonelor turistice cu potential demonstrat ale judetului Buzau si a
mobilitatii populatiei, bunurilor si serviciilor, în vederea stimularii economice durabile.
Obiectivul specific al proiectului l-a reprezentat reabilitarea si modernizarea, într-o perioada de 27 de luni, a retelei de 57,89 km drumuri
din zona Pietroasele – Merei – Monteoru – Vernesti – Hales – Ciuta, judetul Buzau.</t>
  </si>
  <si>
    <t>Fundamentarea procesului decizional strategic în vederea promovării dezvoltării urbane durabile – PROSPER</t>
  </si>
  <si>
    <t>Împreună pentru Ialomița – Strategia de dezvoltare a județului Ialomița 2021-2027 și servicii publice accesibile pentru cetățeni</t>
  </si>
  <si>
    <t>Județul Ialomița</t>
  </si>
  <si>
    <t>Obiectivul general al proiectului este: Imbunatatirea procesului decizional si de planificare strategica la nivelul CJ Ialomita prin
introducerea unor mecanisme si proceduri standard (metode si instrumente) de fundamentare a deciziilor, corelarea acestora cu resursele
existente si care pot fi atrase, simplificarea proceselor care vizeaza interactiunea directa cu cetatenii si dezvoltarea competentelor
personalului aparatului de specialitate in vederea implementarii si utilizarii acestora.
Obiectivele specifice ale proiectului
1. OS 1 - Consolidarea procesului decizional, a capacitatii de planificare strategica la nivelul CJ Ialomita prin elaborarea Strategiei
de Dezvoltare a Judetului Ialomita 2021-2027 si dezvoltarea competentelor angajatilor CJ Ialomita in domeniul planificarii
strategice
2. OS 2 - Simplificarea si eficientizarea serviciilor partajate specifice oferite cetatenilor din Judetul Ialomita prin dezvoltarea si
implementarea unui sistem informatic care sa permita depunerea documentatiei online de catre cetateni pentru serviciile oferite
3. OS 3 – Simplificarea si eficientizarea accesului la documente cu valoare operationala in prezent (din perspectiva back-office, dar
cu impact real la nivelul beneficiarului final - cetateanul), prin retro-digitalizarea arhivei CJ Ialomita</t>
  </si>
  <si>
    <t>Investiții integrate și complementare în măsuri
de planificare strategice și măsuri de simplificare la nivelul Municipiului Ploiești</t>
  </si>
  <si>
    <t>Servicii publice partajate eficiente -
Continuarea simplificării procedurilor administrative și reducerea birocrației pentru cetățeni prin
digitalizarea serviciilor publice partajate în Municipiul Caransebeș (SPRE)</t>
  </si>
  <si>
    <t>Acțiuni pentru o administrație publică deschisă și receptivă la soluții inovatoare</t>
  </si>
  <si>
    <t>Municipiul Orșova</t>
  </si>
  <si>
    <t>Orsova</t>
  </si>
  <si>
    <t>Planificare Strategică - Municipiul Vaslui</t>
  </si>
  <si>
    <t>Planificare strategică și măsuri de simplificare pentru cetățeni la nivelul Municipiului Târgu Mureș</t>
  </si>
  <si>
    <t>Municipiul Târgu Mureș</t>
  </si>
  <si>
    <t>Obiectivul general al proiectului consta in consolidarea capacitatii administrative a Municipiului Tirgu Mures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Tirgu Mures prin
actualizarea Strategiei Integrata de Dezvoltare Urbana, actualizarea Planului de Mobilitate Urbana Durabila si realizarea
Strategiei Smart City
2. OS2 Eficientizarea si simplificarea serviciilor gestionate partajat catre Primaria Muncipiului Tirgu Mures prin implementarea unei
solutii de portal cu servicii digitale si retrodigitalizarea arhivei
3. OS3-Intarirea capacitatii institutionale in cadrul Primariei Municipiului Tirgu Mures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</si>
  <si>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DINAMIC – Dâmbovița – interacțiuni la nivel administrativ între modernizare, interconectivitate, competențe</t>
  </si>
  <si>
    <t>Dambovita</t>
  </si>
  <si>
    <t>Consolidarea capacității administrative prin adoptarea de instrumente ale planificării strategice pentru buna gestiune financiară a proceselor dezvoltării locale în Municipiul Dej</t>
  </si>
  <si>
    <t>Consolidarea Capacității Administrative a UAT Municipiul Brad</t>
  </si>
  <si>
    <t>Municipiul Brad</t>
  </si>
  <si>
    <t>Obiectivul general al proiectului il reprezinta consolidarea capacitatii administrative si eficientizarea activitatii la nivelul autoritatii publice
locale prin fundamentarea deciziilor si planificarea strategica pe termen lung, prin corelarea SIDU si PMUD cu documente strategice
nationale pentru perioada 2021-2027.
Obiectivele specifice ale proiectului
1. Dezvoltarea capacitatii administrative necesare a Municipiului Pitesti in vederea fundamentarii deciziilor si planificarii strategice pe
termen lung urmare a actualizarii Strategiei integrate de dezvoltare urbana si a Planului de mobilitate urbana durabila pentru
urmatorul cadru financiar aferent perioadei 2021 – 2027
2. Imbunatatirea cunostintelor si abilitatilor personalului de conducere si executie din Primaria Municipiului Pitesti, in vederea
sprijinirii masurilor vizate de proiect.</t>
  </si>
  <si>
    <t>BISTRIȚA 2030</t>
  </si>
  <si>
    <t>OBIECTIVE SPECIFICE:                                                                                                                                                                                       1. Actualizarea Strategiei de Dezvoltare Locala (SIDU) si a Planului de Mobilitate Urbana Durabila (PMUD) pentru urmatoarea perioada de programare a fondurilor europene 2021-2027;
2. Realizarea Planului Strategic Institutional (PSI) aferent perioadei 2021-2022;
3. Dezvoltarea abilitatilor unui numar de 40 de angajati/ alesi locali ai Municipiului Bistrita, prin organizarea unui curs de formare in domeniul planificare strategica si unui schimb de experienta la care vor participa 12 persoane</t>
  </si>
  <si>
    <t>Municipiul Bistrița</t>
  </si>
  <si>
    <t>Digitalizare, eficiență, transparență pentru cetățeni - DETC</t>
  </si>
  <si>
    <t>Digitalizarea serviciilor sociale și medicale
aflate în competenta Consiliului Județean Brașov</t>
  </si>
  <si>
    <t>DGASPC BRASOV</t>
  </si>
  <si>
    <t>Municipiul Câmpulung Moldovenesc</t>
  </si>
  <si>
    <t>Planificare strategică și simplificarea procedurilor administrative la nivelul Municipiului Câmpulung Moldovenesc</t>
  </si>
  <si>
    <t>Câmpulung Moldovenesc</t>
  </si>
  <si>
    <t>Îmbunătățirea capacității de planificare prin actualizarea documentelor strategice și creșterea calității serviciilor furnizate de Municipiul Iași</t>
  </si>
  <si>
    <t>Municipiul Iași</t>
  </si>
  <si>
    <t>Obiectivul general al proiectului
Imbunatatirea procesului de luare a deciziei la nivelul Municipiului Iasi prin introducerea unor metode si sisteme coerente de fundamentare
a deciziilor, corelarea acestora cu resursele disponibile si pregatirea personalului aparatului de specialitate in vederea utilizarii acestor
instrumente.
Obiectivele specifice ale proiectului
1. Imbunatatirea corelarii intre masurile si planurile de actiune din principalele documente de politici publice si activitatile de
planificare bugetara si alocare a resurselor de catre autoritatea publica locala Municipiul Iasi prin actualizarea Strategiei Integrate
de Dezvoltare Urbana a Municipiului Iasi si a Planului de Mobilitate Urbana Durabila pentru Polul de Crestere Iasi pentru perioada
post 2020.
2. Implementarea unor masuri de simplificare in corespondenta cu Planul Integrat pentru simplificarea procedurilor administrative din
perspectiva back-office (adaptarea procedurilor interne de lucru, digitalizarea arhivelor).
3. Dezvoltarea cunostintelor si abilitatilor personalului din cadrul Primariei Municipiului Iasi, in vederea sprijinirii masurilor vizate de
proiect. Este avuta in vedere formarea si certificarea competentelor/cunostintelor dobândite pentru 30 persoane din cadrul
grupului tinta, in domeniul planificarii strategice si al politicilor publice locale. Obiectivul general al serviciilor de instruire il
constituie familiarizarea persoanelor din grupul tinta cu implicatiile conceptului de planificarea strategica. De asemenea, sunt
vizate dezvoltarea competentele si abilitatilor a 110 persoane angajate in cadrul Directiei Generale Economice si Finante Publice
Locale pentru utilizarea sistemelor informatice aferente sistemului de arhivare digitala a documentelor.</t>
  </si>
  <si>
    <t>Asistență socială integrată in Municipiul Lugoj prin digitalizarea serviciilor publice partajate și continuarea simplificării procedurilor administrative și reducerii birocrației pentru cetățeni - ASIGUR</t>
  </si>
  <si>
    <t>Municipiul Lugoj</t>
  </si>
  <si>
    <t>Consiliul Local Lugoj – Direcția de Asistență Publică Comunitară Lugoj</t>
  </si>
  <si>
    <t>Planificare strategică și simplificarea procedurilor administrative la nivelul Municipiului Fălticeni</t>
  </si>
  <si>
    <t>Municipiul Fălticeni</t>
  </si>
  <si>
    <t>Fălticeni</t>
  </si>
  <si>
    <t>AA1/03.06.2020 prelungire</t>
  </si>
  <si>
    <t>AA4/02.03.2020              AA5/02.06.2020 durata, VTE, FSE, UE, CP</t>
  </si>
  <si>
    <t>Proceduri simplificate de reducere a birocrației pentru cetățeni</t>
  </si>
  <si>
    <t>Municipiul Odorheiu Secuiesc</t>
  </si>
  <si>
    <t>Odorheiu Secuiesc</t>
  </si>
  <si>
    <t>135061</t>
  </si>
  <si>
    <t>Dezvoltare strategică și eficiența administrativă - Județul Dolj</t>
  </si>
  <si>
    <t>Obiectivele specifice ale proiectului
1. Obiectiv specific 1: Imbunatatirea procesului decizional, a planificarii strategice la nivelul Consiliului Judetean Dolj pentru perioada
2021-2027.
2. Obiectiv specific 2 Simplificarea accesului cetatenilor la serviciile gestionate de catre Consiliul Judetean Dolj in domeniul
urbanismului si amenajarii teritoriului - competente partajate.
3. Obiectiv specific 3 Imbunatatirea cunostintelor si abilitatilor personalului din cadrul Consiliului Judetean Dolj, in domeniile:
fundamentarea deciziilor si planificare strategica; instrumente de simplificare a accesului cetatenilor la servicii de urbanism si
amenajarea teritoriului.</t>
  </si>
  <si>
    <t>Management administrativ performant și orientat către cetățeni la nivelul UAT - Județul Suceava</t>
  </si>
  <si>
    <t>Judetul Suceava</t>
  </si>
  <si>
    <t>Simplificarea procedurilor administrative la nivelul Municipiului Vatra Dornei</t>
  </si>
  <si>
    <t>Municipiul Vatra Dornei</t>
  </si>
  <si>
    <t>Inovare și performanță în administrația publică a Consiliului Județean Vrancea</t>
  </si>
  <si>
    <t>Obiectivul general al proiectului este Cresterea calitatii si a performantei serviciilor publice din cadrul CJ Vrancea, ca urmare a
implementarii de strategii pe termen lung si a aplicarii de masuri de reducere a birocratiei si simplificare a procedurilor pentru cetatenii
Judetului Vrancea.
Modelul reuneste functii complementare necesare (Mecanisme si proceduri standard implementate la nivel local pentru fundamentarea
deciziilor si planificarea strategica pe termen lung, Proceduri simplificate pentru reducerea birocratiei pentru cetateni la nivel local corelate
cu Planul integrat de simplificare a procedurilor administrative pentru cetateni implementate, Cunostinte si abilitati ale personalului din
autoritatile si institutiile publice locale imbunatatite, in vederea sprijinirii masurilor/actiunilor vizate in proiect) pentru a genera un impact pe
termen lung care sa contribuie la o mai buna functionare a administratiei publice locale, astfel incat sa se alinieze la nivelul standardelor
europene din punct de vedere al calitatii si managementului serviciilor publice.</t>
  </si>
  <si>
    <t>Judetul Vrancea</t>
  </si>
  <si>
    <t>Simplificarea procedurilor administrative la nivelul Municipiului Gherla</t>
  </si>
  <si>
    <t>Municipiul Gherla</t>
  </si>
  <si>
    <t>Gherla</t>
  </si>
  <si>
    <t>Accesul direct al cetățeanului la serviciile socio-medicale ale Municipiului Baia Mare</t>
  </si>
  <si>
    <t>Planificare strategică și simplificare administrativă pentru cetățenii municipiului Codlea</t>
  </si>
  <si>
    <t>Performanță, transparență și eficiență în slujba cetățeanului în administrația locală Dorohoi</t>
  </si>
  <si>
    <t>Municipiul Dorohoi</t>
  </si>
  <si>
    <t>Asociația Centrul de Resurse în domeniul Științelor Socio-Umane</t>
  </si>
  <si>
    <t>Consolidarea capacitatii administrative si cresterea calitatii si eficientei serviciilor publice gestionate partajat de catre Municipiul Dorohoi
prin investitii integrate de simplificare a procedurilor institutionale si de reducere a birocratiei pentru cetateni, corelate cu dezvoltarea
capacitatii de planificare strategica pe termen lung.
Obiectivele specifice ale proiectului
1. OS1. Implementarea unui sistem informatic integrat, care sa sustina simplificarea si optimizarea procedurilor administrative pentru
cetateni la nivelul municipiului Dorohoi atât din perspectiva back-office, cât si front-office, inclusiv digitalizarea partiala a arhivei;
2. OS2. Îmbunatatirea procesului decizional si a capacitatii de planificare strategica din cadrul UAT Dorohoi prin elaborarea
Strategiei integrate de dezvoltare urbana (SIDU) si a Planului de mobilitate urbana durabila (PMUD), documente strategice care
sa raspunda nevoilor si exigentelor de finantare pentru urmatoarea perioada de programare a fondurilor europene 2021 – 2027;</t>
  </si>
  <si>
    <t>Dorohoi</t>
  </si>
  <si>
    <t>AA2/19.02.2020, I3 - durata , AA4/16.06.2020</t>
  </si>
  <si>
    <t>Act aditional nr. 1/13.09.2018 , AA2/16.06.2020 - durata</t>
  </si>
  <si>
    <t>Educația - un pas înainte!</t>
  </si>
  <si>
    <t>Planificare strategică și digitalizare urbană
pentru municipiul Roman</t>
  </si>
  <si>
    <t>Acțiuni de simplificare a procedurilor administrative și de planificare strategică pentru cetățenii din municipiul Oradea și zona metropolitană</t>
  </si>
  <si>
    <t>Obiectivul general al proiectului
Consolidarea capacitatii administrative la nivelul administratiei publice locale din Municipiul Oradea si Zona Metropolitana prin dezvoltarea
de mecanisme si documente de planificare stategica, precum si simplificarea administrativa a serviciilor publice orientate catre cetateni.
Acestea vor viza procesul de planificare strategica de durata, imbunatatirea abilitatilor personalului Primariei Municipiului Oradea si
continuarea implementarii masurilor de reducere a birocratiei pentru cetateni.
Obiectivele specifice ale proiectului
1. Imbunatatirea, integrarea si extinderea procesului de planificare strategica pentru perioada 2021-2027 la nivelul Municipiului
Oradea si Zonei Metropolitana Oradea.
2. Simplificarea procedurilor administrative in vederea reducerii birocratiei pentru cetatenii din Municipiul Oradea.
3. Imbunatatirea cunostintelor si abilitatilor personalului din cadrul Primariei Municipiului Oradea in domenii-cheie privind dezvoltarea
teritoriala integrata.</t>
  </si>
  <si>
    <t>Eficiență și performanță în administrația publică locală a municipiului Botoșani</t>
  </si>
  <si>
    <t>Obiectivul general: Imbunatatirea planificarii strategice, simplificarea procedurilor administrative si reducerea birocratiei, prin dezvoltarea si
implementarea urmatoarelor masuri: actualizarea si implementarea unor strategii de dezvoltare in plan local, o solutie informatica unitara,
cat si dezvoltarea cunostintelor personalului de la nivelul UAT Mun.Botosani in scopul implementarii si utilizarii optime a masurilor realizate
in proiect.
Obiectivele specifice ale proiectului
1. Obiectiv specific 1.Imbunatatirea procesului de planificare strategica la nivelul UAT Mun. Botosani prin actualizarea si
implementarea unei Strategii integrate de dezvoltare urbana (SIDU) si a unui Plan de mobilitate urbana durabila (PMUD) a
Municipiului Botosani aferente perioadei 2021-2027.
2. Obiectiv specific 2. Dezvoltarea si implementarea unei solutii informatice unitare care sa sustina simplificarea procedurilor
administrative si reducerea birocratiei in Municipiului Botosani.
3. Obiectiv specific 3. Instruirea personalului din cadrul UAT Municipiului Botosani pentru planificare strategica si utilizarea optima a
solutiei informatice unitare prin proiect.</t>
  </si>
  <si>
    <t>Municipiul Alba Iulia</t>
  </si>
  <si>
    <t>Cresterea calitatii procesului decizional la nivelul UAT Alba Iulia pentru a raspunde in mod fundamentat si coerent nevoilor comunitatii
locale.
Obiectivele specifice ale proiectului
1. OS1 Dezvoltarea de instrumente de fundamentare si planificare a deciziilor la nivelul UAT Alba Iulia prin actualizarea PMUD pe
parcursul a 18 luni
2. OS2 Dezvoltarea si implementarea unei platforme de date deschise orientate catre publicul larg in vederea reducerii birocratiei
pentru cetatenii UAT Alba Iulia pe parcursul a 18 luni
3. OS3 Dezvoltarea cunostintelor si abilitatilor personalului din cadrul UAT Alba Iulia in vederea sprijinirii masurilor si actiunilor vizate
de proiect pentru 28 persoane</t>
  </si>
  <si>
    <t>AA nr.1/18.11.2019                  Nota suspendare 2 luni, IL4/29.04.2020</t>
  </si>
  <si>
    <t>Planificare strategică și simplificarea procedurilor administrative în Municipiul Râmnicu Sărat</t>
  </si>
  <si>
    <t>Planificare strategica si accesibilizare a serviciilor oferite de administrația locală în municipiul Carei</t>
  </si>
  <si>
    <t>Bacău Smart County</t>
  </si>
  <si>
    <t>Autoritatea Națională de Reglementare în Domeniul Energiei</t>
  </si>
  <si>
    <t>Dezvoltarea capacității instituționale a Autorității Naționale de Reglementare în Domeniul Energiei pentru simplificarea procesului de schimbare a furnizorului de energie electrica si de gaze naturale</t>
  </si>
  <si>
    <t>Măsuri și instrumente pentru planificare strategica si simplificare a procedurilor administrative în Municipiul Câmpia Turzii</t>
  </si>
  <si>
    <t>Municipiul Câmpia Turzii</t>
  </si>
  <si>
    <t>Câmpia Turzii</t>
  </si>
  <si>
    <t>eTurda – Debirocratizare prin digitalizare în administrația publică</t>
  </si>
  <si>
    <t>Continuarea simplificării procedurilor administrative și reducerea birocrației pentru cetățeni prin digitalizarea serviciilor publice</t>
  </si>
  <si>
    <t>Planificarea strategică teritorială și soluții integrate pentru simplificarea procedurilor administrative la nivelul Municipiului Orăștie</t>
  </si>
  <si>
    <t>Sistem integrat de management al fluxurilor interne si furnizarea de servicii partajate către cetățeni</t>
  </si>
  <si>
    <t>Implementare soluții informatice integrate pentru simplificarea procedurilor administrative vizând competențele partajate, în cadrul Primăriei Municipiului Huși</t>
  </si>
  <si>
    <t>Municipiul Pașcani</t>
  </si>
  <si>
    <t>Soluții integrate, mecanisme și procedure pentru fundamentarea deciziilor, planificarea strategică și simplificarea procedurilor administrative la nivelul Municipiului Pașcani</t>
  </si>
  <si>
    <t>Județul Vâlcea – ORIZONT 2030</t>
  </si>
  <si>
    <t>Vâlcea</t>
  </si>
  <si>
    <t>Inovare prin Informatizare la nivelul Consiliului Județean Sibiu</t>
  </si>
  <si>
    <t>Judetul Sibiu</t>
  </si>
  <si>
    <t>AA1/08.07.2020, diminuare buget</t>
  </si>
  <si>
    <t>O administrație eficientă și servicii de calitate la nivelul municipiului</t>
  </si>
  <si>
    <t>Implementarea unui sistem informatic de digitalizare a proceselor de administrare a informatiei si documentelor si simplificarea relatiei cu
cetatenii prin comunicare online pentru competente partajate ale UAT-ului, eficientizarea activitatilor de tip back-office si front-office si
îmbunatatirea planificarii strategice, contribuie la cresterea calitatii si eficientei serviciilor furnizate de administratia publica la nivelul
Municipiului Fetesti.
Obiectivele specifice ale proiectului
1. OS 1: Implementarea unor mecanisme noi pentru planificare strategica pe termen lung - Strategia de Dezvoltare urbana 2021 –
2027, a Planului de Mobilitate Urbana 2021 – 2027 si elaborarea Planului Strategic Institutional 2021 – 2022, pentru a creste
eficienta actiunilor adimintrative la nivelul Municipiului Fetesti.
OS 1 se va îndeplini prin activitatea 3 si va conduce la atingerea rezultatului de program POCA R1.
2. OS 2: Configurarea si implementarea unui sistem informatic de digitalizare a proceselor de administrare a informatiei si
documentelor si simplificarea relatiei cu cetatenii luand in cinsiderare competente partajate si retro-digitalizarea documentelor din
arhiva institutiei.
OS 2 se va îndeplini prin activitatea 4 si va conduce la atingerea rezultatului de program POCA R3.
3. OS 3: Îmbunatatirea abilitatilor si cunostintelor personalului Municipiului Fetesti - 65 de persoane din diferite niveluri ierarhice
(personal de conducere si de executie) din cadrul Municipiului pe teme specifice (ex. planificare strategica, planificare bugetara,
politici locale, fundamentare, elaborare, implementare, monitorizare si evaluare a deciziilor la nivelul administratiei publice locale,
etc).
OS 3 se va îndeplini prin activitatea 5 si va conduce la atingerea rezultatului de program POCA R5.</t>
  </si>
  <si>
    <t>PAC: Implicarea comunității și planificare strategică - O primărie mai aproape de cetățeni!</t>
  </si>
  <si>
    <t>Municipiul Alexandria</t>
  </si>
  <si>
    <t>Obiectivul general al proiectului vizeaza imbunatatirea procesului decizional, a planificarii strategice si executiei bugetare si crearea de
masuri de simplificare pentru cetateni in concordanta cu SCAP, la nivelul Primariei Municipiului Alexandria.
Astfel, proiectul propus spre finantare urmareste consolidarea capacitatii administrative a institutiei in vederea formularii de politici publice
si planificarii strategice institutionale, pe de-o parte si pe de alta parte,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administratiei publice) si II.5 (Imbunatatirea proceselor interne la nivelul institutiilor publice), III.1
(Reducerea birocratiei pentru cetateni) si III.2. (Reducerea birocratiei pentru mediul de afaceri), IV. (Consolidarea capacitatii administratiei
publice de a asigura calitatea si accesul la serviciile publice).
Obiectivele specifice ale proiectului
1. OS 1. Imbunatatirea procesului decizional, a planificarii strategice si a executiei bugetare la nivelul Primariei Municipiului
Alexandria. In vederea atingerii acestui obiectiv specific in cadrul proiectului vor fi dezvoltate: un set de criterii de prioritizare a
investitiilor in sectoare precum educatie, sanatate, asistenta sociala si infrastructura; 4 politici publice ce necesita resurse
financiare din bugetele institutiei aferente anilor 2021 - 2022; Planul strategic institutional aferent institutiei (PSI), Strategia de
dezvoltare locala a Municipiului Alexandria, si totodata, actualizat Planul de Mobilitate Urbana Durabila. OS 1 corespunde
rezultatului de program R1 – Mecanisme si proceduri standard implementate la nivel local pentru fundamentarea deciziilor si
planificarea strategica pe termen lung.
2. OS 2.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OS 2 corespunde rezultatului de program R3 - Proceduri simplificate pentru reducerea birocratiei
pentru cetateni la nivel local corelate cu Planul integrat de simplificare a procedurilor administrative pentru cetateni implementate.
3. OS 3. Imbunatatirea abilitatilor si constintelor personalului din cadrul Primariei municipiului Alexandria pentru utilizarea sistemelor
informatice dezvoltate prin proiect si pentru gestionarea documentelor electronice. OS 3 corespunde rezultatului de program R5 -
Cunostinte si abilitati ale personalului din autoritatile si institutiile publice locale imbunatatite, in vederea sprijinirii
masurilor/actiunilor vizate de acest obiectiv specific.</t>
  </si>
  <si>
    <t>Planificare Strategică și Management Educațional Modern în Municipiul Zalău</t>
  </si>
  <si>
    <t>Cresterea calitatii procesului decizional la nivelul Municipiului Zalau în ceea ce priveste mobilitatea urbana si îmbunatatirea serviciilor
publice oferite prin formare profesionala.
Obiectivele specifice ale proiectului
1. Elaborarea Planului de Mobilitate Urbana Durabila la nivelul mun. Zalau si a zonei functionale, pentru perioada de programare
2021 - 2027
2. Formare profesionala pentru 90 persoane - alesi locali si angajati ai Primariei Mun. Zalau</t>
  </si>
  <si>
    <t>Soluții informatice integrate pentru simplificarea procedurilor administrative, reducerea birocrației si îmbunătățirea organizării instituționale</t>
  </si>
  <si>
    <t>Mediaș</t>
  </si>
  <si>
    <t>Administrație deschisă pentru cetățenii municipiului Sebeș</t>
  </si>
  <si>
    <t>Obiectivul general consta in simplificarea accesului la servicii pentru cetateni la nivelul administratiei publice locale si in cresterea calitatii
si eficientei serviciilor publice furnizate la nivelul UAT Municipiul Sebes, judetul Alba, din Regiunea Centru, prin investitii integrate si
complementare conform reglementarilor europene si nationale.
Obiectivele specifice ale proiectului
1. OS 2. Masuri de simplificare a procedurilor administrative si reducerea birocratiei prin digitizarea arhivelor si implementarea unor
sisteme informatice pentru eficientizarea serviciilor de baza de la nivelul Municipiului Sebes.
2. OS 3. Imbunatatirea competentelor profesionale a unui numar de 30 persoane din toate nivelurile ierarhice din cadrul UAT
Municipiul Sebes pe teme specifice, stabilite în urma unei analize de nevoi.</t>
  </si>
  <si>
    <t>Dezvoltarea sistemului informatic național integrat de evidență a creanțelor provenite din infracțiuni</t>
  </si>
  <si>
    <t xml:space="preserve">PARCHETUL DE PE LINGA INALTA CURTE DE CASATIE SI JUSTITIE     </t>
  </si>
  <si>
    <t>AA2/13.07.2020 durata, buget (0,01)</t>
  </si>
  <si>
    <t>Planificare strategică și simplificare proceduri administrative în municipiul Mangalia</t>
  </si>
  <si>
    <t>AA2/24.10.2019, I3,            AA3/14.07.2020 ue, bn, cb, cp</t>
  </si>
  <si>
    <t xml:space="preserve">AA nr.1/13.02.2020          AA nr. 2/14.05.2020 durata              </t>
  </si>
  <si>
    <t>Municipiul Constanța</t>
  </si>
  <si>
    <t>Asociația de Dezvoltare Intercomunitară Zona Metropolitană Constanța</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</si>
  <si>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1.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</si>
  <si>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Judetul Caraș-Severin</t>
  </si>
  <si>
    <t>Dezvoltare durabilă, eficiență și reducere a birocrației în județul Caraș-Severin</t>
  </si>
  <si>
    <t>AA1/23.07.2020 buget</t>
  </si>
  <si>
    <t>COMPAS - Competitivitate si Operativitate prin investiții în Măsuri pentru Proceduri Administrative Simplificate</t>
  </si>
  <si>
    <t>AA2/29.01.2020        AA3/28.07.2020 durata</t>
  </si>
  <si>
    <t>Analiza funcțională și strategia de dezvoltare a sistemului judiciar post 2020 (ASJ)</t>
  </si>
  <si>
    <t>Consolidarea capacitatii sistemului judiciar de a furniza servicii eficiente, de calitate, si accesibile
Obiectivele specifice ale proiectului
1. Eficientizarea administrarii justitiei prin elaborarea unor instrumente moderne de management care sa fundamenteze deciziile cheie la nivelul sistemului judiciar</t>
  </si>
  <si>
    <t>Elaborarea Strategiei integrate de
dezvoltare urbana a zonei metropolitane
Cluj pe perioada 2021-2030, prin actualizare
SIDU existent</t>
  </si>
  <si>
    <t>Consolidarea capacității organizaționale și administrative a Consiliului Superior al Magistraturii</t>
  </si>
  <si>
    <t>Obiectivele specifice ale proiectului
1. Dezvoltarea capacitații instituționale a Consiliului Superior al Magistraturii, prin implementarea unei soluții informatice de
gestionare a activitații aparatului tehnic si de relaționare cu alte instituții/organizații din interiorul si din afara sistemului judiciar.
2. Dezvoltarea profesionala si a abilitaților manageriale ale personalului din cadrul Consiliului Superior al Magistraturii, prin
achiziționarea de servicii de formare profesionala</t>
  </si>
  <si>
    <t>Optimizarea managementului la nivelul sistemului judiciar. Componenta de parchete</t>
  </si>
  <si>
    <t>Obiectivul general al acestui proiect este imbunatatirea capacitatii manageriale a Ministerului Public, ca parte esentiala a sistemului de
justitie in materie penala, prin implementarea unor instrumente standard de management integrat la nivelul unitatilor teritoriale ale
parchetelor, cu scopul de a crea premisele necesare pentru un proces predictibil de luare a deciziilor manageriale, in special in privinta
componentelor de resursa umana, capacitate de gestionare a volumului de munca, estimare corecta a necesarului de resursa umana si
distribuire a sarcinilor la nivelul procurorilor din cadrul aceleiasi unitati teritoriale.
Obiectivele specifice ale proiectului
1. Redimensionarea strategiei organizationale la nivelul Ministerului Public prin elaborarea unui instrument unitar de management
axat indeosebi pe cuantificarea volumului si complexitatii muncii si sarcinilor specifice ce cad in sarcina magistratilor din cadrul
parchetelor.
2. Consolidarea instrumentelor de gestiune manageriala la nivel micro si macro in cadrul parchetelor, prin dezvoltarea si
implementarea unei solutii informatice de calcul dinamic al volumului si complexitatii activitatii procurorilor.
3. Imbunatatirea strategiei de administrare a resurselor umane la nivelul parchetelor, prin identificarea unor solutii optime de
imbunatatire a legislatiei primare si secundare aplicabile.</t>
  </si>
  <si>
    <t>CPCI – Creșterea performanței și calității instituționale prin îmbunătățirea sistemului de evaluare și asistență psihologică la nivelul sistemului judiciar</t>
  </si>
  <si>
    <t>Obiectivul general al acestui proiect este imbunatatirea sistemelor de recrutare a judecatorilor si procurorilor si de asistenta si evaluare
psihologica a acestora pe intreg parcursul evolutiei profesionale, inclusiv sub aspectul accesului in functii de conducere, in scopul final al
cresterii calitatii actului de justitie si imbunatatirii performantei profesionale a sistemului judiciar in ansambul sau.
Obiectivele specifice ale proiectului
1. Perfectionarea sistemelor de evaluare psihologica a judecatorilor si procurorilor
2. Modernizarea procedurilor de evaluare prin implementarea unei solutii informatice integrate
3. Optimizarea mecanismului de asistenta psihologica a judecatorilor si procurorilor</t>
  </si>
  <si>
    <t>Omdrapfe nr.  1227/28.02.2019 , Omdlpl/06.08.2020 durata si buget si renuntare la partener</t>
  </si>
  <si>
    <t>AA1/27.11.2019 FSE SI CP                         AA2/08.05.2020 durata, FSE, BN si CP                               AA3/06.08.2020 durata</t>
  </si>
  <si>
    <t>Întărirea capacității de procesare și analiză a datelor referitoare la criminalitatea organizată și creșterea capacității administrative a Ministerului Public</t>
  </si>
  <si>
    <t xml:space="preserve">1. IGPR                                        2. Ministerul Justitiei 3. Institutul National de Statistica                       4. IGPF </t>
  </si>
  <si>
    <t>Creșterea performanței în administrația publică a Municipiului Medgidia prin crearea și implementarea de instrumente, mecanisme si politici publice adecvate</t>
  </si>
  <si>
    <t>Municipiul Medgidia</t>
  </si>
  <si>
    <t>CRSSU</t>
  </si>
  <si>
    <t>Consolidarea capacitatii administrative si cresterea calitatii si eficientei serviciilor publice gestionate partajat de catre Municipiul Medgidia
prin dezvoltarea capacitatii de planificare strategica pe termen lung, corelata cu investitii integrate si complementare de simplificare a
procedurilor institutionale, precum si cu dezvoltarea competentelor profesionale ale personalului UAT, în scopul implementarii optime a
sistemului informatic propus prin proiect.
Obiectivele specifice ale proiectului
1. OS1. Implementarea unui sistem informatic integrat, care sa sustina simplificarea si optimizarea procedurilor administrative pentru
cetateni la nivelul municipiului Medgidia atât din perspectiva back-office, cât si front-office, inclusiv digitalizarea partiala a arhivei;
2. OS2. Îmbunatatirea procesului decizional si a capacitatii de planificare strategica din cadrul UAT Medgidia prin elaborarea
Strategiei integrate de dezvoltare urbana (SIDU) si a Planului de mobilitate urbana durabila (PMUD), documente strategice care
sa raspunda nevoilor si exigentelor de finantare pentru urmatoarea perioada de programare a fondurilor europene 2021 – 2027;
3. OS3. Îmbunatatirea competentelor profesionale a personalului din toate nivelurile ierarhice din cadrul administratiei publice locale,
în vederea sprijinirii masurilor vizate de proiect.</t>
  </si>
  <si>
    <t>Medgidia</t>
  </si>
  <si>
    <t>Politici sociale performante – strategie națională pentru implementarea performantă a politicilor familiale</t>
  </si>
  <si>
    <t>AGENTIA NATIONALA PENTRU PLATI SI INSPECTIE SOCIALA</t>
  </si>
  <si>
    <t>Casa Națională de Pensii Publice</t>
  </si>
  <si>
    <t>Eficientizarea activității CNPP pentru determinarea legislației aplicabile lucrătorilor migranți, la nivelul sistemului public de pensii din România</t>
  </si>
  <si>
    <t>Stabilirea de Valori Limita de Emisie
diferențiate (VLE) pentru apele uzate din surse industriale și agro-zootehnice din România</t>
  </si>
  <si>
    <t>AA1/12.08.2020 pelungire si diminuare buget</t>
  </si>
  <si>
    <t>AA8 /03.09.2018 prel. Proiect 45L               AA9/11.02.2019 realoc.sume                 AA 10/03.07.2019 prel. 50 L  AA11/14.02.2020, fse, bn               AA12/18.05.2020 prelundire cu 2 luni, fse, cp AA13/12.08.2020 durata</t>
  </si>
  <si>
    <t>IP 17/2019 (MySMIS:POCA/627/1/1)</t>
  </si>
  <si>
    <t>Optimizarea Planului Național de Cancer</t>
  </si>
  <si>
    <t>Obiectivul general al proiectului il reprezinta dezvoltarea si introducerea de sisteme si standarde comune în domeniul cancerului menite sa
optimizeze procesele decizionale - reprezentate de reglementari (acte normative, proceduri, ghiduri, etc.)
Obiectivele specifice ale proiectului
1. OS 1: Actualizarea Planului National de Cancer si adoptarea acestuia avand la baza imbunatatirea politicilor publice si cresterea
calitatii reglementarilor in domeniul sanatatii intr- o perioada de 25 de luni de la semnarea contractului de finantare.
2. OBS 3. Dezvoltarea abilitatilor si cunostinelor unui numar de numar de 50 persoane, personal din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 intr-o
perioada de 25 de luni de la semnarea contractului de finantare</t>
  </si>
  <si>
    <t>Ministerul Afacerilor Interne prin Direcția Generală de Protecție Internă</t>
  </si>
  <si>
    <t>Extinderea capabilităților investigative ale sistemului de apărare cibernetică de la nivelul Ministerului Afacerilor Interne CYBINT</t>
  </si>
  <si>
    <t>Inspectoratul General pentru Situații de Urgență</t>
  </si>
  <si>
    <t>Consolidarea cadrului de reducere a riscului de dezastre și a sistemului de apărare împotriva incendiilor la nivel național</t>
  </si>
  <si>
    <t>AA2/21.08.2020 durata si ue si cb</t>
  </si>
  <si>
    <t>AA1/24.08.2020 durata</t>
  </si>
  <si>
    <t>AA1/21.08.2020 durata</t>
  </si>
  <si>
    <t>Servicii de consiliere juridica pentru victime ale unor abuzuri sau nereguli din administratie si justitie</t>
  </si>
  <si>
    <t>Aplicarea sistemului de politici bazate pe dovezi în Ministerul Mediului, Apelor și Pădurilor pentru sistematizarea si simplificarea legislației din domeniul deșeurilor si realizarea unor proceduri simplificate pentru reducerea poverii administrative pentru mediul de afaceri în domeniul schimbărilor climatice</t>
  </si>
  <si>
    <t>„Pro-Abil”- Consolidarea capacității Agenției Naționale
pentru Plăți și Inspecție Socială de implementare prevederilor legislative din domeniul protecției
sociale</t>
  </si>
  <si>
    <t>ANPIS</t>
  </si>
  <si>
    <t>Creșterea capacității administrative a MFP și a instituțiilor subordonate în vederea îmbunătățirii interacțiunii cetățenilor și mediului de afaceri pentru obținerea de documente din arhiva instituției</t>
  </si>
  <si>
    <t>Creșterea capacității administrative a MFP și a instituțiilor subordonate în vederea îmbunătățirii interacțiunii cetățenilor și mediului de afaceri pentru obținerea de servicii electronice extinse prin portalul ANAF</t>
  </si>
  <si>
    <t>AP2/11i/2.1</t>
  </si>
  <si>
    <t>AP2/11i/2.2</t>
  </si>
  <si>
    <t>AP2/11i/2.3</t>
  </si>
  <si>
    <t>Dezvoltarea unor instrumentate de analiză și intervenție la nivel comunitar pentru perioada de programare 2021-2027</t>
  </si>
  <si>
    <t>Școala Națională de Studii Politice și Administrative</t>
  </si>
  <si>
    <t>AA1/17.07.2020 durata, ue, cb                                              AA2/21.09.2020 durata</t>
  </si>
  <si>
    <t xml:space="preserve">AA1/02.07.2020 prelungire durata                  AA2/22.09.2020 durata </t>
  </si>
  <si>
    <t xml:space="preserve"> Municipiul Codlea</t>
  </si>
  <si>
    <t>Sector 6 București</t>
  </si>
  <si>
    <t>Sector 5 București</t>
  </si>
  <si>
    <t>Sector 1 București</t>
  </si>
  <si>
    <t>Sector 3 București</t>
  </si>
  <si>
    <t>Municipiul Oltenița</t>
  </si>
  <si>
    <t>Municipiul Cluj-Napoca</t>
  </si>
  <si>
    <t>Județul Cluj</t>
  </si>
  <si>
    <t>Județul Constanța</t>
  </si>
  <si>
    <r>
      <t xml:space="preserve">Municipiul </t>
    </r>
    <r>
      <rPr>
        <sz val="12"/>
        <color theme="1"/>
        <rFont val="Calibri"/>
        <family val="2"/>
        <scheme val="minor"/>
      </rPr>
      <t>Galați</t>
    </r>
  </si>
  <si>
    <t>Județul Gorj</t>
  </si>
  <si>
    <t>Municipiul Târnăveni</t>
  </si>
  <si>
    <t xml:space="preserve">Municipiul Câmpina
</t>
  </si>
  <si>
    <t>Municipiul Roșiorii de Vede</t>
  </si>
  <si>
    <t>Municipiul Caransebeș</t>
  </si>
  <si>
    <t>Municipiul Focșani</t>
  </si>
  <si>
    <t>AA 1/18.05.2020 prelungire 3 luni  AA2/5.10.2020 durata</t>
  </si>
  <si>
    <t>Management de calitate si performanță în cadrul MEEMA, pentru reducerea poverii administrative si dezvoltarea imm-urilor inovatoare</t>
  </si>
  <si>
    <t>AA1/16.10.2019                                           AA2/13.02.2020 prelungire   AA nr. 3/Nota suspendare 3 luni/ 24.04.2020  AA4/13.10.2020 durata</t>
  </si>
  <si>
    <t>AA1/13.10.2020 ue, bn, cb</t>
  </si>
  <si>
    <t>AA1/26.02.2020 AA2/13.10.2020 durata, buget</t>
  </si>
  <si>
    <t>Consolidarea capacității de reglementare, implementare, evaluare și derulare a activităților de soluționare alternativa a litigiilor desfășurate de entități aflate în coordonarea Ministerului Economiei, Energiei și Mediului de Afaceri și Autorității Naționale pentru Protecția Consumatorilor</t>
  </si>
  <si>
    <t>ANPC</t>
  </si>
  <si>
    <t>AA1/16.10.2020 durata, ue, cb</t>
  </si>
  <si>
    <t xml:space="preserve">Obiectivul general al proiectului vizeaza Optimizarea proceselor orientate catre cetațenii municipiului Târgu Jiu prin introducerea de sisteme si standarde comune în administrația publica locala.
Obiectivele specifice ale proiectului
1. OS1. Mecanisme si proceduri standard implementate la nivelul municipiului Targu Jiu pentru fundamentarea deciziilor si planificarea
strategica pe termen lung
2. OS2. Îmbunatatirea cunostintelor si abilitatilor personalului din Primaria Municipiului Târgu Jiu în vederea implementarii de mecanisme
si proceduri pentru fundamentarea deciziilor si planificarea strategica
</t>
  </si>
  <si>
    <t>AA1/23.12.2019 durata</t>
  </si>
  <si>
    <t>AA2/06.09.2019                         AA4/ 21.08.2020 durata si buget    AA5/26.11.2020</t>
  </si>
  <si>
    <t>AA1/26.11.2020 durata</t>
  </si>
  <si>
    <t>Act aditional nr. 1 , AA2/21.10.2020 durata  AA3/26.11.2020 durata</t>
  </si>
  <si>
    <t xml:space="preserve">IP13/2019 (MySMIS:POCA/ 486/1/1) </t>
  </si>
  <si>
    <t>Consolidarea cooperării dintre Ministerul Lucrărilor Publice, Dezvoltării și Administrației și structurile asociative ale autorităților administrației publice locale</t>
  </si>
  <si>
    <t>1. AMR                                         2. UNCJR                                   3. ACoR                                      4. AOR</t>
  </si>
  <si>
    <t>AA1/3.12.2020 durata</t>
  </si>
  <si>
    <t>Autoritatea pentru Digitalizarea României</t>
  </si>
  <si>
    <t>Cadru strategic pentru adoptarea și
utilizarea de tehnologii inovative în administrația publică 2021-2027 – soluții pentru
eficientizarea activității</t>
  </si>
  <si>
    <t>Universitatea Tehnică
din Cluj - Napoca</t>
  </si>
  <si>
    <t>Obiectivul general al proiectului consta în realizarea unei analize nationale corelata cu strategiile internationale în vederea utilizarii de
tehnologii inovative cu scopul eficientizarii activitatii institutionale în relatia cu cetatenii, care reprezinta un demers natural în contextul
necesitatii definirii prioritatilor de finantare pentru România în perioada 2021-2027.
Obiectivele specifice ale proiectului
1. Dezvoltarea de sisteme si instrumente de management
2. Îmbunatatirea politicilor publice si cresterea calitatii reglementarilor</t>
  </si>
  <si>
    <t>Dezvoltarea capacităţii Ministerului Mediului,
Apelor și Pădurilor privind elaborarea politicilor şi măsurilor naţionale necesare în vederea
respectării angajamentelor naţionale de reducere a emisiilor de anumiţi poluanţi atmosferici
până în anul 2030</t>
  </si>
  <si>
    <t>ANPM</t>
  </si>
  <si>
    <t>Transparență si competență în sectorul public</t>
  </si>
  <si>
    <t>UNIVERSITATEA BABES
BOLYAI</t>
  </si>
  <si>
    <t xml:space="preserve">IP 18/2020 (MYSMIS: POCA/831/1/2) </t>
  </si>
  <si>
    <t>AA1/11.03.2020 AA2/9.12.2020 durata</t>
  </si>
  <si>
    <t>AA1/14.12.2020 durata</t>
  </si>
  <si>
    <t>Autoritatea Navală Română</t>
  </si>
  <si>
    <t>Creșterea capacității administrative a Autorității Navale Române pentru reducerea birocrației pentru cetățeni și mediul de afaceri</t>
  </si>
  <si>
    <t>Spre guvernarea digitală. Starea civilă electronică în cadrul Arhivelor Naționale ale României (eANR)</t>
  </si>
  <si>
    <t>IP20/2020 (MySMIS: POCA/897/1/1)</t>
  </si>
  <si>
    <t>Dezvoltarea unui Cadru Strategic Integrat în domeniul protecției sociale și ocupării forței de muncă</t>
  </si>
  <si>
    <t>Autoritatea pentru Administrarea Activelor Statului</t>
  </si>
  <si>
    <t>Sistem integrat de management pentru administrarea eficientă a activelor statului</t>
  </si>
  <si>
    <t>Oficiul Român pentru Drepturile de Autor</t>
  </si>
  <si>
    <t>eORDA – simplificarea procedurilor administrative și facilitarea serviciilor publice în mediul digital, în domeniul drepturilor de autor și conexe</t>
  </si>
  <si>
    <t>Autoritatea Națională pentru Protecția Consumatorilor</t>
  </si>
  <si>
    <t>Reducerea poverii administrative pentru cetățeni și mediul de afaceri în domeniul protecției consumatorilor</t>
  </si>
  <si>
    <t>Dezvoltarea capacităţii României ca stat donator de asistenţă oficială pentru dezvoltare şi asistenţă umanitară – instrument integrat RoAID: planificare, dezvoltare, implementare şi evaluare</t>
  </si>
  <si>
    <t>1.  AGENTIA DE COOPERARE
INTERNATIONALA PENTRU DEZVOLTARE                                   2. SNSPA</t>
  </si>
  <si>
    <t>Ministerul Culturii</t>
  </si>
  <si>
    <t>Viziune strategică și coerentă pentru sectorul cultural</t>
  </si>
  <si>
    <t>INCFC</t>
  </si>
  <si>
    <t>Strategia pentru managementul comunicării guvernamentale a României</t>
  </si>
  <si>
    <t>Asociatia ,,EUROCOMUNICARE"</t>
  </si>
  <si>
    <t>Obiectivul general urmarit prin proiect este imbunatatirea si abordarea unitara a comunicarii guvernamentale la nivelul administratiei
publice centrale din Romania, in vederea consolidarii capacitatii acesteia, precum si pentru asigurarea unei transparente sporite in
interiorul si exteriorul sistemului administrativ.
Obiectivele specifice ale proiectului
1. Analiza capacitatii institutionale privind comunicarea strategica la nivelul administratiei publice centrale din Romania
2. Creareaunui think tank care sa contribuie la dezvoltarea comunicarii guvernamentale
3. Elaborarea Strategiei pentru managementul comunicarii guvernamentale a Romaniei
4. Dezvoltarea nivelului de pregatire profesionala a personalului din administratia publica centrala</t>
  </si>
  <si>
    <t>Consolidarea sistemului de management prin implementarea Cadrului comun de autoevaluare (CAF) și sistemului de management al calității conform ISO 9001:2015</t>
  </si>
  <si>
    <t>Planificare strategică privind consolidarea rezilienţei în faţa dezinformării şi a ameninţărilor de tip hibrid</t>
  </si>
  <si>
    <t>Noi instrumente pentru strategia națională privind educația continuă a adulților din România - Edu-C-Ad</t>
  </si>
  <si>
    <t>Obiectivul general al proiectului consta în elaborarea „Strategiei Nationale pentru Educatia Continua a Adultilor 2021-2027”.
Obiectivele specifice ale proiectului
1. Diagnoza competentelor si abilitatilor cognitive cheie ale adultilor din România si a nevoilor lor de educatie continua.
2. Elaborarea Strategiei nationale pentru educatia continua a adultilor 2021-2027.
3. Elaborarea si înaintarea pe circuitul de avizare MEC a unei propuneri de act normativ pentru aprobarea Strategiei nationale
pentru educatia continua a adultilor 2021-2027.
4. Dezvoltarea cunostintelor si abilitatilor personalului MEC si MMPS, inclusiv structuri subordonate, pentru a raspunde problemelor
din domeniul educatiei continue a adultilor.</t>
  </si>
  <si>
    <t>AA1/23.12.2020 durata</t>
  </si>
  <si>
    <t>AA1/14.08.2020 adugare chelt neeligibile AA2/23.12.2020 durata si buget</t>
  </si>
  <si>
    <t>Ministerul Energiei</t>
  </si>
  <si>
    <t>Ministerul Economiei, Antreprenoriatului și
Turismului</t>
  </si>
  <si>
    <t>AA1/16.09.2019 durata              AA2/6.03.2020</t>
  </si>
  <si>
    <t xml:space="preserve">Ministerul Finanțelor </t>
  </si>
  <si>
    <t>Ministerul Dezvoltării, Lucrărilor Publice și Administrației</t>
  </si>
  <si>
    <t>Ministerul Investițiilor Și Proiectelor Europene/DGMRU-SACA</t>
  </si>
  <si>
    <t>Agenția Națională de Administrare Fiscală/Cabinet Secretar General</t>
  </si>
  <si>
    <t>Ministerul Afacerilor Interne/DGMRU</t>
  </si>
  <si>
    <t>Ministerul Agriculturii și Dezvoltării Rurale</t>
  </si>
  <si>
    <t>AA1/09.11.2018; AA2/09.08.2019;
AA3/18.12.2019   AA4/21.09.2020 durata AA5/22.01.2021 buget</t>
  </si>
  <si>
    <t>AA1/25.01.2021 durata</t>
  </si>
  <si>
    <t xml:space="preserve">                                                 AA1/08.12.2016; AA2/28.04.2017; AA3/18.01.2018; AA4/08.04.2019; AA5/19.03.2020; AA6/27.07.2020 durata; AA7/3.02.2021 durata si buget</t>
  </si>
  <si>
    <t>AA1/14.10.2020 durata AA2/8.02.2021 durata</t>
  </si>
  <si>
    <t>AA1/29.07.2020 AA2/11.02.2021 durata</t>
  </si>
  <si>
    <t>AA1/11.02.2021 durata</t>
  </si>
  <si>
    <t>Dezvoltarea sistemului electronic de management al cauzelor – ECRIS V</t>
  </si>
  <si>
    <t xml:space="preserve">1. PARCHETUL DE PE LÂNGA INALTA CURTE DE CASATIE                                    2. CONSILIUL SUPERIOR AL MAGISTRATURII </t>
  </si>
  <si>
    <t xml:space="preserve">IP19/2020 (MySMIS: POCA/837/2/3) </t>
  </si>
  <si>
    <t>AP2/11i /2.3</t>
  </si>
  <si>
    <t>AA1/12.02.2021 durata</t>
  </si>
  <si>
    <t>AA2/19.09.2019 AA3/22.02.2021 durata, ue, cb</t>
  </si>
  <si>
    <t>AA1/25.02.2021 durata</t>
  </si>
  <si>
    <t>Autoritatea Națională pentru Restituirea Proprietăților</t>
  </si>
  <si>
    <t>Creșterea capacității administrative a ANRP în vederea eficientizării procesului de restituire a proprietăților</t>
  </si>
  <si>
    <t>Ministerul Transporturilor și Infrastructurii</t>
  </si>
  <si>
    <t xml:space="preserve">Ministerul Energiei </t>
  </si>
  <si>
    <t>AA1/2.03.2021 durata</t>
  </si>
  <si>
    <t>Agenția Națională Antidrog</t>
  </si>
  <si>
    <t>Simplificarea procedurilor administrative și reducerea birocrației pentru mediul de afaceri în domeniul operațiunilor cu precursori de droguri (RNP)</t>
  </si>
  <si>
    <t>Ministrul Afacerilor Interne - Direcția Generală pentru Comunicații și Tehnologia Informației - Partener</t>
  </si>
  <si>
    <t>AA1/16.03.2021 durata</t>
  </si>
  <si>
    <t>E-ARM - Sistem de implementare și gestionare a bazelor de date din domeniul arme și explozivi și extindere sistemului bazei naționale de date precursori de explozivi</t>
  </si>
  <si>
    <t>Inspectoratul General al Poliției Române</t>
  </si>
  <si>
    <t>AA1/02.04.2019 PRELUNGIRE 10 LUNI AA2/9.04.2020 durata     AA3/7.10.2020 ue, bn AA4/19.03.2021 durata</t>
  </si>
  <si>
    <t>AA1/29.07.2020 durata si buget AA2/19.03.2021 durata si buget</t>
  </si>
  <si>
    <t>AA1/19.03.2021 durata</t>
  </si>
  <si>
    <t>AA1/25.03.2021 durata</t>
  </si>
  <si>
    <t>AA1/29.03.2021 durata</t>
  </si>
  <si>
    <t>AA1/1.04.2021 durata si bn si cb</t>
  </si>
  <si>
    <t>Ministerul Cercetarii, Inovarii si Digitalizarii</t>
  </si>
  <si>
    <t>AA1/12.04.2021 durata</t>
  </si>
  <si>
    <t>AA1/15.12.2020 durata AA2/15.04.2021 durata</t>
  </si>
  <si>
    <t>AA1/16.04.2021 durata</t>
  </si>
  <si>
    <t>AA1/19.04.2021 durata si buget</t>
  </si>
  <si>
    <t>AA1/22.03.2021 durata AA2/26.04.2021 durata</t>
  </si>
  <si>
    <t>AA1/26.04.2021 durata</t>
  </si>
  <si>
    <t>AA1/10.05.2021 durata</t>
  </si>
  <si>
    <t>AA1/5.05.2021 durata si buget</t>
  </si>
  <si>
    <t>Cresterea capacității sistemului CDI de a răspunde provocarilor globale. Consolidarea capacității
anticipatorii de elaborare a politicilor publice bazate pe dovezi</t>
  </si>
  <si>
    <t>AA1/24.05.2021 durata</t>
  </si>
  <si>
    <t>Omdrap nr. 5844/03.10.2018   OMDRAP/11.12.2020 Ordin 760/3.06.2021 durata</t>
  </si>
  <si>
    <t>AA1/3.06.2021 durata</t>
  </si>
  <si>
    <t>AA1/2.06.2021 durata</t>
  </si>
  <si>
    <t>AA1/22.08.2019   AA2/11.06.2021durata</t>
  </si>
  <si>
    <t>AA1/11.06.2021 buget</t>
  </si>
  <si>
    <t>AUTORITATEA NATIONALA PENTRU PERSOANELE CU DIZABILITĂȚI, COPII ȘI ADOPȚII</t>
  </si>
  <si>
    <t>AA1/17.06.2021 durata si ue+cb</t>
  </si>
  <si>
    <t>AA1/03.05.2017; AA2/28.06.2017; AA3/30.07.2018;  AA4/12.08.2019   AA5/8.10.2020 durata; AA6/23.06.2021 durata;</t>
  </si>
  <si>
    <t xml:space="preserve">1.  UNITATEA EXECUTIVA PENTRU FINANTAREA INVATAMANTULUI SUPERIOR, A CERCETARII,
DEZVOLTARII SI INOVARII/Centrul pentru Politici Publice in Invatamantul Superior, Stiinta, Inovare
si Antreprenoriat                                </t>
  </si>
  <si>
    <t>Ministerul Educației</t>
  </si>
  <si>
    <t>AA1/23.06.2021 durata, buget</t>
  </si>
  <si>
    <t>AA1/29.06.2020;  AA2/23.10.2020 ue, cb ; AA3/23.06.2021 durata</t>
  </si>
  <si>
    <t>AA1/23.06.2021 durata</t>
  </si>
  <si>
    <t>Ordin nr. 794/14.06.2021 durata si buget</t>
  </si>
  <si>
    <t>AA1/7.10.2020 buget AA2/29.06.2021 buget</t>
  </si>
  <si>
    <t>AA1/1.07.2021 durata</t>
  </si>
  <si>
    <t>AA1/28.10.2019  AA2/1.07.2021 durata si ue, bn, cb, cp</t>
  </si>
  <si>
    <t>OMDRAP nr. 3247/25.11.2019/Actul adițional nr.2/25.11.2019, Omdlpd din 14.09.2020 durata si buget; Ordin 339/9/03/2021 buget; Ordin 973/8.07.2021 durata si buget</t>
  </si>
  <si>
    <t>AA1/19.08.2020 prelungire 3 luni AA2/14.07.2021 durata</t>
  </si>
  <si>
    <t>AA 1/12.03.2020 AA2/27.11.2020 ue, cb AA3/18.03.2021 buget AA4/20.07.2021 durata si cb si bn</t>
  </si>
  <si>
    <t>AA1/21.05.2021 duarata, bn, elimin partener, AA2/22.07.2021</t>
  </si>
  <si>
    <t>INA</t>
  </si>
  <si>
    <t>AA3/04.09.2019; suspendat din 09.04.2020 pt 2 luni AA5/22.09.2020 buget AA6/22.12.2020 buget si durata AA7/21.07.2021 durata</t>
  </si>
  <si>
    <t>AA1/28.07.2021 durata</t>
  </si>
  <si>
    <t>AA1/22.02.2021 AA2/5.08.2021 durata si ue, bn, cb</t>
  </si>
  <si>
    <t>AA 1/24.04.2019 AA2/5.08.2021 durata</t>
  </si>
  <si>
    <t>AA6 /16.07.19   AA8/26.26.2020 Fonduri EU si CB                   AA9/10.08.2021 durata</t>
  </si>
  <si>
    <t>ASOCIATIA PENTRU IMPLEMENTAREA DEMOCRATIEI (pana pe 29 martie 2021)</t>
  </si>
  <si>
    <t>AA1/12.08.2021 durata</t>
  </si>
  <si>
    <t>IP 21/2021 (MySMIS: POCA/934/1/4)</t>
  </si>
  <si>
    <t>Dezvoltarea competențelor personalului
implicat în procesul de achiziții publice în administrația publică din România</t>
  </si>
  <si>
    <t>AA1/11.06.2021 durata AA2/23.08.2021 durata</t>
  </si>
  <si>
    <t>AA1/23.08.2021 durata</t>
  </si>
  <si>
    <t>AA1/25.08.2021 durata</t>
  </si>
  <si>
    <t>AA1/05.02.2021 durata AA2/25.08.2021 durata</t>
  </si>
  <si>
    <t>AA1/02.07.2020  durata AA2/26.08.2021 durata</t>
  </si>
  <si>
    <t>AA1/8.09.2021 durata</t>
  </si>
  <si>
    <t>AA1/7.09.2021 durata</t>
  </si>
  <si>
    <t>AA1/13.09.2021 durata</t>
  </si>
  <si>
    <t>AA1/18.03.2021 durata, buget AA2/13.09.2021 durata</t>
  </si>
  <si>
    <t>AA1/30.09.2020 buget AA2/22.02.2021 AA3/28.04.2021 buget  AA4/13.09.2021 durata</t>
  </si>
  <si>
    <t>AA1/14.09.2020 durata AA2/13.09.2021 durata si buget</t>
  </si>
  <si>
    <t>CP15less/2021</t>
  </si>
  <si>
    <t>Consolidarea capacitatii analitice a Municipiului Lugoj prin cresterea transparentei, eticii si integritatii
referitoare la prevenirea coruptiei</t>
  </si>
  <si>
    <t>Obiectivul general al proiectului consta in consolidarea capacitatii analitice a Municipiului Lugoj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Lugoj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</si>
  <si>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AA1/17.09.2021 durata</t>
  </si>
  <si>
    <t>AA1/21.09.2021 durata</t>
  </si>
  <si>
    <t>AA1/12.08.2019               AA2/18.09.2020 durata si diminuare buget AA3/16.03.2021 durata AA4/17.09.2021 durata</t>
  </si>
  <si>
    <t>AA1/3.08.2020 durata AA2/11.02.2021 buget AA3/21.09.2021 durata si buget</t>
  </si>
  <si>
    <t>AA1/30.08.2021 prorata (ue, cb, bn)</t>
  </si>
  <si>
    <t>AA1/27.09.2021 durata</t>
  </si>
  <si>
    <t>AA1/29.09.2021 durata si ub, cb</t>
  </si>
  <si>
    <t>AA2/30.09.2020 durata, ue, cb                                AA3/4.10.2021 durata</t>
  </si>
  <si>
    <t>AA1/11.02.2021 durata AA2/7.10.2021 durata</t>
  </si>
  <si>
    <t>Integritatea, etica și transparența - condiție esențială pentru o administrație eficientă</t>
  </si>
  <si>
    <t>Integritate și transparență</t>
  </si>
  <si>
    <t>Sprijin pentru implementarea de instrumente anticorupție în administrația Județului Botoșani</t>
  </si>
  <si>
    <t>Județul Botoșani</t>
  </si>
  <si>
    <t xml:space="preserve"> Botoșani</t>
  </si>
  <si>
    <t>AA1/12.10.2021 durata</t>
  </si>
  <si>
    <t>Județul Satu Mare</t>
  </si>
  <si>
    <t>Creșterea transparenței, eticii și integrității în
administrația publică din județul Satu Mare</t>
  </si>
  <si>
    <t>Dezvoltarea si consolidarea capacitații administrative a instituției prin eficientizarea activitaților de prevenire si combatere a corupției în
administrația publica locala, promovarea eticii si integritații pentru îmbunatațirea performanțelor în activitate a cresterii transparenței în
procesului decizional, precum si îmbunatațirea cunostințelor si a competențelor personalului si alesilor locali.
Obiectivele specifice ale proiectului
1. 1. OS 1 - Cresterea gradului de implementare a masurilor de prevenire a corupției si a indicatorilor de evaluare.
2. OS 2 - Cresterea gradului de constientizare a efectelor corupției la nivelul personalului din administrația publica locala
cât si în rândul cetațenilor.
3. OS 3 - Îmbunatațirea cunostințelor si a competențelor personalului si alesilor locali în ceea ce priveste masurile
anticorupție</t>
  </si>
  <si>
    <t>Etică și integritate în administrația locală a Municipiului Focșani</t>
  </si>
  <si>
    <t>Consolidarea capacitatii analitice a Municipiului 
Câmpina prin creșterea transparenței, eticii și integrității referitoare la prevenirea corupției</t>
  </si>
  <si>
    <t>Obiectivul general al proiectului consta in consolidarea capacitatii analitice a Municipiului Campina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Campina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</si>
  <si>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Campina</t>
  </si>
  <si>
    <t>Creșterea gradului de implementare a măsurilor 
anticorupție în Municipiul Brad</t>
  </si>
  <si>
    <t>Creşterea gradului de implementare a măsurilor anticorupţie la nivelul Municipiului Brad, prin intermediul unor activităţi care vizează
identificarea riscurilor si vulnerabilităţilor la corupţie, realizarea de mecanisme si proceduri anticorupţie si aplicarea unitara a acestora,
realizarea unor mecanisme de cooperare cu societatea civila, precum si îmbunătăţirea cunoştinţelor si a competentelor personalului
propriu.
Obiectivele specifice ale proiectului
1. OS 1 - Creşterea gradului de implementare a măsurilor de prevenire a corupţiei şi a indicatorilor de evaluare.
2. OS 2 - Creşterea gradului de conştientizare a efectelor corupţiei la nivelul personalului din administraţia publică locală cât şi în
rândul cetăţenilor.
3. OS 3 - Îmbunătăţirea cunoştinţelor şi a competenţelor personalului şi aleşilor locali în ceea ce priveşte măsurile anticorupţie.</t>
  </si>
  <si>
    <t>Transparență, etică și integritate în administrația publică din Județul Brăila</t>
  </si>
  <si>
    <t>Direcția Generală Anticorupție</t>
  </si>
  <si>
    <t>Dezvoltarea si consolidarea capacitatii administrative prin eficientizarea masurilor de asigurare a transparentei, eticii si integritatii la
nivelul administratiei publice din Judetul Braila
Obiectivele specifice ale proiectului
1. Cresterea capacitatii administrative a UAT Judetul Braila in domeniul transparentei, eticii si integritatii prin implementarea
sistemului de management anti-mita ISO 37001
2. Cresterea gradului de constientizare a efectelor coruptiei prin desfasurarea unei campanii de constientizare publica la nivelul
Judetului Braila
3. Promovarea transparentei, eticii si integritatii in exercitarea functiei publice prin imbunatatirea cunostintelor si competentelor
personalului Consiliului Judetean Braila si al institutiilor subordonate</t>
  </si>
  <si>
    <t>Măsuri active de prevenire a corupției prin acțiuni de educare și conștientizare la nivel instituțional la nivelul județului Prahova</t>
  </si>
  <si>
    <t>Creșterea transparenței, eticii și integrității la nivelul județului Constanța</t>
  </si>
  <si>
    <t>Direcția Generală Anticorupție/ Unitatea de implementare a proiectelor</t>
  </si>
  <si>
    <t>AA1/26.10.2021 buget</t>
  </si>
  <si>
    <t>AA4 /17.02.2020 AA5/20.10.2020 durata, buget                    AA6/9.06.2021 durata  AA7/27.10.2021 durata</t>
  </si>
  <si>
    <t>AA1/09.03.2021 durata   AA2/27.10.2021 durata</t>
  </si>
  <si>
    <t>AA1/8.12.2020 durata si buget                  AA2/27.10.2021 durata</t>
  </si>
  <si>
    <t>Implementarea măsurilor anticorupție la nivelul
UAT Municipiul Hunedoara</t>
  </si>
  <si>
    <t>Consolidarea capacității Municipiului Cluj-Napoca în implementarea măsurilor anticorupție</t>
  </si>
  <si>
    <t>Dezvoltarea si consolidarea capacitatii administrative a Municipiului Cluj-Napoca prin eficientizarea activitatilor de prevenire si combatere a coruptiei în administratia publica locala, promovarea eticii si integritatii pentru îmbunatatirea performantelor în activitate, cresterea transparentei în procesului decizional, precum si îmbunatatirea cunostin?elor si a competentelor personalului si alesilor locali.
Obiectivele specifice ale proiectului
1.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</si>
  <si>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AA1/15.02.2021 durata AA4/29.10.2021 durata</t>
  </si>
  <si>
    <t>Municipiul Sighetu Marmației</t>
  </si>
  <si>
    <t>Etică și integritate în Municipiul Sighetu
Marmației</t>
  </si>
  <si>
    <t>Sighetu Marmației</t>
  </si>
  <si>
    <t>Municipiul Miercurea Ciuc</t>
  </si>
  <si>
    <t>Prevenirea corupției la Primăria Miercurea Ciuc</t>
  </si>
  <si>
    <t>Miercurea Ciuc</t>
  </si>
  <si>
    <t>Integritate, etică și strategie anticorupție în Municipiul Roșiori de Vede</t>
  </si>
  <si>
    <t>Obiectiv general: Prevenirea coruptiei, cresterea transparentei, eticii si integritatii in cadrul institutiei UAT Municipiul Rosiorii de Vede prin
implementarea unor masuri de prevenire a coruptiei, aplicarea unitara a mecanismelor, procedurilor si normelor de etica si integritate si
imbuntatirea cunostintelor si competentelor in ceea ce priveste prevenirea coruptiei.
Obiectivele specifice ale proiectului
1. OS1:Cresterea nivelului de integritate si rezistenta la riscurile generate de corup?ie în cadrul UAT Municipiul Rosiorii de Vede prin
realizare de documente specifice.
2. OS2: Cresterea gradului de constientizare a riscurilor generate de corup?ie atât în rândul ceta?enilor cât si al personalului din
administratia publica.
3. OS3: Cresterea gradului de pregatire profesionala a personalului din cadrul Primariei Rosiorii de Vede.</t>
  </si>
  <si>
    <t>Sprijinirea măsurilor referitoare la prevenirea
corupției la nivelul Primăriei Municipiului Onești</t>
  </si>
  <si>
    <t>INTEGRITATEA DE LA A LA Z</t>
  </si>
  <si>
    <t>Oltenița</t>
  </si>
  <si>
    <t>Imbunatatirea capacitatii administrative a Primariei Municipiului Oltenita si Serviciilor/Directiilor publice aflate in subordinea Consiliului Local al Municipiului Oltenita de a creste integritatea si preveni coruptia, prin dezvoltarea si implementarea unor masuri de prevenire si diminuare a coruptiei.
Obiectivele specifice ale proiectului
1. Cresterea nivelului de integritate si rezistenta la riscurile generate de coruptie in cadrul UAT Municipiul Oltenita si
Serviciile/Directiile subordonate Consiliului Local al Municipiului Oltenita
2. Cresterea gradului de constientizare a riscurilor generate de coruptie la nivelul personalului din Primaria municipiului Oltenita si
Directiilor subordonate Consiliului Local, precum si al cetatenilor.                                                                                                         3.Cresterea gradului de pregatire profesionala a personalului din cadrul Primariei municipiului Oltenita, Serviciilor/Directiilor
subordonate Consiliului Local al Municipiului Oltenita si alesilor locali, in ceea ce priveste prevenirea coruptiei.</t>
  </si>
  <si>
    <t>Măsuri pentru creșterea transparenței, eticii și integrității la Primăria Municipiului Brașov</t>
  </si>
  <si>
    <t>AA1/10.01.2020                       AA2/29.09.2020 durata si buget AA3/12.04.2021 durata  AA4/3.11.2021 durata</t>
  </si>
  <si>
    <t>AA1/3.11.2021 durata si buget</t>
  </si>
  <si>
    <t>COMPATRIOT - COmunitate iMPlicAtă împoTRIva cOrupȚiei</t>
  </si>
  <si>
    <t>Obiectivul general al proiectului consta in cresterea transparentei, eticii si integritatii in cadrul Primariei Municipiului Reghin si a entitatilor subordonate, in concordanta cu procesul de eficientizare a serviciilor publice locale si a principiilor unei mai bune legiferari si a bunei guvernante.
Obiectivele specifice ale proiectului
1. OS1 - Constientizarea opiniei publice din Municipiul Reghin cu privire la problemele generate de fenomenul coruptiei la nivel local.
Prin actiuni online si offline, minim 4000 de persoane vor avea o interactiune cu proiectul.
2. OS2 - Imbunatatirea cunostintelor si competentelor pentru 25 de angajati ai UAT Reghin in ceea ce priveste prevenirea si
combaterea coruptiei, prin facilitarea accesului la programe de formare profesionala.
3. OS3 - Dezvoltarea instrumentelor informatice de sondaj a populatiei si monitorizare a riscurilor de coruptie in Municipiul Reghin,
prin elaborarea si implementarea unor mecanisme moderne de cooperare cu societatea civila pentru monitorizarea si evaluarea
implementarii masurilor anticoruptie.</t>
  </si>
  <si>
    <t>Implementarea unor măsuri anticorupție la nivelul UAT Municipiul Râmnicu Vâlcea</t>
  </si>
  <si>
    <t>AA1/5.11.2021 durata</t>
  </si>
  <si>
    <t>Consolidarea capacității analitice a
Municipiului Medgidia prin creșterea transparenței, eticii și integrității referitoare la
prevenirea corupției</t>
  </si>
  <si>
    <t>Obiectivul general al proiectului consta in consolidarea capacitatii analitice a Municipiului Medgidia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Medgidia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</si>
  <si>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Mecanisme eficiente în vederea prevenirii corupției în administrația județului Brașov</t>
  </si>
  <si>
    <t>AA1/26.05.2020 durata AA3/17.05.2021 durata AA4/15.11.2021 durata</t>
  </si>
  <si>
    <t>AA1/13.10.2020 ue, bn  AA2/7.10.2021 durata si buget (neeligibil)</t>
  </si>
  <si>
    <t>AA1/14.05.2020 fse, bn si cp                     AA2/18.11.2021 durata si Bn, cb, cp</t>
  </si>
  <si>
    <t>Județul Vâlcea - Pro integritate!</t>
  </si>
  <si>
    <t>Dezvoltarea capacitatii institutionale a Consiliului Judetean Vâlcea de a creste integritatea si a reduce vulnerabilitatile la coruptie, prin
cresterea gradului de implementare a masurilor referitoare la prevenirea coruptiei prevazute în Planul de integritate al Consiliului Judetean Vâlcea, îmbunatatirea cunostintelor si a competentelor personalului din cadrul institutiei în domeniul prevenirii coruptiei, transparentei, eticii si integritatii, precum si prin cresterea nivelului de constientizare si educatie al personalului din cadrul institutiilor si autoritatile publice locale, alesilor locali si a cetatenilor judetului Vâlcea.
Obiectivele specifice ale proiectului
1. Cresterea gradului de implementare a masurilor referitoare la prevenirea coruptiei si a indicatorilor de evaluare în cadrul
Consiliului Judetean Vâlcea, prin implementarea metodologiei de identificare a riscurilor si vulnerabilitatilor la coruptie,
dezvoltarea procedurilor operationale/de sistem specifice si implementarea si certificarea standardului anti-mita ISO 37001. 
2. Cresterea gradului de constientizare a coruptiei atât în rândul cetatenilor cât si al personalului din administratia publica din judetul
Vâlcea, prin realizarea unui sondaj referitor la perceptia publica privind coruptia în judetul Vâlcea, organizarea unei campanii de
constientizare a publicului, elaborarea si distribuirea unui ghid de bune practici privind prevenirea coruptiei, a incidentelor de
integritate si a conflictelor de interese.
3. Cresterea nivelului de educatie anticoruptie în rândul personalului din cadrul Consiliului Judetean Vâlcea, prin organizarea de
cursuri de formare profesionala în domeniul prevenirii coruptiei, transparentei, eticii si integritatii.</t>
  </si>
  <si>
    <t>ISPAM – Instrumente Standardizate și Proceduri Anti Mită pentru UAT Județul Neamț</t>
  </si>
  <si>
    <t>Cresterea transparentei, integritatii, reducerea vulnerabilitatilor si prevenirea riscurilor de coruptie in cadrul U.A.T Judetul Neamt prin
implementarea unui sistem integrat, inovator si flexibil de prevenire a coruptiei, constituit din instrumente si proceduri anticoruptie
standardizate, imbunatatirea cunostintelor si a competentelor personalului si actiuni de comunicare cu societatea civila si alte
autoritati/institutii publice.
Obiectivele specifice ale proiectului
1. OS 1 Reducerea vulnerabilitatii la coruptie prin implementarea standardului ISO37001 in cadrul U.A.T. Judetul Neamt
2. OS 2 Cresterea nivelului de educatie anticoruptie in randul personalului de conducere si de executie din cadrul U.A.T. Judetul
Neamt, institutiilor si serviciilor publice subordonate, prin organizarea de cursuri de formare in domeniul prevenirii coruptiei
3. OS 3 Dezvoltarea si implementarea unui mecanism de cooperare cu societatea civila pentru eficientizarea, monitorizarea si
evaluarea implementarii masurilor anticoruptie la nivelul U.A.T Judetul Neamt</t>
  </si>
  <si>
    <t>Municipiul Târgoviște alege integritatea!</t>
  </si>
  <si>
    <t>Municipiul Târgoviște</t>
  </si>
  <si>
    <t>AA1/28.07.2021 durata  AA2/22.11.2021 durata</t>
  </si>
  <si>
    <t>AA1/21.05.2021 durata AA2/18.11.2021 suspendare proiect 12 luni</t>
  </si>
  <si>
    <t>Promovarea principiilor de etică, transparență și
integritate la nivelul UAT Orșova</t>
  </si>
  <si>
    <t>Asociația pentru
Implementarea
și Dezvoltarea
Culturii
Antreprenoriale</t>
  </si>
  <si>
    <t>Sprijinirea masurilor de prevenire a coruptiei la nivelul UAT Orsova.
Obiectivele specifice ale proiectului
1. OS1: Aplicarea unitara a normelor, mecanismelor si procedurilor in materie de etica si integritate la nivelul UAT Orsova
2. OS2: Cresterea gradului de implementare a masurilor referitoare la prevenirea coruptiei si a indicatorilor de evaluare in autoritatile
si institutiile publice
3. OS3: Imbunatatirea cunostintelor si a competentelor personalului din UAT Orsova in ceea ce priveste prevenirea coruptiei</t>
  </si>
  <si>
    <t>Dezvoltarea măsurilor referitoare la prevenirea corupției în Municipiul Toplița</t>
  </si>
  <si>
    <t>Obiectivul general al proiectului consta in cresterea transparentei, eticii si integritatii in cadrul Municipiului Toplita, in concordanta cu
procesul de eficientizare a serviciilor publice locale si a principiilor unei mai bune legiferari si a bunei guvernante.
Obiectivele specifice ale proiectului
1. OS1 - Constientizarea opiniei publice din Municipiul Toplita cu privire la problemele generate de fenomenul coruptiei in autoritatile
publice locale. Prin actiuni online si offline, minim 2000 de persoane vor avea o interactiune cu proiectul.
2. OS2 - Imbunatatirea cunostintelor si competentelor pentru 50 de angajati ai UAT Toplita in ceea ce priveste prevenirea si
combaterea coruptiei, prin facilitarea accesului la programe de formare profesionala.
3. OS3 - Imbunatatirea procedurilor operationale din cadrul UAT Toplita cu privire la masurile preventive anticoruptie.</t>
  </si>
  <si>
    <t>Dezvoltarea capacității de administrare a datoriei publice guvernamental prin utilizarea instrumentelor financiare derivate</t>
  </si>
  <si>
    <t>Obiectivul General al proiectului este ca, prin dezvoltarea unui set de instrumente în domeniul costurilor şi al calităţii în sănătate şi a cadrului unitar de utilizare a acestora, să sprijine procesul de elaborare şi implementare a politicilor de sănătate bazate pe dovezi, contribuind astfel, la îmbunătăţirea calităţii şi performanţei serviciilor spitaliceşti din România.
Obiectivele specifice ale proiectului
1. Sistematizarea procesului de colectare şi prelucrare a datelor utilizate pentru calculul costurilor serviciilor spitaliceşti în
România, prin elaborarea şi implementarea instrumentelor unitare, necesare în analiza şi evaluarea serviciilor de sănătate.
2. Elaborarea şi adoptarea unor standarde de cost pentru primele 20 cele mai frecvente patologii - cazuri internate în
regim de spitalizare continuă, ceea ce va permite consolidarea capacităţii administrative de planificare strategică şi financiară la
nivelul sistemului de sănătate.
3. Sistematizarea şi simplificarea actelor normative incidente în domeniul calităţii serviciilor de sănătate.</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</si>
  <si>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</si>
  <si>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OS2.Dezvoltarea si implementarea la nivelul Municipiului Alba Iulia, a 2 mecanisme de colaborare si consultare cu actori relevanti pentru sustinerea dezvoltarii locale, in termen de 12 luni de la initierea procesului.</t>
  </si>
  <si>
    <t>Obiectivul general al proiectului/Scopul proiectului
Planificare strategica si implementarea de masuri care vizeaza adaptarea structurii administrative existente, optimizarea proceselor
orientate catre cetateni, precum si infiintarea si utilizarea centrului de inovare si imaginatie civica în planificarea strategica a proceselor de
inovare sociala, pentru cresterea transparentei decizionale si simplificarea procedurilor oferite cetatenilor municipiului Blaj.
Obiectivele specifice ale proiectului
 1. Elaborarea documentelor strategice ce vor sta la baza obţinerii finanţărilor din politica de coeziune aferente perioadei 2021-
2027, inclusiv Strategia integrată de dezvoltare urbană (SIDU), şi Planul de mobilitate urbană durabilă (PMUD).
Obiectivul specific presupune elaborarea Strategiei integrate de dezvoltare urbană si a Planului de mobilitate urbană durabilă,
documente care vor sta la baza obţinerii finanţărilor din politica de coeziune aferente perioadei 2021-2027. In plus, se vor elabora
o serie de studii, cercetări de piaţă, analize si strategii pe domenii specifice de dezvoltare locala, care vor fundamenta deciziile
UAT Municipiul Blaj pe termen lung.
2. Infiintarea Centrului de Inovare si Imaginatie Civica (CIIC) si dezvoltarea mecanismelor în vederea optimizarii proceselor
decizionale orientate catre cetateni si mediul de afaceri din Municipiul Blaj.
Obiectivul specific propune infiintarea CIIC si implementarea de mecanisme de colaborare si consultare între actorii relevanti pe
domenii specifice de competenta pentru sustinerea dezvoltarii la nivel local.
3. Dezvoltarea si implementarea unui sistem electronic de digitalizare si simplificare a serviciilor publice oferite cetatenilor
Municipiului Blaj, tinand cont de competentele partajate ale acestuia cu autoritatile administratiei publice centrale, prin
implementarea sistemului informatic geospatial (GIS).
Obiectivul specific asigura sustinerea de masuri de simplificare, furnizate de UAT Municipiul Blaj prin competente partajate cu
autoritatile administratiei publice centrale.
4. Retro-digitalizarea documentelor din arhiva si crearea infrastructurii necesare arhivarii electronice a documentelor tradiţionale
existente în arhiva instituţiei, care prezintă valoare operaţională în prezent.
Obiectivul presupune crearea unei arhive de copii digitale ale documentelor tradiţionale existente în arhiva instituţiei, care prezintă
valoare operaţională în prezent. Se vor arhiva electronic documentele institutiei cu termen de pastrare de peste 4 ani, dar nu mai
vechi de 10 ani.
5. Formarea/instruirea functionarilor publici si contractuali, inclusiv a factorilor de decizie la nivel politic, în planificare strategica si
utilizarea instrumentelor digitale.</t>
  </si>
  <si>
    <t>Obiectivul general al proiectului/Scopul proiectului
Optimizarea activităţii la nivelul Consiliului Judeţean Arad prin introducerea sistemului de management al calităţii ISO 9001.
Obiectivele specifice ale proiectului
1. OS1 Implementarea sistemului de management al calităţii şi obţinerea certificării ISO 9001
OS2 Îmbunătăţirea cunoştinţelor şi abilităţilor angajaţilor Consiliului Judeţean Arad, prin instruirea si diseminarea rezultatelor în
urma implementării standardelor ISO 9001, care să asigure o mai bună administrare a patrimoniului judeţului şi organizarea mai
eficientă.</t>
  </si>
  <si>
    <t>ePS2 - Servicii online pentru cetateni</t>
  </si>
  <si>
    <t>Imbunatatirea capacitatii administrative a Consiliului Judetean Constanța</t>
  </si>
  <si>
    <t>“Corectitudine, legalitate, etică într-o
administrație publică responsabilă (CLEAR)”</t>
  </si>
  <si>
    <t>Obiectivul general al proiectului/Scopul proiectului
Obiectivul general al proiectului este creşterea transparenţei actului administrativ în Municipiul Vaslui prin implementarea de mecanisme şi
măsuri de prevenire a fenomenului de corupţie, pregătirea personalului din cadrul instituţiei şi informarea cetăţenilor privind coruptia.
Obiectivul este în concordanţa cu obiectivele axei prioritare 2 din POCA în care sunt sprijinite autorităţile şi instituţiile publice locale să-si
dezvolte şi să implementeze un sistem de management performant prin intermediul obiectivului specific 2.2 „Creşterea transparenţei ,
eticii şi integrităţii în cadrul autorităţilor şi instituţiilor publice”.
Prezentul obiectiv este de asemenea în deplina concordanţă şi cu obiectivele generale ale Municipiului Vaslui, care urmareste să-si
îmbunătăţească activitatea orientată către cetăţean, să-si eficientizeze rezultatele obţinute, să-şi îmbunătăţească continuu imaginea astfel
încât să poată raspunde cât mai eficient cerinţelor şi asteptărilor cetaţenilor municipiului Vaslui.
Prin îndeplinirea acestui obiectiv se va genera un efect pozitiv pe termen lung asupra tuturor factorilor implicaţi (personal propriu, aleşi
locali, instituţii aflate în coordonare/ subordonare, instituţii partenere, persoane fizice şi persoane juridice şi alte instituţii relevante locale
sau centrale prin oferirea de servicii în condiţii de maximă transparenţă şi legalitate.
Obiectivele specifice ale proiectului
1. OS1 Sprijinirea Municipiului Vaslui pentru dezvoltarea unui sistem unitar de etică, integritate şi prevenire a corupţiei prin
elaborarea şi adoptarea de proceduri operaţíonale, ghiduri şi instrumente suport.
2. OS2 Îmbunătăţirea cunoştinţelor şi competenţelor personalului din administraţia Municipiului Vaslui în ceea ce priveşte prevenirea
corupţiei .
3. OS3 Informarea şi conştientizarea personalului si cetăţenilor din Municipiul Vaslui cu privire la impactul fenomenului corupţiei.</t>
  </si>
  <si>
    <r>
      <t>FEDERA</t>
    </r>
    <r>
      <rPr>
        <sz val="12"/>
        <color theme="1"/>
        <rFont val="Calibri"/>
        <family val="2"/>
        <scheme val="minor"/>
      </rPr>
      <t>ŢIA NAŢIONALĂ A SINDICATELOR MUNCII ȘI PROTECŢIEI SOCIALE</t>
    </r>
  </si>
  <si>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 pe parcursul a 12 luni.</t>
  </si>
  <si>
    <t>Integritatea - conditie esentiala pentru o
administratie eficienta</t>
  </si>
  <si>
    <t>BI Smart Alba Iulia</t>
  </si>
  <si>
    <t>Consolidarea capacității administrative locale prin planificare strategică eficientă</t>
  </si>
  <si>
    <t>PRO-CERTIF – dezvoltarea și utilizarea sustenabilă a managementului calității în administraţia publică băcăuană</t>
  </si>
  <si>
    <t>Sprijinirea mdunicipiului Bacău pentru asigurarea managementului performantei și calității</t>
  </si>
  <si>
    <t>Îmbunatatirea procesului decizional si reducerea birocratiei la nivelul Consiliului Judeþean Brasov</t>
  </si>
  <si>
    <t>Planificare Strategică Integrată și administrație publică eficientă la nivelul Polului de Creștere Zona Metropolitană Constanța</t>
  </si>
  <si>
    <t>CIVIC - CONSULTARE, INOVARE, VOLUNTARIAT, INFORMATIZARE ȘI COMUNICARE ÎN MUNICIPIUL BĂILEȘTI</t>
  </si>
  <si>
    <t>Centru de inovație și excelență în domeniul politicilor publice de tineret</t>
  </si>
  <si>
    <t>Zero birocrație - mecanism integrat de identificare si simplificare a sarcinilor administrative pentru mediul de afaceri si pentru cetațeni</t>
  </si>
  <si>
    <t>Implicare civică pentru formularea propunerilor alternative de politici publice în educație</t>
  </si>
  <si>
    <t>Politici Publice in Economie Sociala - P.P.E.S</t>
  </si>
  <si>
    <t>RePas - Responsabilitate si parteneriat pentru sănătate</t>
  </si>
  <si>
    <t>Societatea civilă dezvoltă politici publice</t>
  </si>
  <si>
    <t>Implicare, colaborare şi sprijin reciproc pentru un viitor mai bun al tinerilor!</t>
  </si>
  <si>
    <t>STAND UP - Creșterea participării și rolului societății civile în influențarea și îmbunătățirea politicilor publice</t>
  </si>
  <si>
    <t>VALUEMED - Elaborarea de politici publice în domeniul sănătății prin utilizarea studiilor de evaluare a tehnologiilor medicale</t>
  </si>
  <si>
    <t>ALTERNATIVe</t>
  </si>
  <si>
    <t>Reteaua Nationala a Organismélór Rome RNOR</t>
  </si>
  <si>
    <t>Creșterea capacității ONG-urilor de a formula și promova propuneri alternative la politicile publice inițiate de Guvern în domeniul egalității de șanse între femei și bărbați</t>
  </si>
  <si>
    <t>Romanian Urban Index – Sistem independent de monitorizare al serviciilor publice</t>
  </si>
  <si>
    <t>LINC - creșterea capacității administrației publice centrale în prevenirea și identificarea cazurilor de conflicte de interese, incompatibilității și averi nejustificate</t>
  </si>
  <si>
    <t>Servicii sociale pentru fiecare vârstnic – pachet de achiziții de servicii în fiecare comunitate</t>
  </si>
  <si>
    <t>Acces egal la educatie pentru minoritațile
etnice din România</t>
  </si>
  <si>
    <t xml:space="preserve">AA1/24.11.2021 durata si buget </t>
  </si>
  <si>
    <t>AA1/26.10.2021 durata AA2/26.11.2021 durata</t>
  </si>
  <si>
    <t xml:space="preserve"> Județul Dolj</t>
  </si>
  <si>
    <t>Pașcani</t>
  </si>
  <si>
    <t xml:space="preserve">Municipiul Târnăveni </t>
  </si>
  <si>
    <t>Piatra Neamț</t>
  </si>
  <si>
    <t>Vrancea</t>
  </si>
  <si>
    <t>AA1/6.12.2021 durată</t>
  </si>
  <si>
    <t>MINISTERUL ECONOMIEI</t>
  </si>
  <si>
    <t>Județul Bistriţa-Năsăud</t>
  </si>
  <si>
    <t>Conștientizare, formare, responsabilizare pentru
prevenirea corupției</t>
  </si>
  <si>
    <t>Direcția
Generală
Anticorupție</t>
  </si>
  <si>
    <t>Obiectivul general al proiectului este cresterea gradului de constientizare al pericolului pe care îl reprezinta actul de coruptie în rândul
functionarilor publici din cadrul Consiliului Judetean Bistrita-Nasaud, prin implementarea unor masuri de prevenire a coruptiei, aplicarea
mecanismelor, procedurilor si normelor de etica si integritate, precum si îmbunatatirea cunostintelor si competentelor în ceea ce priveste
prevenirea coruptiei.
Obiectivele specifice ale proiectului
1. OS 1: Implementarea a 3 proceduri operationale aplicabila in cadrul CJ BN cat si in cadrul autoritatilor si institutiilor locale aflate in
subordinea, sub autoritatea sau coordonarea CJ BN in vederea cresterii integritatii si reducerii vulnerabilitatii la coruptie
2. OS 2: Cresterea gradului de constientizare a coruptiei atât în rândul cetatenilor cât si al personalului din cadrul Consiliului
Judetean Bistrita-Nasaud
3. OS 3:Cresterea gradului de educatie anticoruptie pentru un numar de 90 de persoane, personal de conducere si de executie din
cadrul Consiliului Judetean Bistrita-Nasaud si consilieri judeteni prin organizarea de cursuri de instruire/formare profesionala, in
domeniul prevenirii coruptiei, eticii si integritatii
4. OS 4: Implementarea sistemului de management anti-mita conform Standardului ISO 37001</t>
  </si>
  <si>
    <t>AA1/27.06.2019 buget               AA2/04.02.2020  buget AA3/14.07.2020 durata AA4/12.04.2021 durata</t>
  </si>
  <si>
    <t>AA1/11.06.2021 durata AA2/9.12.2021 durata</t>
  </si>
  <si>
    <t>AA1/23.12.2020 durata AA2/9.12.2021 durata</t>
  </si>
  <si>
    <t>AA1/26.11.2020 durata AA2/9.12.2021 durata</t>
  </si>
  <si>
    <t>Ministerul Muncii și Solidarității Sociale</t>
  </si>
  <si>
    <t>AA1/15.12.2021 durata</t>
  </si>
  <si>
    <t>AA1/13.12.2021 durata, buget (ue, cb)</t>
  </si>
  <si>
    <t>RISE - cReștem Integritatea, tranSparența și Etica în administrația publică locală!</t>
  </si>
  <si>
    <t>Direcția Generală
Anticorupție</t>
  </si>
  <si>
    <t>Integritate și responsabilitate în administrația
publică arădeană</t>
  </si>
  <si>
    <t>Obiectivul general al proiectului
Obiectivul general al proiectului este intarirea capacitatii administrative a institutiei, prin implementarea unor mecanisme si masuri care sa faciliteze punerea in aplicare a cadrului legal in domeniul eticii si integritatii, prin imbunatatirea cunostintelor si competentelor personalului propriu, precum si prin cresterea gradului de informare si constientizare a cetatenilor si a angajatilor privind importanta prevenirii si combaterii coruptiei.
Obiectivele specifice ale proiectului
1. OS 1 Cresterea gradului de implementare a masurilor de prevenire a coruptiei si a indicatorilor de evaluare in cadrul UAT
Municipiul Arad prin implementarea si certificarea standardului ISO 37001
2. OS 2 Cresterea gradului de constientizare a efectelor coruptiei in randul personalului din cadrul Primariei Municipiului Arad, cat si
in randul cetatenilor
3. OS 3 Imbunatatirea cunostintelor si a competentelor personalului in ceea ce priveste prevenirea coruptiei, etica si integritatea</t>
  </si>
  <si>
    <t>Etică, transparență și integritate în Primaria
Municipiului Mangalia</t>
  </si>
  <si>
    <t>AA1/16.12.2021 durata</t>
  </si>
  <si>
    <t>AA2/16.12.2021 durata, ue bn</t>
  </si>
  <si>
    <t>Creșterea transparenței, eticii și integrității în cadrul UAT Municipiul Carei</t>
  </si>
  <si>
    <t>Etică și integritate în municipiul Marghita</t>
  </si>
  <si>
    <t>AA1/20.12.2021 durata</t>
  </si>
  <si>
    <t>Prevenirea corupției prin implementarea de sisteme de management, la nivelul Municipiului Urziceni</t>
  </si>
  <si>
    <t>Acțiuni de conștientizare pentru transparența și consolidarea integrității la nivelul U.A.T. Municipiul Orăștie</t>
  </si>
  <si>
    <t>Ministerul Antreprenoriatului și
Turismului</t>
  </si>
  <si>
    <t>AA1/21.12.2021 durata</t>
  </si>
  <si>
    <t>Municipiul Galați</t>
  </si>
  <si>
    <t>Eficiență și eficacitate în administrația publică
locală prin integritate</t>
  </si>
  <si>
    <t>Transparență, etică și integritate în Municipiul Bistrița</t>
  </si>
  <si>
    <t>Dezvoltarea si consolidarea capacitatii administrative a institutiei, prin eficientizarea activitatilor de prevenire si combatere a coruptiei in
administratia publica locala si promovarea eticii ai integritatii, pentru imbunatatirea performantelor in activitate, cresterea transparentei
procesului decizional si reducerea vulnerabilitatilor la coruptie
Obiectivele specifice ale proiectului
1. OS 1 - Cresterea gradului de constientizare a efectelor coruptiei, prin realizarea unui Studiu privind perceptia in randul cetatenilor
municipiului Bistrita si al personalului din cadrul administratiei publice locale referitor la aspecte legate de coruptie si derularea
unei campanii de constientizare anticoruptie
2. OS 2 - Imbunatatirea competentelor in domeniul eticii si integritatii pentru 120 de persoane – angajati ai administratiei publice
locale a UAT Municipiul Bistrita (personal de conducere si de executie din aparatul de specialitate al Primarului municipiului
Bistrita si al serviciilor/institutiilor de interes local) si/sau alesi locali
3. OS 3 - Elaborarea Planului de Integritate pentru implementarea Strategiei Nationale Anticoruptie 2021-2025 la nivelul UAT
Municipiul Bistrita si a procedurilor operationale privind masurile preventive antcoruptie</t>
  </si>
  <si>
    <t>Municipiul Adjud</t>
  </si>
  <si>
    <t>CONSOLIDAREA INTEGRITĂȚII, REDUCEREA RISCURILOR DE CORUPȚIE</t>
  </si>
  <si>
    <t>Adjud</t>
  </si>
  <si>
    <t>AA1/22.12.2021 durata</t>
  </si>
  <si>
    <t>AA1/23.12.2021, durata, ue, cb</t>
  </si>
  <si>
    <t>AA1/23.12.2021</t>
  </si>
  <si>
    <t>FEPEAJU - Formare eficientă pentru practici etice, administrative și judiciare unitare</t>
  </si>
  <si>
    <t xml:space="preserve">IP22/2021 (MySMIS: POCA/945/2/3) </t>
  </si>
  <si>
    <t>AA1/05.05.2020 suspendare proiect 2 luni;                                    Notificare nr.8/23.12.2021 prelungire durata 2 luni</t>
  </si>
  <si>
    <t>AA1/27.12.2021 durata si ue, cb</t>
  </si>
  <si>
    <t>Extinderea și îmbunătățirea modalităților de
prevenire a corupției la nivelul UAT-Județul Tulcea</t>
  </si>
  <si>
    <t>Județul Tulcea</t>
  </si>
  <si>
    <t xml:space="preserve"> Ministerul Muncii si Solidaritatii Sociale</t>
  </si>
  <si>
    <t>AA1/28.06.2021 durata  AA2/30.12.2021 durata</t>
  </si>
  <si>
    <t>AA1/30.09.2021 durata   AA2/30.12.2021 durata</t>
  </si>
  <si>
    <t>1. PARCHETUL DE PE LINGA INALTA CURTE DE CASATIE SI JUSTITIE                2. INSTITUTUL NATIONAL AL MAGISTRATURII                     3. INSPECTIA JUDICIARA</t>
  </si>
  <si>
    <t>Anticorupție prin etică, integritate și
transparență la nivelul județului Teleorman</t>
  </si>
  <si>
    <t>Direcția
Generală
Anticorupți
e</t>
  </si>
  <si>
    <t>Obiectivul general al proiectului consta in cresterea eticii, integritatii si transparentei la nivelul Consiliului Judetean Teleorman prin
reducerea vulnerabilitatilor si a riscurilor de coruptie, cresterea gradului de informare cu privire la impactul fenomenului coruptiei si
educarea personalului prin constientizarea faptelor de coruptie.
Obiectivele specifice ale proiectului
1. - Realizarea unui ghid de bune practici, standarde de etica si integritate;
- Implementarea si certificarea sistemului de management anti-mita conform prevederilor ISO 37001:2016;
- Realizarea unei campanii de informare, constientizare si educare anticoruptie;
- Instruirea personalului in vederea aplicarii masurilor de prevenire a coruptiei.
Prin activitatile care vor fi derulate in cadrul proiectului se vor atinge obiectivele specifice ale proiectului avand ca nucleu
obiectivul general al proiectului privind cresterea transparentei, eticii si integritatii.</t>
  </si>
  <si>
    <t>Ordin modificare nr. 49/12.01.2022 durata si ue, cb</t>
  </si>
  <si>
    <t>AA3/27.09.2019                                     AA4/22.09.2020 durata AA5/14.01.2022 durata si buget</t>
  </si>
  <si>
    <t>AA1/16.11.2020 durata             AA2/18.01.2022 durata</t>
  </si>
  <si>
    <t>Județul Hunedoara</t>
  </si>
  <si>
    <t>Etică și integritate prin prevenirea și
combaterea corupției din administrația publică a Județului Hunedoara</t>
  </si>
  <si>
    <t>Măsuri integrate pentru prevenirea corupției şi
creşterea gradului de transparenţă la nivelul Municipiului Făgăraş</t>
  </si>
  <si>
    <t>Făgăraș</t>
  </si>
  <si>
    <t>AA1/26.05.2021 durata AA2/13.08.2021 (ue, cb, bn)                        AA3/28.01.2022 durata</t>
  </si>
  <si>
    <t>AA1/7.09.2021 durata AA2/28.01.2022 durata</t>
  </si>
  <si>
    <t>AA1/27.01.2022 durata</t>
  </si>
  <si>
    <t>Creșterea transparenței, eticii și integrității în
cadrul Consiliului Județean Ialomița și a instituțiilor subordonate prin implementarea măsurilor
integrate de prevenire a corupției</t>
  </si>
  <si>
    <t>126500</t>
  </si>
  <si>
    <t>AA1/12.10.2021 durata AA2/11.02.2022 durata</t>
  </si>
  <si>
    <t>AA1/11.03.2021 durata si buget              AA2/5.11.2021 durata  AA3/11.02.2022 durata</t>
  </si>
  <si>
    <t>AA1/27.08.2020 durata AA2/11.02.2022 durata</t>
  </si>
  <si>
    <t>AA1/11.02.2022 durata</t>
  </si>
  <si>
    <t>AA1/30.07.2021   AA2/11.02.2022 durata si ue, cb</t>
  </si>
  <si>
    <t>Autoritatea Națională Pentru Drepturile Persoanelor Cu Dizabilități, Copii și Adopții</t>
  </si>
  <si>
    <t>Creșterea transparentei, eticii si integrității la
nivelul Municipiul Dorohoi</t>
  </si>
  <si>
    <t>Dezvoltarea unui sistem inovator si complex de prevenire si combatere a coruptiei la nivelul administratiei publice locale a Municipiul
Dorohoi pe principiul „stop-coruptie                                                                                                                                                                                                                                                                OS1. Cresterea gradului de informare si constientizare a cetatenilor si a personalului administratiei publice locale din Mun.
Dorohoi cu privire la impactul fenomenului coruptiei prin 4 campanii pentru 200 de astfel de participanti                                                                                           OS2. Imbunatatirea cunostintelor si competentelor profesionale pentru 120 de reprezentanti dintre alesi locali si personal din
conducere si executie din cadrul UAT Municipiul Dorohoi privind etica si integritatea.                                                                                                                                        OS3. Cresterea gradului de implementare a masurilor referitoare la prevenirea coruptiei prin implementarea 1 platforme
anticoruptie „e-stop-coruptie-Dorohoi”, introducerea si certificarea standardului ISO 37001 si introducerea a 2 noi proceduri
operationale privind masurile preventive anticoruptie.</t>
  </si>
  <si>
    <t>Sectorul 5 al municipiului București</t>
  </si>
  <si>
    <t>CP 15more/2021</t>
  </si>
  <si>
    <t>Întărirea capacității administrative, prin implementarea unor măsuri preventive anticorupție, la nivelul Sectorului 5 al Municipiului București</t>
  </si>
  <si>
    <t>AA1/2.09.2020 durata  AA2/24.02.2022 durata</t>
  </si>
  <si>
    <t>AA1/26.11.2019 AA LA ACORDUL DE PARTENERIAT AA2/12.08.2020 durata, ue, cb AA3/23.02.2021 ue, cb AA5/24.02.2022 durata</t>
  </si>
  <si>
    <t>Agentia Națională de Integritate</t>
  </si>
  <si>
    <t>NIAct - Actualizarea legislației în domeniul integrității și oferirea de sprijin autorităților și deponenților în tranziția către declararea digitală a averilor și intereselor</t>
  </si>
  <si>
    <t>1. ASOCIAȚIA ROMÂNĂ PENTRU
TRANSPARENȚĂ                     2. Ministerul Justiției</t>
  </si>
  <si>
    <t>IP23/2021 (MySMIS:POCA/949/2/2/)</t>
  </si>
  <si>
    <t>AA1/24.08.2021 durata, buget (ue, bn, cb) AA2/27.12.2021 (ue, bn)    AA3/4.03.2022 durata</t>
  </si>
  <si>
    <t>AA1/4.03.2022 durata</t>
  </si>
  <si>
    <t>AA1/1.03.2022 durata si buget</t>
  </si>
  <si>
    <t>AA1/24.12.2019    AA2/27.07.2020 fse, bn AA3/3.03.2022 durata</t>
  </si>
  <si>
    <t>DIRECȚIA GENERALĂ ANTICORUPȚIE</t>
  </si>
  <si>
    <t>PAcT - Parteneriat pentru Anticorupție și Transparență în Ilfov</t>
  </si>
  <si>
    <t>Continuarea consolidării si a eficientizării sistemului național de recuperare a creanțelor provenite din infracțiuni</t>
  </si>
  <si>
    <t>MINISTERUL ENERGIEI</t>
  </si>
  <si>
    <t>AA1/19.08.2021 durata  AA2/10.03.2022 durata</t>
  </si>
  <si>
    <t>AA1/10.03.2022 durata</t>
  </si>
  <si>
    <t>Îmbunătățirea capacității administrative locale privind dezvoltarea, implementarea și promovarea măsurilor anticorupție</t>
  </si>
  <si>
    <t>NU corupție, DA integritate!</t>
  </si>
  <si>
    <t>AA1/24.09.2021 durata AA2/10.03.2022 durata</t>
  </si>
  <si>
    <t>Comuna Mihai Bravu</t>
  </si>
  <si>
    <t>Ecosistem digital interconectat și integrat in
cadrul ITI Tulcea - UAT Mihai Bravu</t>
  </si>
  <si>
    <t>Mihai Bravu</t>
  </si>
  <si>
    <t>CP16less/2021</t>
  </si>
  <si>
    <t>Consolidarea capacitatii institutionale si eficientizarea activitatii la nivelul UAT Mihai Bravu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</si>
  <si>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Greci</t>
  </si>
  <si>
    <t>Ecosistem digital interconectat și integrat in cadrul ITI Tulcea - UAT Comuna Greci</t>
  </si>
  <si>
    <t xml:space="preserve"> Greci</t>
  </si>
  <si>
    <t>Comuna Istria</t>
  </si>
  <si>
    <t>Ecosistem digital interconectat și integrat in
cadrul ITI Tulcea - UAT Comuna Istria</t>
  </si>
  <si>
    <t>Istria</t>
  </si>
  <si>
    <t>Comuna Nufăru</t>
  </si>
  <si>
    <t>Ecosistem digital interconectat și integrat in
cadrul ITI Tulcea - UAT Comuna Nufăru</t>
  </si>
  <si>
    <t>Nufăru</t>
  </si>
  <si>
    <t>Comuna Văcăreni</t>
  </si>
  <si>
    <t>Ecosistem digital interconectat și integrat în
cadrul ITI Tulcea - UAT Comuna Văcăreni</t>
  </si>
  <si>
    <t>Văcăreni</t>
  </si>
  <si>
    <t>Comuna Luncavița</t>
  </si>
  <si>
    <t>Ecosistem digital interconectat și integrat in
cadrul ITI Tulcea - UAT Comuna Luncavița</t>
  </si>
  <si>
    <t>Luncavița</t>
  </si>
  <si>
    <t>Ecosistem digital instituțional pentru eficientizarea activității administrației publice la nivelul Consiliului Județean Ialomița</t>
  </si>
  <si>
    <t>Comuna Valea Nucarilor</t>
  </si>
  <si>
    <t>Ecosistem digital interconectat și integrat in
cadrul ITI Tulcea - UAT Comuna Valea Nucarilor</t>
  </si>
  <si>
    <t xml:space="preserve"> Valea Nucarilor</t>
  </si>
  <si>
    <t>Comuna Mihail Kogălniceanu</t>
  </si>
  <si>
    <t>Ecosistem digital interconectat și integrat in
cadrul ITI Tulcea - UAT Mihail Kogalniceanu</t>
  </si>
  <si>
    <t>Obiectivul general al proiectului/Scopul proiectului
Consolidarea capacitatii institutionale si eficientizarea activitatii la nivelul UAT Comuna Valea Nucarilor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</si>
  <si>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 xml:space="preserve"> Mihail Kogălniceanu</t>
  </si>
  <si>
    <t>Comuna Grindu</t>
  </si>
  <si>
    <t>Ecosistem digital interconectat și integrat in cadrul ITI Tulcea - Comuna Grindu</t>
  </si>
  <si>
    <t xml:space="preserve"> Grindu</t>
  </si>
  <si>
    <t>Comuna Baia</t>
  </si>
  <si>
    <t>Ecosistem digital interconectat și integrat în
cadrul ITI Tulcea - UAT Comuna Baia</t>
  </si>
  <si>
    <t>Baia</t>
  </si>
  <si>
    <t>AA1/21.03.2022 durata</t>
  </si>
  <si>
    <t>AA1/22.03.2022 durata</t>
  </si>
  <si>
    <t>AA1/17.05.2021 durata AA2/16.08.2021 neelig AA3/22.03.2022 durata</t>
  </si>
  <si>
    <t>AA3/20.11.2019 prelungire   AA4/25.09.2020 durata  AA5/9.06.2021 durata si buget                  AA6/21.03.2022 durata</t>
  </si>
  <si>
    <t>Comuna Maliuc</t>
  </si>
  <si>
    <t>Ecosistem digital interconectat și integrat in cadrul ITI Tulcea - UAT Maliuc</t>
  </si>
  <si>
    <t>Maliuc</t>
  </si>
  <si>
    <t>Comuna Beștepe</t>
  </si>
  <si>
    <t>Ecosistem digital interconectat și integrat in cadrul ITI Tulcea - UAT Beștepe</t>
  </si>
  <si>
    <t>Beștepe</t>
  </si>
  <si>
    <t>AA1/7.09.2021 suspendare 6 luni  AA2/29.03.2022 durata</t>
  </si>
  <si>
    <t>AA1/9.09.2020 UE, CB, CP  AA2/29.03.2022 durata</t>
  </si>
  <si>
    <t>Comuna Slava Cercheză</t>
  </si>
  <si>
    <t>Ecosistem digital interconectat și integrat in
cadrul ITI Tulcea – UAT Slava Cercheză</t>
  </si>
  <si>
    <t xml:space="preserve"> Slava Cercheză</t>
  </si>
  <si>
    <t>Comuna Mihai Viteazu</t>
  </si>
  <si>
    <t>Ecosistem digital interconectat si integrat in
cadrul ITI Tulcea - UAT Comuna Mihai Viteazu</t>
  </si>
  <si>
    <t xml:space="preserve"> Mihai Viteazu</t>
  </si>
  <si>
    <t>Ordin 391 /18.03.2021  Ordin 504/1.04.2022 durata</t>
  </si>
  <si>
    <t>AA1/14.07.2020 prelungire, diminuare AA2/1.09.2021 durata   AA3/5.04.2022 durata</t>
  </si>
  <si>
    <t>AA1/22.03.2021 durata, buget            AA2/1.04.2022 durata</t>
  </si>
  <si>
    <t>AA2/20.07.2021 buget   AA3/4.04.2022 durata</t>
  </si>
  <si>
    <t>AA1/5.04.2022 durata si neeligibil</t>
  </si>
  <si>
    <t>Sectorul 6 al municipiului București</t>
  </si>
  <si>
    <t>Vorbim deschis despre corupție și integritate publică! Primăria sectorului 6, o instituție cu sisteme anticorupție implementate și funcționale</t>
  </si>
  <si>
    <t>UAT Comuna Niculițel</t>
  </si>
  <si>
    <t>Ecosistem digital interconectat și integrat în cadrul ITI Tulcea - UAT Comuna Niculițel</t>
  </si>
  <si>
    <t>Consolidarea capacitatii institutionale si eficientizarea activitatii la nivelul UAT Niculitel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</si>
  <si>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Niculițel</t>
  </si>
  <si>
    <t>Județul Dâmbovița</t>
  </si>
  <si>
    <t>CJD – Contribuția Județului Dâmbovița la
reducerea birocrației prin introducerea de proceduri simplificate</t>
  </si>
  <si>
    <t>Orașul Măcin</t>
  </si>
  <si>
    <t>Ecosistem digital interconectat și integrat in
cadrul ITI Tulcea - Primaria Măcin</t>
  </si>
  <si>
    <t>Consolidarea capacitatii institutionale si eficientizarea activitatii la nivelul UAT Orasul Macin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1. Optimizarea procedurilor administrative interne în raport cu beneficiarii serviciilor publice, în scopul reducerii birocratiei,
prin implementarea unui ecosistem digital integrat
2. 2. Elaborarea Strategiei de Transformare Digitala a Orasului Macin</t>
  </si>
  <si>
    <t>Măcin</t>
  </si>
  <si>
    <t>Planificare strategică, mobilitate urbană și
managementul calității</t>
  </si>
  <si>
    <t>Digitalizarea procedurilor administrative la
Primăria Miercurea-Ciuc</t>
  </si>
  <si>
    <t>Sisteme și standarde comune în administrația publică locală a Municipiului Făgăraş</t>
  </si>
  <si>
    <t>Management performant si proceduri
administrative simplificate pentru cetățenii municipiului Dej</t>
  </si>
  <si>
    <t>Obiectivul general al proiectului consta in continuarea masurilor de consolidare a capacitatii institutionale si eficientizarea activitatii la
nivelul Municipiului Dej prin introducerea utilizarii de instrumente de management al calitatii si performantei in administratia publica locala, in concordanta cu Planul de actiuni pentru implementarea etapizata a managementului calitatii in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implementand masuri din perspectiva back-office (adaptarea procedurilor interne de lucru) si front-office pentru serviciile publice furnizate
aferente competentelor partajate ale primariei.
Obiectivele specifice ale proiectului
1. OS1. Introducerea utilizarii de instrumente de management al calitatii si performantei in administratia publica locala, in
concordanta cu Planul de actiuni pentru implementarea etapizata a managementului calitatii in autoritati si institutii publice 2016-
2020, respectiv CAF si BSC – aferente Rezultatului de program 2;
2. OS2.Extinderea masurilor de simplificare pentru cetateni conform Planului integrat pentru simplificarea procedurilor administrative
aplicabile cetatenilor din perspectiva front-office si back-office pentru serviciile publice furnizate aferente competentelor partajate
ale primariei. In acest sens este avuta in vedere achizitia si implementarea unor module informatice noi care vor acoperi
necesitatile institutiei pentru servicii electronice complete vizand competentele partajate ale primariei. Modulele informatice care
vor fi achizitionate vor viza atat zona de front-office cat si back-office si vor fi asigura interoperabilitatea si integrarea cu celelalte
sisteme informatice ale primariei. Solutiile pentru servicii electronice aferente competentelor partajate ale primariei vor respecta
principiile: one stop shop pentru livrarea de servicii publice electronice; utilizarea inteligenta a informatiilor disponibile prin
aplicarea principiului inregistrarii "o singura data" a datelor – conceptul de identitate electronica a cetateanului; spatiul privat
virtual al cetateanului in relatia cu primaria – aferente Rezultatului de program 3 (competente partajate);
3. OS3. Dezvoltarea cunostintelor si abilitatilor personalului din cadrul Municipiului Dej, in vederea sprijinirii masurilor vizate de
proiect. Este avuta in vedere formarea/instruirea, evaluarea/testarea si certificarea competentelor/cunostintelor dobandite pentru
90 de persoane (personal de conducere, de executie si alesi locali), din care 15 de persoane pentru BSC si 45 de persoane
pentru CAF, precum si 30 de persoane, din cadrul grupului tinta, in ceea ce priveste utilizarea solutiilor informatice implementate
in cadrul proiectului – aferente Rezultatului de program 5;</t>
  </si>
  <si>
    <t>Comuna Corbu</t>
  </si>
  <si>
    <t>Măsuri și instrumente pentru o administrație
eficientă pentru cetățeni</t>
  </si>
  <si>
    <t>Corbu</t>
  </si>
  <si>
    <t>Comuna Ceatalchioi</t>
  </si>
  <si>
    <t>Planificare strategică și digitalizare în
administrația UAT Comuna Ceatalchioi</t>
  </si>
  <si>
    <t>Ceatalchioi</t>
  </si>
  <si>
    <t>Comuna Crișan</t>
  </si>
  <si>
    <t>Crișan</t>
  </si>
  <si>
    <t>Optimizarea proceselor de lucru pentru
simplificarea procedurilor administrative si reducerea birocrației la nivelul Comunei Crișan, jud.
Tulcea</t>
  </si>
  <si>
    <t>Administrație eficientă prin implementarea de
măsuri de digitalizare la nivelul Comunei Chilia Veche, Jud. Tulcea</t>
  </si>
  <si>
    <t>Comuna Chilia Veche</t>
  </si>
  <si>
    <t xml:space="preserve"> Chilia Veche</t>
  </si>
  <si>
    <t>Simplificarea procedurilor administrative în
domeniul competențelor partajate, la nivelul Municipiului Hunedoara</t>
  </si>
  <si>
    <t>MaraRoads</t>
  </si>
  <si>
    <t>Obiectivul general al proiectului il reprezinta consolidarea capacitatii institutionale a Consiliului Judetean Maramures in vederea cresterii
performantei administratiei locale si optimizarea proceselor administrative ale institutiei si adoptarea unor masuri de simplificare a furnizarii serviciilor catre cetateni si mediul de afaceri, prin implementarea unor sisteme informatice inovative.                                                                     OS1. Simplificarea procedurilor administrative vizand competentele partajate in domeniul infrastructurii de transport rutier
judetean, in cadrul Consiliului Judetean Maramures prin implementarea unei solutii informatice care sa ofere servicii publice
electronice de informare si servicii digitale pentru cetateni, în perioada de implementare a proiectului.                                                                                            OS2. Cresterea nivelului de pregatire a personalului Consiliului Judetean Maramures pentru utilizarea eficienta a sistemului
informatic prin instruirea unui numar de 30 de angajati, în perioada de implementare a proiectului.</t>
  </si>
  <si>
    <t>Turnu Măgurele</t>
  </si>
  <si>
    <t>Turnu Măgurele Digital</t>
  </si>
  <si>
    <t>Suceava UrbanGIS - Digitalizarea serviciilor partajate în Municipiul Suceava</t>
  </si>
  <si>
    <t>Consolidarea capacitatii institutionale si eficientizarea activitatii la nivelul Primariei Municipiului Suceava prin implementarea de
mecanisme de fundamentare a deciziilor si planificare strategica pe termen lung, precum si reducerea birocratiei pentru serviciile publice
partajate furnizate cetatenilor.
Obiectivele specifice ale proiectului
1. Planificarea dezvoltarii si implementarii unor mecanisme de colaborare si consultare cu actorii relevanti in vederea sustinerii
dezvoltarii la nivel local in Municipiul Suceava
2. Dezvoltarea de mecanisme de interactiune cu cetatenii in cadrul unui Centru de Inovare si Imaginatie Civica (CIIC) la nivelul
Primariei Municipiului Suceava
3. Implementarea unor masuri de simplificare a procedurilor administrative pentru serviciile publice partajate furnizate cetatenilor, in
legatura cu Planul integrat pentru simplificarea procedurilor administrative aplicabile cetatenilor, prin dezvoltarea unei solutii GIS
in domeniul urbanismului la nivelul Primariei Municipiului Suceava</t>
  </si>
  <si>
    <t>Sectorul 6 al Municipiului București</t>
  </si>
  <si>
    <t>Primărie fără hârtie II – Digitalizarea DGASPC Sector 6 prin soluție informatică inovativă ca masură de simplificare administrativă și de optimizare a furnizării serviciilor de asistență socială pentru cetățeni</t>
  </si>
  <si>
    <t>Direcția Generala de
Asistenta Sociala si Protecția
Copilului sector 6</t>
  </si>
  <si>
    <t>CP16more/2021</t>
  </si>
  <si>
    <t>Comuna Sfântu Gheorghe</t>
  </si>
  <si>
    <t>Planificare strategică și simplificarea
procedurilor administrative la nivelul UAT Comuna Sfântu Gheorghe, Jud. Tulcea</t>
  </si>
  <si>
    <t xml:space="preserve"> Sfântu Gheorghe</t>
  </si>
  <si>
    <t>Instrumente de management al performanței și proceduri administrative simplificate pentru competențele exclusive la nivelul Municipiului Câmpulung Moldovenesc</t>
  </si>
  <si>
    <t>Ecosistem digital interconectat și integrat in
cadrul UAT Municipiul Alexandria</t>
  </si>
  <si>
    <t xml:space="preserve"> Alexandria</t>
  </si>
  <si>
    <t>MINISTERUL ANTREPRENORIATULUI ȘI TURISMULUI</t>
  </si>
  <si>
    <t>AA1/28.06.2021 durata  AA2/11.04.2022 durata</t>
  </si>
  <si>
    <t>Județul Covasna</t>
  </si>
  <si>
    <t>eCovasna</t>
  </si>
  <si>
    <t>Simplificarea procedurilor administrative și
reducerea birocrației în cadrul Consiliului Județean Bistrița-Năsăud</t>
  </si>
  <si>
    <t>Obiectivul general al proiectului consta in consolidarea capacitatii institutionale si eficientizarea activitatii la nivelul Consiliului Judetean
Bistrita Nasaud, prin simplificarea procedurilor administrative si reducerea birocratiei pentru cetateni, implementând masuri din perspectiva back-office si front-office pentru serviciile publice furnizate partajat.
Obiectivele specifice ale proiectului
1. OS 1 Realizarea unor seturi de Proceduri simplificate pentru reducerea birocratiei pentru cetateni la nivel local corelate cu Planul
integrat de simplificare a procedurilor administrative pentru cetateni implementate
2. OS 2: Cresterea nivelului de Cunostinte si abilitati ale personalului Consiliului Judetean Bistrita Nasaud, în vederea sprijinirii
masurilor/actiunilor vizate de acest obiectiv specific</t>
  </si>
  <si>
    <t>Orașul Babadag</t>
  </si>
  <si>
    <t>Simplificarea procedurilor administrative la
nivelul Orasului Babadag</t>
  </si>
  <si>
    <t>Babadag</t>
  </si>
  <si>
    <t>Management performant și proceduri simplificate pentru competențele exclusive la nivelul Municipiului Vatra Dornei</t>
  </si>
  <si>
    <t>Comuna Jurilovca</t>
  </si>
  <si>
    <t>Investiții pentru optimizarea proceselor și
creșterea calității serviciilor administrației publice locale din Comuna Jurilovca, Jud. Tulcea</t>
  </si>
  <si>
    <t xml:space="preserve"> Jurilovca</t>
  </si>
  <si>
    <t>Continuarea simplificării procedurilor administrative la nivelul Municipiului Gherla</t>
  </si>
  <si>
    <t>Obiectivul general al proiectului consta in continuarea masurilor de consolidare a capacitatii institutionale si eficientizarea activitatii la
nivelul Municipiului Gherla prin introducerea utilizarii de instrumente de management al calitatii si performantei in administratia publica
locala, in concordanta cu Planul de actiuni pentru implementarea etapizata a managementului calitatii in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implementand masuri din perspectiva back-office (adaptarea procedurilor interne de lucru) si front-office pentru serviciile publice
furnizate aferente competentelor exclusive ale primariei.
Obiectivele specifice ale proiectului
1. OS1. Introducerea utilizarii de instrumente de management al calitatii si performantei in administratia publica locala, in
concordanta cu Planul de actiuni pentru implementarea etapizata a managementului calitatii in autoritati si institutii publice 2016-
2020, respectiv CAF si BSC.
2. OS2.Extinderea masurilor de simplificare pentru cetateni conform Planului integrat pentru simplificarea procedurilor administrative
aplicabile cetatenilor din perspectiva front-office si back-office pentru serviciile publice furnizate aferente competentelor exclusive
ale primariei prin achizitionarea si implementarea unor module informatice noi care vor asigura interoperabilitatea si integrarea cu
celelalte sisteme informatice ale primariei .
3. OS3. Dezvoltarea cunostintelor si abilitatilor personalului din cadrul Municipiului Gherla in ceea ce priveste utilizarea solutiilor
informatice implementate in cadrul proiectului si utilizarea instrumentelor de management al calitatii si performantei CAF si BSC in
administratia publica locala.</t>
  </si>
  <si>
    <t>Servicii electronice extinse pentru Municipiul Arad</t>
  </si>
  <si>
    <t>Investiții în consolidarea capacității
administrației publice a UAT Comuna Pardina, Jud. Tulcea</t>
  </si>
  <si>
    <t>Comuna Pardina</t>
  </si>
  <si>
    <t>Pardina</t>
  </si>
  <si>
    <t>AA1/13.04.2022 durata</t>
  </si>
  <si>
    <t>AA1/12.04.2022 durata</t>
  </si>
  <si>
    <t>Comuna Mahmudia</t>
  </si>
  <si>
    <t>Măsuri și instrumente destinate îmbunătățirii
proceselor în cadrul administrației UAT Mahmudia</t>
  </si>
  <si>
    <t>Mahmudia</t>
  </si>
  <si>
    <t>ADEPT – Administrație digitala eficienta pentru cetatenii din Turda</t>
  </si>
  <si>
    <t>Măsuri pentru simplificarea procedurilor
administrative și reducerea birocrației pentru cetățeni</t>
  </si>
  <si>
    <t>Administrație publică simplificată</t>
  </si>
  <si>
    <t>Comuna C.A. Rosetti</t>
  </si>
  <si>
    <t>Ecosistem digital interconectat și integrat în cadrul ITI Tulcea - UAT Comuna C.A. Rosetti</t>
  </si>
  <si>
    <t>C.A. Rosetti</t>
  </si>
  <si>
    <t>AA1/21.05.2021 durata, AA2/11.04.2022 suspendare durata cu 12 luni</t>
  </si>
  <si>
    <t>AA2/14.04.2022 durata</t>
  </si>
  <si>
    <t>AA1/18.08.2020 prelungire durata                AA3/14.04.2022 durata si buget</t>
  </si>
  <si>
    <t>Ministerul Economiei</t>
  </si>
  <si>
    <t>AA1/08.04.2019 AA5/14.04.2022 ue si cb
AA2/06.01.2020                         AA3/27.08.2020 durata si ue, cb                 AA4/5.11.2021 durata</t>
  </si>
  <si>
    <t>AA1/22.12.2020 AA2/10.08.2021 buget AA3/19.04.2022 durata si buget</t>
  </si>
  <si>
    <t>AA1/18.08.2020 AA3/24.05.2021 durata si buget (ue, cb)  AA4/19.04.2022 durata</t>
  </si>
  <si>
    <t>AA1/20.12.2021 durata AA2/19.04.2022 durata si ue cb</t>
  </si>
  <si>
    <t>AA1/15.10.2021 durata AA2/18.04.2022 durata</t>
  </si>
  <si>
    <t>Sistem de management al calității si performantei implementat la nivelul Consiliului Județean Vrancea</t>
  </si>
  <si>
    <t>Servicii de integrare și dezvoltare pentru
digitalizarea activității Primăriei Municipiului Târgoviște</t>
  </si>
  <si>
    <t>155173</t>
  </si>
  <si>
    <t>Implementarea unor măsuri de îmbunătățire a relației cetățeanului cu administrația publică municipală Calafat</t>
  </si>
  <si>
    <t>Obiectivul general al proiectului vizeaza dezvoltarea si implementarea unei solutii informatice integrate / unei platforme integrate care va
furniza digital fluxurile de lucru de baza din cadrul institutiei, in scopul eficientizarii procesarii documentelor, evitarii intreruperilor ce pot
aparea in fluxurile informationale ale institutiei, reducand astfel intarzierile in procesul decizional cu impact asupra activitatilor operative si
va asigura accesul online la serviciile publice gestionate de Municipiul Calafat, din regiunea mai putin dezvoltata Sud-Vest Oltenia.                           OS 1 - Elaborarea Strategiei Integrate de Dezvoltare Urbana 2023 - 2027 pentru Municipiul Calafat, cu scopul de a imbunatati
procesul de planificare strategica si de a creste eficienta actiunilor administrative la nivelul Municipiului.
2. OS 2 - Dezvoltarea si implementarea unei solutii informatice integrate / unei platforme integrate de digitalizare a proceselor de
administrare a informatiei si documentelor si simplificarea relatiei cu cetatenii, cu componenta de tip back-office, front-office, retrodigitalizarea
documentelor din arhiva, ocerizarea arhivei electronice si integrarea datelor din punct de vedere informatic cu
aplicatiile existente la nivelul Municipiului Calafat.
3. OS 3 - Imbunatatirea abilitatilor si cunostintelor unui numar de 60 persoane, din diferite niveluri ierarhice, din cadrul Municipiului
Calafat in domeniul utilizarii solutiei informatice / platformei integrate de solutii dezvoltata prin proiect si totodata imbunatatirea
competentelor profesionale pe teme specifice institutiei (ex. planificare strategica, planificare bugetara, politici locale, etc.).</t>
  </si>
  <si>
    <t xml:space="preserve"> Calafat</t>
  </si>
  <si>
    <t>Facilitarea accesului la servicii sociale de calitate în Județul Prahova</t>
  </si>
  <si>
    <t>Sectorul 5 al Municipiului București</t>
  </si>
  <si>
    <t>Administrație inteligentă în contextul digitalizării</t>
  </si>
  <si>
    <t>Direcția Generala de
Asistenta Sociala si Protecția
Copilului sector 5</t>
  </si>
  <si>
    <t>Sectorul 1 al Municipiului București</t>
  </si>
  <si>
    <t>Implementarea instrumentelor de management al calității și performanței pentru standardizarea proceselor și serviciilor orientate către cetățeni la nivelul Sectorului 1 al Municipiului București</t>
  </si>
  <si>
    <t>A.P.I - Administrație Publică Inovativă</t>
  </si>
  <si>
    <t>AA1/30.12.2021 buget            AA2/20.04.2022 buget</t>
  </si>
  <si>
    <t>Platforma integrată privind simplificarea
procedurilor administrative la nivelul Municipiului Moreni</t>
  </si>
  <si>
    <t>Continuarea digitalizării serviciilor publice în
Municipiul Câmpia Turzii</t>
  </si>
  <si>
    <t>Sectorul 2 al Municipiului București</t>
  </si>
  <si>
    <t>Proceduri simplificate în vederea reducerii birocrației pentru cetățenii sectorului 2</t>
  </si>
  <si>
    <t>AA1/8.06.2021 durata AA2/27.04.2022 durata</t>
  </si>
  <si>
    <t>DERB - Digitalizare pentru Eficientizarea și Reducerea Birocrației</t>
  </si>
  <si>
    <t>Cresterea calitatii si transparentei procesului administrativ la nivelul Judetului NEAMT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OS 1. Imbunatatirea procesului decizional si a planificarii strategice la nivelul CJ Neamt prin elaborarea strategiei judetene privind
accelerarea dezvoltarii serviciilor comunitare de utilitati publice.
2. OS 2. Implementarea unor masuri de simplificare a proceselor de interactiune si de sprijin pentru reducerea birocratiei pentru
cetateni, prin elaborarea Strategiei de Transformare Digitala a Judetului Neamt, fluidizarea fluxurilor de lucru ale aparatului de
specialitate al CJ Neamt, inclusiv prin digitalizarea arhivei de documente, precum si fluidizarea comunicarii digitalizate intre UAT
Judetul Neamt si celelalte UAT din judetul Neamt.</t>
  </si>
  <si>
    <t>Facilitarea accesului la servicii sociale de calitate în Municipiul Focșani</t>
  </si>
  <si>
    <t>Turda online - Servicii publice digitalizate la
nivelul Primăriei Municipiului Turda</t>
  </si>
  <si>
    <t>Simplificarea procedurilor administrative la
nivelul municipiului Roșiorii de Vede</t>
  </si>
  <si>
    <t xml:space="preserve"> Roșiorii de Vede</t>
  </si>
  <si>
    <t>Ecosistem digital interconectat și integrat în cadrul UAT Municipiu Adjud</t>
  </si>
  <si>
    <t>Comuna Sarichioi</t>
  </si>
  <si>
    <t>Simplificarea procedurilor administrative la
nivelul Comunei Sarichioi</t>
  </si>
  <si>
    <t>Sarichioi</t>
  </si>
  <si>
    <t>Digitalizarea activității Consiliului Județean Vaslui- soluție pentru creșterea eficienței</t>
  </si>
  <si>
    <t>AA1/18.08.2020 diminuare buget AA2/5.05.2022 durata si ue cb</t>
  </si>
  <si>
    <t>AA1/5.05.2022 durata</t>
  </si>
  <si>
    <t>AA1/2.05.2022 durata ue si cb</t>
  </si>
  <si>
    <t>Ordin 424/30.03.2021 durata si buget (ue, bn, cb)/                                         Ordin 1627/15.11.2021 (ue, bn, cb) /                             Ordin 726 din 5.05.2022 durata (ue, cb, bn)</t>
  </si>
  <si>
    <t>Simplificarea procesului participativ și decizional în relația cu cetățenii prin digitalizarea integrată și eficientizarea administrației publice la nivelul Primăriei Municipiului Timișoara</t>
  </si>
  <si>
    <t>Planificare strategică și digitalizarea unor servicii publice partajate la nivelul Municipiului Tulcea</t>
  </si>
  <si>
    <t>Ecosistem digital interconectat și integrat în cadrul UAT Municipiului Toplița</t>
  </si>
  <si>
    <t>Proceduri simplificate pentru reducerea birocrației prin digitalizare în municipiul Piatra Neamț</t>
  </si>
  <si>
    <t>Obiectivul general al proiectului consta in consolidarea capacitatii administrative si reducerea birocratiei a Municipiului Piatra Neamt prin
extinderea sistemului informatic integrat si implementarea unui sistem de management al performantei si calitatii, determinand astfel
simplificarea procedurilor administrative exclusive si cresterea calitatii actului administrativ pe termen lung.
Obiectivele specifice ale proiectului
1. OS 1. Eficientizarea si simplificarea serviciilor publice exclusive furnizate cetatenilor de catre Primaria Muncipiului Piatra Neamt
prin extinderea sistemului informatic de servicii electronice.
2. OS 2. Imbunatatirea managementului calitatii prin introducerea unui sistem de management al performantei si calitatii - CAF, in
concordanta cu Planul de actiune in etape implementat in administratia publica locala
3. OS 3. Cresterea productivitatii muncii angajatilor din Primaria Muncipiului Piatra Neamt prin dobandirea de competente
informatice si in autoevaluarea muncii proprii conform sistemului de management al performantei si calitatii.</t>
  </si>
  <si>
    <t>Digital.IASI</t>
  </si>
  <si>
    <t>Măsuri pentru implementarea unui sistem de management al calității și performanței în administrația publică locală a Municipiului Deva, județul Hunedoara</t>
  </si>
  <si>
    <t>AA1/09.12.2019 AA2/19.04.2021 durata si buget AA3/27.07.2021 durata si buget  AA4/9.05.2022 durata</t>
  </si>
  <si>
    <t>Planificare strategică și digitalizarea serviciilor sociale aflate în competența Direcției de Asistență Socială Brașov</t>
  </si>
  <si>
    <t>Direcția de
Asistenta Sociala Brașov</t>
  </si>
  <si>
    <t>Municipiul Câmpulung</t>
  </si>
  <si>
    <t>Ecosistem digital interconectat și GIS integrat in cadrul UAT Municipiul Câmpulung</t>
  </si>
  <si>
    <t>Campulung</t>
  </si>
  <si>
    <t>Implementarea unui sistem de management performant pentru îmbunătățirea proceselor interne și creșterea calității serviciilor Primăriei Municipiului Drăgășani</t>
  </si>
  <si>
    <t>AA1/13.05.2022 durara si ue si cb</t>
  </si>
  <si>
    <t>Implementarea unui sistem de management al
calității în administrația județeană</t>
  </si>
  <si>
    <t>Instrumente de management al calității și
performanței în administrația publică locală a municipiului Carei</t>
  </si>
  <si>
    <t>AA1/16.05.2022 durata</t>
  </si>
  <si>
    <t>AA1/25.01.2021 AA2/16.05.2022 durata</t>
  </si>
  <si>
    <t>AA1/15.05.2022 ob specific 2</t>
  </si>
  <si>
    <t>AA1/28.06.2021 durata  AA2/16.05.2022 durata</t>
  </si>
  <si>
    <t>AA1/19.05.2022</t>
  </si>
  <si>
    <t>AA1/16.06.2021durata AA4/19.05.2022 durata si buget (ue, bn, cb)</t>
  </si>
  <si>
    <t>Dezvoltarea unei platforme de interoperabilitate pentru interacțiunea digitală cu beneficiarii Consiliului Județean Timiș</t>
  </si>
  <si>
    <t>Planificare strategică și management performant
la nivelul Primăriei Municipiului Onești</t>
  </si>
  <si>
    <t>Ecosistem digital interconectat și interoperabil</t>
  </si>
  <si>
    <t>MARMAȚIA - Strategii și standarde</t>
  </si>
  <si>
    <t>Obiectivul general al proiectului consta in consolidarea capacitatii institutionale si eficientizarea activitatii la nivelul Municipiului Sighetul
Marmatiei, prin simplificarea procedurilor administrative si reducerea birocratiei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4: Cresterea nivelului de cunostinte si abilitati ale personalului Municipiului Sighetul Marmatiei, în vederea sprijinirii
masurilor/actiunilor vizate de acest obiectiv specific
4. OS 3: Implementarea unui sistem de management al calitatii si performantei la nivelul Municipiului Sighetul Marmatiei</t>
  </si>
  <si>
    <t>Comuna Frecăței</t>
  </si>
  <si>
    <t>Dezvoltarea calității serviciilor și digitalizarea acestora în administrația publică locală Frecăței</t>
  </si>
  <si>
    <t>Frecăței</t>
  </si>
  <si>
    <t>Îmbunătățirea sistemului de management al
calității pentru o administrație performantă în Municipiul Brad, județul Hunedoara</t>
  </si>
  <si>
    <t>Județul Caraș Severin</t>
  </si>
  <si>
    <t>Creșterea calității serviciilor publice electronice pentru cetateni la nivelul Județului Caraș-Severin</t>
  </si>
  <si>
    <t>AA1/26.05.2022 durata</t>
  </si>
  <si>
    <t>AA 2/11.02.2021 durata AA3/22.11.2021 durata AA4/25.05.2022 durata</t>
  </si>
  <si>
    <t>AA1/24.05.2022 buget (ue, bn)</t>
  </si>
  <si>
    <t>Elaborarea PMUD 2023-2030 la nivelul municipiului
Satu Mare</t>
  </si>
  <si>
    <t>SIASCoP Bacau - Sistem informatic de
automatizare a serviciilor cu competente partajate</t>
  </si>
  <si>
    <t>Soluții informatice integrate pentru simplificare
administrativă și reducerea birocrației prin digitalizarea serviciilor publice partajate la nivelul
Consiliului Judetean Călărași</t>
  </si>
  <si>
    <t>Obiectivul general al proiectului consta in consolidarea capacitatii administrative a Consiliului Judetean Calarasi de a asigura calitatea si
accesul la serviciile publice oferite partajat prin simplificarea procedurilor administratiei judetene si reducerea birocratiei pentru cetateni.
Obiectivele specifice ale proiectului
1. OS 1 Eficientizarea si simplificarea serviciilor gestionate partajat catre Consiliul Judetean Calarasi, in corespondenta cu Planul
integrat pentru simplificarea procedurilor administrative aplicabile cetatenilor, prin extinderea si interconectarea solutiei de portal
existente cu module privind serviciile/competentele partajate ale institutiei
2. OS2-Dezvoltarea abilitatilor personalului CJ Calarasi prin specializarea angajatilor CJ pe teme specifice proiectului (utilizarea
modulelor sistem informatic) si organizarea unui schimb de experienta, in vederea simplificarii procedurilor administrative si
optimizarea proceselor orientate catre beneficiari</t>
  </si>
  <si>
    <t>Județul Iași</t>
  </si>
  <si>
    <t>Simplificarea procedurilor administrative la
nivelul Consiliului Județean Iași</t>
  </si>
  <si>
    <t>AA2/30.05.2022 durata si buget</t>
  </si>
  <si>
    <t>AA1/17.12.2019 AA2/27.05.2022 durata si ue, cb</t>
  </si>
  <si>
    <t>AA1/6.07.2021 AA2/27.05.2022 durata</t>
  </si>
  <si>
    <t>Orașul Sulina</t>
  </si>
  <si>
    <t>Ecosistem digital interconectat și integrat în
cadrul ITI Delta Dunării - UAT Orașul Sulina</t>
  </si>
  <si>
    <t xml:space="preserve">Sulina </t>
  </si>
  <si>
    <t>Obiectivul general al proiectului consta în consolidarea capacitatii institutionale si eficientizarea activitatii la nivelul UAT Orasul Sulina,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Optimizarea procedurilor administrative interne în raport cu beneficiarii serviciilor publice, în scopul reducerii birocratiei, prin
implementarea unui ecosistem digital integrat.
2. Strategia de Transformare Digitala a orasului Sulina</t>
  </si>
  <si>
    <t>Orașul Isaccea</t>
  </si>
  <si>
    <t>Planificare strategică și digitalizarea serviciilor
publice la nivelul orașului Isaccea</t>
  </si>
  <si>
    <t>Isaccea</t>
  </si>
  <si>
    <t>UAT Municipiul Câmpina</t>
  </si>
  <si>
    <t>Planificare strategică și digitalizarea serviciilor publice la nivelul municipiului Câmpina</t>
  </si>
  <si>
    <t>Management performant pentru Municipiul Fălticeni</t>
  </si>
  <si>
    <t>AA1/20.04.2021 durata si buget (ue, cb) + chelt neelig                        AA2/9.06.2022 durata</t>
  </si>
  <si>
    <t>AA1/9.06.2022 durata</t>
  </si>
  <si>
    <t>AA1/7.06.2022 durata si neeligibil</t>
  </si>
  <si>
    <t>Municipiul București</t>
  </si>
  <si>
    <t>Consolidarea sistemului de management anticorupție</t>
  </si>
  <si>
    <t>Consolidarea sistemului de management anticoruptie, cresterea eticii, transparentei, integritatii si competentei la nivelul Primariei
Municipiului Bucuresti si al institutiilor aflate în subordonare/coordonare.
Obiectivele specifice ale proiectului
1. O.S.1. Cresterea gradului de implementare a masurilor de prevenire a coruptiei si a indicatorilor de evaluare la nivelul Primariei
Municipiului Bucuresti prin organizarea a 20 de ateliere de lucru si prin elaborarea si adoptarea a doua proceduri cu privire la
prevenirea/evaluarea incidentelor de integritate
2. O.S.2. Cresterea gradului de constientizare a fenomenului coruptiei din perspectiva cauzelor generatoare, factorilor favorizanti si
a consecintelor la nivelul Primariei Municipiului Bucuresti si institutiilor aflate în subordonare/coordonare prin realizarea unei
campanii de constientizare privind fenomenul coruptiei în administratia publica locala
3. O.S.3. Cresterea gradului de cunostinte si competente a personalului în domeniul prevenirii coruptiei, transparentei, eticii si
integritatii din cadrul Primariei Municipiului Bucuresti si al institutiilor aflate în subordonare/coordonare prin instruirea a 175 de
persoane din care 140 certificate</t>
  </si>
  <si>
    <t>Servicii on-line pentru facilitarea interacțiunii cu cetățenii județului Harghita DIGIT-HR</t>
  </si>
  <si>
    <t>Sistem Integrat de e-Administrație, etapa a II-a:
competențe partajate</t>
  </si>
  <si>
    <t>Simplificarea procedurilor administrative la
nivelul Municipiului Săcele</t>
  </si>
  <si>
    <t>OPTIM - Digitalizare si optimizare a activității DGASPC Ilfov orientată către cetățeni</t>
  </si>
  <si>
    <t>DGASPC Ilfov</t>
  </si>
  <si>
    <t>Performanță, Integritate și Transparență în
Executarea Silită (PITES) - Îmbunătățirea serviciului public de executare silită prin modernizare,
standardizare, transparentizare și dezvoltare profesională</t>
  </si>
  <si>
    <t>CP17/2022 (MySMIS: POCA/1005/2/3)</t>
  </si>
  <si>
    <t>AA1/19.05.2021 AA2/9.12.2021 buget AA4/15.06.2022 durata</t>
  </si>
  <si>
    <t>AA2/15.06.2022 durata</t>
  </si>
  <si>
    <t>AA1/13.12.2021 durata AA2/15.06.2022 durata</t>
  </si>
  <si>
    <t>Obiectivul general al proiectului este crearea unor instrumenete de analiza si planificare eficiente si predictibile in domeniul ocuparii fortei
de munca si in domeniul incluzunii sociale, acestea fiindcritice pentru a putea orienta politicile publice în mod fundamentat catre cetatean,
precum si pentru a putea elabora, dezvolta si implementa servicii publice în acord cu nevoile identificate la nivelul celor mai vulnerabili
cetateni, contribuind în acelasi timp la îndeplinirea obligatiilor si prioritatilor asumate la nivel national si comunitar.
Obiectivele specifice ale proiectului
1. OS 1: Crearea unor instrumenete specifice de analiza si planificare eficiente si predictibile in domeniul ocuparii fortei de munca,
in acord cu politicile publice nationale si comunitare in domeniu.
2. OS 1: Crearea unor instrumenete specifice de analiza si planificare eficiente si predictibile in domeniul incluziunii sociale, in acord
cu politicile publice nationale si comunitare in domeniu.</t>
  </si>
  <si>
    <t>AA1/15.06.2022 durata</t>
  </si>
  <si>
    <t>CP14/2021less (POCA/659/2/1)</t>
  </si>
  <si>
    <t>Federația Zonelor Metropolitane și Aglomerărilor Urbane din România</t>
  </si>
  <si>
    <t>METROPOLIS- Parteneriate durabile în vederea susținerii și promovării dezvoltării locale, urbane și metropolitane a Municipiilor reședință de județ</t>
  </si>
  <si>
    <t>Bihor, Cluj, Maramureș, Costanța, Mehedinți</t>
  </si>
  <si>
    <t>Oradea, Cluj-Napoca, Baia Mare, Constanța</t>
  </si>
  <si>
    <t>Asociația pentru Promovarea Afacerilor în România</t>
  </si>
  <si>
    <t>Voluntari112</t>
  </si>
  <si>
    <t>2, 4, 6, 7</t>
  </si>
  <si>
    <t>Obiectivul general al proiectului este acela de a realiza un sistem de informare eficienta si coordonata intre serviciile voluntare pentru
situatii de urgenta din judetul Bihor, respectiv imbunatatirea competentelor si cunostintelor pompierilor voluntari, pentru imbunatatirea
gestionarii dezastrelor in judet.                                                                                                                                                                                                                                                                 Obiectivele specifice ale proiectului
1. OS1 – Generarea si mentinerea unui mecanism de cooperare intre SVSU si pompierii voluntari din judetul Bihor
2. OS2 – Cresterea vizibilitatii si constinetizarea luptei impotriva situatiilor de urgenta si revigorarea prestigiului acestei vocatii nobile.
3. OS3 – Cresterea capacitatii membriilor APPAR-lui prin imbunatatirea competentelor a membriilor acestuia cu privire la
gestionarea riscurilor si de acordarea primului ajutor, respectiv prin implicare activa in formularea si promovarea dezvoltarii la
nivel local si prin crearea unor parteneriate micro regionale in domeniul SVSU.</t>
  </si>
  <si>
    <t>Asociația Institutul pentru Dezvoltare Locală - Think Local Act Global</t>
  </si>
  <si>
    <t>Solutii inovative pentru orașe verzi</t>
  </si>
  <si>
    <t>Arad, Caraș-Severin, Timiș</t>
  </si>
  <si>
    <t>Arad, Reșița, Lugoj, Timișoara</t>
  </si>
  <si>
    <t>Consolidarea capacitatii interne a Asociatiei INSTITUTUL PENTRU DEZVOLTARE LOCALA – THINK GLOBAL ACT LOCAL de a se
implica in formularea politicilor de dezvoltare urbana durabila si de transformare a municipiilor Arad, Lugoj, Resita si Timisoara in „orase
verzi”.
Obiectivele specifice ale proiectului
1. Realizarea unei analize la nivelul municipiilor Arad, Lugoj, Resita si Timisoara privind capacitatea acestora de a se alinia
principiilor europene referitoare la neutralitatea emisiilor de carbon si de a deveni „orase verzi”.
2. Asigurarea sustenabilitatii parteneriatelor de dezvoltare locala incheiate cu cele 4 municipii prin dezvoltarea unui mecanism
inovator de promovare a dezvoltarii urbane durabile si a neutralitatii emisiilor de carbon.
3. Stimularea gradului de implicare a cetatenilor celor 4 orase in atingerea obiectivelor de dezvoltare urbana durabila, prin
desfasurarea unui concurs de solutii viabile in atingerii tintei de „oras verde”.</t>
  </si>
  <si>
    <t>Clusterul Regional Inovativ de Imagistică Moleculară și Structurală Nord – Est (IMAGO - MOL)</t>
  </si>
  <si>
    <t>Iași - Smart Health City</t>
  </si>
  <si>
    <t>Asociația Județeană de Fotbal Hunedoara</t>
  </si>
  <si>
    <t>Fotbalul este mai mult decât un joc</t>
  </si>
  <si>
    <t>Crișcior, Deva, Hunedoara, Petroșani, Geoagiu, Hațeg, Sântămăria-Orlea</t>
  </si>
  <si>
    <t>Obiectivul General al proiectului este cresterea capacitatii de dezvoltare strategica si implicare a organizatiilor neguvernamentale care
activeaza in domeniul sportiv, in vederea dezvoltarii fotbalului din Romania prin formularea si promovarea de propuneri alternative cu
impact local si national, dezvoltarea de instrumente de monitorizare si evaluare independenta a politicilor si strategiilor de dezvoltare a
fotbalului, precum si dezvoltarea si implementarea de mecanisme de consultare a autoritatilor si institutiilor publice cu ong-urile si cetatenii in elaborarea politicilor si strategiilor la nivel local.
In vederea indeplinirii obiectivului principal, precum si a obiectivelor specifice proiectului, se vor avea in vedere:
- Dezvoltarea abilitatilor ong-urilor in a influenta modul in care se gandesc si se implementeaza strategiile de dezvoltare a fotbalului la
nivel local si national;
- Facilitarea unor dialoguri deschise intre ong-uri si institutiile publice, astfel incat toti actorii relevanti sa devina mai responsabili si
raspunzatori fata de rezultatele politicilor si strategiilor de dezvoltare initiate.
Obiectivul general corespunde prioritatilor strategice POCA, Axa 2, si contribuie direct, in mod concret, la atingerea OS 2.1: Introducerea
de sisteme si standarde comune in administratia publica locala ce optimizeaza procesele orientate catre beneficiari in concordanta cu
SCAP.
Obiectivele specifice ale proiectului
1. 1. O1. Dezvoltarea abilitatilor si competentelor teoretice si practice a cel putin 50 reprezentanti ai ONGurilor care activeaza in
domeniul sportiv, cu un accent pe dezvoltarea abilitatilor manageriale si de comunicare, astfel incat acestia sa-si poata mai bine
reprezenta interesele si sa intervina profesional in dialogul social si procesul decizional de elaborare a strategiilor de dezvoltare a
fotbalului.
2. O2. Sprijinirea atat a ong-urilor cat si a institutiilor publice, in dezvoltarea si implementarea de mecanisme de consultare, in
vederea elaborarii politicilor si strategiilor de dezvoltare a fotbalului la nivel local si national.</t>
  </si>
  <si>
    <t>Asociația Metropolitană pentru Dezvoltare Durabilă a Transportului Public Brașov</t>
  </si>
  <si>
    <t>ACTIV-D Abilitati si Competente Transversale
Inovative pentru un Viitor DURABIL</t>
  </si>
  <si>
    <t>ASOCIAŢIA ÎNTREPRINDERILOR MICI ŞI MIJLOCII COVASNA - ASIMCOV</t>
  </si>
  <si>
    <t>Consolidarea capacității de dezvoltare a
bioeconomiei inteligente în județul Covasna</t>
  </si>
  <si>
    <t>Implementarea de proceduri simplificate pentru reducerea birocrației pentru cetățeni la nivelul municipiului Bistrița în domenii de activitate cu competență partajată asistență socială si urbanism</t>
  </si>
  <si>
    <t>Asociaţia "Astrico Nord-Est" Săvineşti</t>
  </si>
  <si>
    <t>Mecanisme participative pentru dezvoltare
economică locală în municipiul Piatra Neamt</t>
  </si>
  <si>
    <t>AA1/2.10.2020 durata  AA2/8.12.2021 durata AA3/2.06.2022 durata si buget</t>
  </si>
  <si>
    <t>AA1/3.06.2021 durata AA2/4.10.2021 durata  AA3/23.06.2022 durata</t>
  </si>
  <si>
    <t>Asociația pentru Dezvoltarea Economiei Sociale Fortunatis</t>
  </si>
  <si>
    <t>Dezvoltare durabilă la nivel local</t>
  </si>
  <si>
    <t xml:space="preserve">Alba, Mureș, Sibiu, </t>
  </si>
  <si>
    <t>Alba-Iulia, Sibiu, Târgu Mureș, Miercurea Sibiului</t>
  </si>
  <si>
    <t>Asociația Tinerilor cu Inițiativă din Zona Olteniei - ATIZO</t>
  </si>
  <si>
    <t>ONG - O șansă pentru dezvoltarea administratiei
publice locale</t>
  </si>
  <si>
    <t>Coțofenii din Față</t>
  </si>
  <si>
    <t>Societatea de Cruce Roșie Filiala Arad</t>
  </si>
  <si>
    <t>O șansă pentru fiecare</t>
  </si>
  <si>
    <t>Asociația Centrul de Resurse APOLLO</t>
  </si>
  <si>
    <t>Sunt activ, sunt cetățean!</t>
  </si>
  <si>
    <t>Ariceștii Rahtivani</t>
  </si>
  <si>
    <t>Asociația Măgurele Science Park</t>
  </si>
  <si>
    <t>CONNECT - Dezvoltarea publică locală prin inovare și conectarea părților interesate</t>
  </si>
  <si>
    <t xml:space="preserve">CP14/2021more (POCA/660/2/1) </t>
  </si>
  <si>
    <t>AA1/22.07.2019 AA3/23.12.2020 durata si buget AA4/23.06.2021 durata, partener, ue, cb, bn         AA5/7.12.2021 durata si ue+cb AA6/28.06.2022 durata</t>
  </si>
  <si>
    <t>AA1/24.06.2022 durata</t>
  </si>
  <si>
    <t>AA1/11.04.2022 durata   AA2/28.06.2022 ue si cb</t>
  </si>
  <si>
    <t>AA1/27.10.2021 durata AA2/24.06.2022 durata</t>
  </si>
  <si>
    <t>AA1/30.06.2022 durata, ue si cb</t>
  </si>
  <si>
    <t>AA1/30.09.2021 durata AA2/1.07.2022 durata</t>
  </si>
  <si>
    <t>AA1/23.08.2021 durata si ue+cb         AA2/30.06.2022 durata</t>
  </si>
  <si>
    <t>Ordin 1352/24.03.2020 Ordin 738/28.05.2021 buget si durata                       Ordin 1328/4.07.2022 durata</t>
  </si>
  <si>
    <t>Societatea Națională de Cruce Roșie Filiala Sălaj</t>
  </si>
  <si>
    <t>Fii activ în Sălaj!</t>
  </si>
  <si>
    <t>Obiectivul general al proiectului “Fii activ în Salaj!” consta in cresterea capacitatii organizationale a SNCRR Filiala Salaj de a se implica în
formularea si promovarea dezvoltarii la nivel local prin dezvoltarea retelei de voluntari in judetul Salaj ce vine in sprijinul comunitatii in
situatie de criza si totodata crearea unui instrument comun de interventie in situatie de criza. Prin activitatile propuse, SNCRR Filiala Salaj
isi va extinde aria de interventie si va multiplica activitatile cu impact pozitiv in comunitate, precum si initiative care îsi propun cresterea
implicarii cetatenilor în comunitate si în procesul de luare a deciziilor.
Obiectivele specifice ale proiectului
1. OS1. Cresterea capacitatii organizationale a SNCRR Filiala Salaj prin construirea unui dialog sustenabil cu societatea civila si
administratia publica din judet;
2. OS2. Cresterea gradului de constientizare a rolului societatii civile in comunitate, elaborarea unui instrument/ghid de bune practici
de interventie in sitiuatie de criza;
3. OS3. Cresterea gradului de pregatire profesionala in domeniul asistentei primului ajutor in vederea asigurarii unui grad ridicat de
interventie in comunitate, in situatie de criza;
4. OS4. Cresterea premiselor de colaborare ale comunitatii si participarea/implicarea acesteia în procesul de luare a deciziilor;
5. OS5. Dezvoltarea retelei de voluntari in judetul Salaj;
6. OS6. Consolidarea parteneriatului intre societatea civila si administratia publica prin actiuni constante de implicare reciproca in
viata comunitatii;
7. OS7. Cresterea gradului de constientizare privind egalitatea de sanse si nediscriminarea in in comunitate precum si a obiectivelor
de dezvoltare durabila;</t>
  </si>
  <si>
    <t>Implementarea Mecanismului de Consultare Primării-ONG-Cetățeni</t>
  </si>
  <si>
    <t>Buzau</t>
  </si>
  <si>
    <t>Nehoiu, Siriu</t>
  </si>
  <si>
    <t>Consolidarea capacitatii ONGului Asociatia pentru Dezvoltare Comunitara Nehoiu (A.D.C.N) de a se implica in formularea si
promovarea dezvoltarii la nivel local in UAT Nehoiu si Siriu, prin introducerea unui Mecanism de Consultare Primarie-ONG-Cetateni                          OS1: Evaluarea Gradului Actual de Consultare a Primariilor Nehoiu si Siriu cu ONG-uri si cu Cetatenii                                                                                                   OS2:Implementarea unui Mecanism de Consultare intre Primariile Nehoiu / Siriu si A.D.C.N. cu implicarea Cetatenilor prin
Introducerea unui Instrument modern de transmitere propuneri de la cetateni cu privire la dezvoltarea locala                                                                               OS3 Dezvoltarea cunostiintelor si abilitatilor unui nr de 50 de angajati ai Primariei Nehoiu si Siriu, la nivel UAT Nehoiu si Siriu in
vederea dobandirii abiitatilor necesare functionarii Mecanismului de Consultare                                                                                                                                                  OS4: Dezvoltarea cunostiintelor si abilitatilor unui nr de 50 de angajati si voluntari A.D.C.N. la nivel UAT Nehoiu si Siriu in
vederea intelegerii, prelucrarii si transmiterii evaluarilor propunerilor cetatenilor si transpunerii rezultatelor acestor evaluari in
propuneri pentru actiuni directe de la nivelul autoritatii publice locale Nehoiu si Siriu</t>
  </si>
  <si>
    <t>Federația ”Uniunea Națională a Organizațiilor Persoanelor Afectate de HIV/SIDA (UNOPA)”</t>
  </si>
  <si>
    <t>Rețea pentru dezvoltare locală și dialog civic Giurgiu</t>
  </si>
  <si>
    <t>Capacitarea societatii civile (ONG-uri, parteneri sociali), ca premisa pentru implicarea in dezvoltarea locala si consolidarea relatiei intre
comunitate si administratia publica locala in judetul Giurgiu, cu focus pe domeniul sanatate si protectie sociala.                                                                       OS.1 Cresterea capacitatii de utilizare a mecanismelelor si instrumentelor de participare/consultare pentru 80 reprezentanti ai
ONG-urilor si partenerilor sociali din judetul Giurgiu.                                                                                                                                                                                                                   OS.2 Dezvoltarea dialogului civic intre reprezentantii societatii civile (parteneri sociali, ONG-uri etc.), personalul din autoritatile
si institutiile publice locale, alesii locali si cetateni in vederea cresterii implicarii comunitatii locale in procesul de luare a deciziilor,
la nivelul judetului Giurgiu (80 persoane).</t>
  </si>
  <si>
    <t>Asociația Cluster pentru Inovare și Tehnologie</t>
  </si>
  <si>
    <t>Dezvoltarea locală prin crearea și operaționalizarea
Consiliului Digital Brașov</t>
  </si>
  <si>
    <t>AGENTIA
METROPOLITA
NA PENTRU
DEZVOLTARE
DURABILA
BRASOV</t>
  </si>
  <si>
    <t>Obiectivul general al proiectului consta in dezvoltarea capacitatii organizatiilor neguvernamentale si partenerilor sociali locali de a identifica
si promova politici publice inovatoare care sa optimizeze procesele administratiei publice orientate catre cetateni.
Obiectivele specifice ale proiectului
1. OS1. Dezvoltarea unui parteneriat intre ACIT, AMB si Primaria Municipiului Brasov pentru infiintarea si functionalizarea Consiliului
Digital Brasov.
2. OS2. Cresterea capacitatii membrilor ACIT, AMB si Primariei Municipiului Brasov de a formula politici publice in domenii precum
digitalizare, inovare si antreprenoriat.
3. OS3. Dezvoltarea si implementarea de mecanisme, proceduri, instrumente de consolidare a dialogului social si civic pe tematicile
transformare digitala, inovare, smart city si antreprenoriat.</t>
  </si>
  <si>
    <t>Fundația Națională pentru Tineret</t>
  </si>
  <si>
    <t>Cooperare și dezvoltare pentru o comunitate durabilă</t>
  </si>
  <si>
    <t>FUNDATIA
JUDETEANA
PENTRU
TINERET
TIMIS</t>
  </si>
  <si>
    <t>5,7</t>
  </si>
  <si>
    <t>Sibiu, Hunedoara</t>
  </si>
  <si>
    <t>Asociația "Centrul Regional de Voluntariat"</t>
  </si>
  <si>
    <t>Un viitor mai bun - administrație locală
eficientă</t>
  </si>
  <si>
    <t>Amarastii de Jos</t>
  </si>
  <si>
    <t>Asociația "Green Energy"</t>
  </si>
  <si>
    <t>Green Deal Targu Secuiesc – Parteneriat local
pentru o comunitate sustenabilă și independentă energetic</t>
  </si>
  <si>
    <t>Obiectivul general al proiectului este consolidarea capacitatii interne a Asociatiei Green Energy de a formula si implementa mecanisme
colaborative intre mediul de afaceri, reprezentantii societatii civile si autoritatile publice locale pentru promovarea si dezvoltarea unor
comunitati sustenabile si independente energetic in zona Targu Secuiesc din judetul Covasna
Obiectivele specifice ale proiectului
1. Identificarea situatiei actuale referitoare la capacitatea si modalitatile de colaborare intre actori locali ca premisa a promovarii si
dezvoltarii unor comunitati sustenabile energetic prin maparea partilor interesate si a initiativelor existente in domeniul energiei
regenerabile
2. Consolidarea capacitatii interne a Asociatiei Green Energy de a formula si implementa mecanisme colaborative prin elaborarea
unei metodologii de generare a comunitatilor sustenabile si independente energetic
3. Intensificarea proceselor de invatare individuala si institutionala la nivelul Asociatiei Green Energy, a societatii civile si autoritatilor
publice locale prin activitati de formare in domeniul politicilor publice si dezvoltarii locale.</t>
  </si>
  <si>
    <t>ASOCIAȚIA INEDITRAVEL</t>
  </si>
  <si>
    <t>Vlădești</t>
  </si>
  <si>
    <t>Cetățenie activă și interactivă la Vlădești</t>
  </si>
  <si>
    <t>Societatea de Educație Contraceptivă și Sexuală</t>
  </si>
  <si>
    <t>MATERNAHUB</t>
  </si>
  <si>
    <t>FEDERAȚIA PATRONATELOR ÎNTREPRINDERILOR DE LA MICI LA MARI</t>
  </si>
  <si>
    <t>Creșterea nivelului de cunoaștere cu privire la reducerea risipei alimentare</t>
  </si>
  <si>
    <t>Asociația Stațiunilor Turistice</t>
  </si>
  <si>
    <t>Drăghiceni, Giuvărăști, Ianca, Izbiceni, Caracal, Vișina</t>
  </si>
  <si>
    <t>TERRA MILENIUL III</t>
  </si>
  <si>
    <t>Implicarea ONGurilor în dezvoltarea durabila a municipiului Moreni ca pol de creștere</t>
  </si>
  <si>
    <t>ASOCIAȚIA PENTRU PROMOVAREA ALIMENTULUI ROMÂNESC - A.P.A.R</t>
  </si>
  <si>
    <t>Dialog pentru Consens</t>
  </si>
  <si>
    <t>ASOCIAȚIA PENTRU DEZVOLTARE COMUNITARĂ NEHOIU</t>
  </si>
  <si>
    <t>AA2/4.07.2022 durata si ue, bn</t>
  </si>
  <si>
    <t>AA1/23.12.2020 durata  AA2/16.12.2021 durata AA3/23.03.2022 durata  AA4/6.07.2022 durata</t>
  </si>
  <si>
    <t>AA1/8.07.2022 durata</t>
  </si>
  <si>
    <t>CAMERA DE COMERT INDUSTRIE, NAVIGAȚIE ȘI AGRICULTURA</t>
  </si>
  <si>
    <t>Dezvoltarea locală a UAT Tuzla prin promovarea resurselor locale</t>
  </si>
  <si>
    <t>Tuzla</t>
  </si>
  <si>
    <t>Instrumente de lucru și formare pentru Organizații de Viitor_ILFOV</t>
  </si>
  <si>
    <t>ASOCIAȚIA ROMÂNĂ PENTRU TRANSPARENȚĂ</t>
  </si>
  <si>
    <t>Brănești</t>
  </si>
  <si>
    <t>ASOCIATIA "CENTRUL DE RESURSE SI INFORMARE PENTRU PROFESIUNI SOCIALE" C.R.I.P.S.</t>
  </si>
  <si>
    <t>DAP Social Dialog, Acțiune, Profesionalism pentru dezvoltarea sistemului de servicii sociale in județul Ialomița</t>
  </si>
  <si>
    <t>3, 8</t>
  </si>
  <si>
    <t>Ialomița, București</t>
  </si>
  <si>
    <t>Slobozia, București</t>
  </si>
  <si>
    <t>Cresterea capacitatii ONGurilor active in sectorul social de a se implica în promovarea dezvoltarii serviciilor sociale, participand la
elaborarea, implementarea si monitorizarea strategiei de dezvoltare a serviciilor sociale la nivel local                                                                                           OS1: Crestera participarii ONGurilor la analiza de nevoi, elaborarea , definitivarea si monitorizarea aplicarii unei Strategii
Judetene de Dezvoltare a Serviciilor Sociale SJDSS, incepand cu luna a 2-a si inca 6 luni dupa finalizarea implementarii
proiectului – prin crearea si functionarea unui mecanism consultativ public-privat                                                                                                                                           OS2 Imbunatatirea competentelor reprezentantilor ONG (24 persoane) si a specialistilor din servicii sociale publice din judetul
Ialomita (20 persoane) pentru aplicarea practicilor de implicare a beneficiarilor in procesul de consultare cu privire la calitatea
serviciilor sociale , prin elaborarea si pilotarea unui model de formare incepand cu luna a 3-a si pana in luna a 12-a de
implementare                                                                                                                                                                                                                                                                                                            OS3 Cresterea accesului la informatie si imbunatatirea participarii personalului din ONGuri la dialog social si civic pe tema
dezvoltarii sistemului de servicii sociale , in randul a peste 20 de ONGuri pana la finalul proiectului (min 6 din judetul Ialomita si 14
din alte judete / sectoare ale mun Bucuresti) si a peste 20 de servicii publice din alte judete/ sectoare ale mun Bucuresti, incepand
cu luna a 4-a si si inca 6 luni dupa finalizarea implementarii proiectului – prin crearea si actualizarea unui website specializat</t>
  </si>
  <si>
    <t>ASOCIAȚIA PENTRU PROMOVAREA TURISMULUI DIN ORADEA ȘI REGIUNE</t>
  </si>
  <si>
    <t>Intarirea capacitatii de gestionare si coordonare a dezvoltarii turismului de la nivelul municipiului Oradea - VisIT Oradea</t>
  </si>
  <si>
    <t>Scopul proiectului este de a contribui la sprijinirea relansarii si dezvoltarii turismului la nivelul municipiului Oradea, prin implementarea
unor proceduri si instrumente noi, participative de colectare si analiza a informatiilor din domeniu. Astfel, obiectivul contribuie la atingerea
obiectivului specific 2.1. al POCA avand in vedere ca introduce sisteme (instrumente) si standarde (proceduri) ale caror rezultate vor fi
preluate de catre administratia publica locala (Primaria Municipiului Oradea) in baza Parteneriatului pentru Dezvoltare Locala incheiat ca
parte a prezentului proiect.                                                                                                                                                                                                                                                                                                                                     1. Obiectivul specific 1: Diagnosticarea principalelor provocari si obstacole intampinate de actorii relevanti din turismul oradean in
ceea ce priveste prezenta in mediul online, precum si formularea de recomandari pentru imbunatatirea situatiei pe baza acestei
analize
2. Obiectivul specific 2: Dezvoltarea unei platforme informatice pentru facilitarea interactiunii digitale dintre actorii principali din
turism si administratia publica locala, in vederea asigurarii fundamentelor pentru elaborarea politicilor publice locale precum si a
monitorizarii implementarii acestora
3. Obiectivul specific 3: Intarirea capacitatii de definire, implementare si monitorizare a politicilor publice locale, in vederea
impulsionarii turismului la nivelul municipiului Oradea, prin organizarea unei sesiuni de formare in domeniul elaborarii strategiilor
de dezvoltare in domeniul turismului</t>
  </si>
  <si>
    <t>Fundația Paem Alba</t>
  </si>
  <si>
    <t>Dezvoltare locala, parteneriate strategice - DLS</t>
  </si>
  <si>
    <t>Obiectiv general - Cresterea capacitatii de dezvoltare strategica locala si implicarea ONGurilor din domeniul dezvoltarii economice si
locale, in formularea si promovarea dezvoltarii la nivel local prin parteneriate sustenabile, precum si dezvoltarea de instrumente, proceduri
de lucru, mecanisme de consultare publica, pentru sustinerea dezvoltarii durabile cu implicarea actorilor relevanti din comunitatile vizate.          1. O1. Dezvoltarea abilitatilor si competentelor practice a cel putin 20 reprezentanti ai ONGurilor cu focus pe dezvoltare economica
si locala, in a se implica in formularea si promovarea dezvoltarii la nivel local, in a interveni profesional in dialogul civic si procesul
decizional, pe diferite nivele ierarhice, in aria cheie promovare locala&amp;antreprenoriat rural.
2. O2. Facilitarea dezvoltarii de mecanisme si actiuni de consultare a autoritatilor si institutiilor publice cu ONGurile precum si
implicarea cetatenilor in elaborarea politicilor si strategiilor la nivel local, dezvoltarea de instrumente de monitorizare si evaluare
independenta a politicilor si strategiilor la nivel local, actiuni cu impact direct in zonele vizate asupra antreprenoriatului local si
promovare turistica prin oferirea de suport integrat.</t>
  </si>
  <si>
    <t>Bucium, Mogoș, Alba Iulia, Ponor, Râmeț, Întregalde</t>
  </si>
  <si>
    <t>ASOCIAȚIA GO-AHEAD</t>
  </si>
  <si>
    <t>Cetățenie activă într-o lume digitala</t>
  </si>
  <si>
    <t>Obiectivul general al proiectului este cresterea capacitatii Asociatiei GO-AHEAD si a altor organizatii non-guvernamentale de a se implica
in formularea si promovarea dezvoltarii locale, prin participarea la programe de instruire pe tematici actuale, implementarea de proceduri,
mecanisme, programe si campanii de constientizare de Cetatenie Activa si Competente Digitale dedicate cetatenilor Sectorului 4.                          OS1: Sustinerea si promovarea dezvoltarii locale prin dezvoltarea de materiale si programe de formare dedicate cetateniei active
in lumea digitala, precum si prin sesiuni de consultare cu societatea civila/partenerii sociali si campanii de constientizare in
vederea cresterii competentelor, folosirii facilitatilor digitale existente si implicarii cetatenilor in procesele decizionale de la nivelul
Sectorului 4.
OS2. Dezvoltarea abilitatilor si competentelor practice a cel putin 30 de reprezentanti ai Asociatiei GO-AHEAD si organizatiilor
non-guvernamentale care au aderat la parteneriatul propus, in a promova si sustine initiative concrete si relevante de cetatenie
activa si competente digitale crescute ale cetatenilor Sectorului.</t>
  </si>
  <si>
    <t>AA1/2.09.2020 durata  AA2/11.07.2022 durata si buget</t>
  </si>
  <si>
    <t>AA 1/15.01.2019 - SUSPENDARE 3 LUNI AA2/16.04.2020 - suspendare 3 luni AA3/16.07.2020 suspendare 2 luni; AA4/23.06.2021 durata si buget                AA5/11.07.2022 durata si buget</t>
  </si>
  <si>
    <t>AA1/29.10.2020 durata si buget                  AA2/18.01.2022 durata AA3/11.07.2022 buget(neeligibil)</t>
  </si>
  <si>
    <t>AA1/28.07.2020 durata, UE+bn                         AA2/8.12.2021 durata    AA3/11.07.2022 durata</t>
  </si>
  <si>
    <t>AA1/13.10.2020 durata, ue, cb                                   AA2/2.02.2022 durata                      AA3/11.07.2022 buget</t>
  </si>
  <si>
    <t>Asociația Urban INC</t>
  </si>
  <si>
    <t>I-Lab</t>
  </si>
  <si>
    <t>Cresterea capacitatii Asociatiei Urban INC de a se implica in formularea si promovarea politicilor publice bazate pe dovezi si pe principii
inovative si de colaborare multi-actori la nivelul sectorului 2 si sectorului 6 din Bucuresti.
Obiectivele specifice ale proiectului
1. Consolidarea capacitatii interne a Asociatiei Urban INC in vederea mentinerii de membri si voluntari capabili sa lucreze in aria de
interventie legata de formularea si promovarea politicilor publice de dezvoltare locala bazate pe dovezi si pe principii innovative si
de colaborare multi-actori.
2. Imbunatatirea capacitatii grupului tinta al proiectului de a lucru cu metode specifice politicilor publice de dezvoltare locala bazate
pe dovezi si pe principii inovative si de colaborare multi-actori.</t>
  </si>
  <si>
    <t>CONSILIUL NAȚIONAL AL ÎNTREPRINDERILOR PRIVATE MICI ȘI MIJLOCII DIN ROMÂNIA</t>
  </si>
  <si>
    <t>Bucharest Business Agency</t>
  </si>
  <si>
    <t>Sibiu Business Agency</t>
  </si>
  <si>
    <t>Construim comunitati si oameni prin dialog structurat
si participare publica</t>
  </si>
  <si>
    <t>ASOCIAŢIA DE
TINERET ONIX</t>
  </si>
  <si>
    <t xml:space="preserve">2, 3, 4 </t>
  </si>
  <si>
    <t>Buzău, Constanța, Dâmbovița, Giurgiu, Prahova, Gorj</t>
  </si>
  <si>
    <t>Dezvoltarea Inteligenței Digitale pentru o Cetățenie activă</t>
  </si>
  <si>
    <t>Dezvoltarea si implementarea de parteneriate si mecanisme de cooperare între autoritatile publice, ONG-uri si societatea civila pentru
elaborarea de instrumente de monitorizare si evaluare a dialogului social structurat privind accesul tinerilor în pozitii de conducere în plan
local, precum si dezvoltarea capacitatilor membrilor ONG-urilor si ai reprezentantilor comunitatii locale prin instruiri si participari la retele tematice.                                                                                                                                                                                                                                                                                                                        OS1. Dezvoltarea si implementarea a 3 parteneriate locale APL-ONG-societatea civila pentru facilitarea accesului tinerilor la
pozitii de conducere si participarea la actul administrativ la nivel local
OS2. Instruirea si certificarea a 60 de membri ai grupului tinta din ONG-uri, APL si partenerilor sociali în vederea întariririi
competentelor pentru dezvoltare locala
OS3. Organizarea si desfasurarea a 6 dezbateri publice pe teme de egalitate de sanse, nediscriminare si dezvoltare durabila</t>
  </si>
  <si>
    <t xml:space="preserve">Cresterea capacitatii Asociatiei GO-AHEAD si a altor organizatii non-guvernamentale de a se implica in formularea si promovarea
dezvoltarii locale, prin participarea la programe de instruire pe tematici actuale, implementarea de proceduri, mecanisme, programe si
campanii de constientizare de Cetatenie Activa si Competente Digitale dedicate cetatenilor judetului Prahova.                                                                           OS1: Sustinerea si promovarea dezvoltarii locale prin dezvoltarea de materiale si programe de formare dedicate cetateniei active
in lumea digitala, precum si prin sesiuni de consultare cu societatea civila/partenerii sociali si campanii de constientizare in
vederea cresterii competentelor, folosirii facilitatilor digitale existente si implicarii cetatenilor in procesele decizionale de la nivelul
judetului Prahova.
OS2: Dezvoltarea abilitatilor si competentelor practice a cel putin 30 de reprezentanti ai Asociatiei GO-AHEAD si ai organizatiilor
non-guvernamentale active din judetul Prahova, care vor adera la parteneriatul propus, pentru a promova si sustine initiative
concrete si relevante de cetatenie activa si competente digitale crescute ale cetatenilor judetu                                                                   </t>
  </si>
  <si>
    <t>ASOCIATIA REGIONALA PENTRU DEZVOLTARE ANTREPRENORIALA OLTENIA cu acronimul (ARDA
OLTENIA)</t>
  </si>
  <si>
    <t>Implicare civică pentru un Mehedinți durabil</t>
  </si>
  <si>
    <t>ASOCIATIA PENTRU COOPERARE SI DEZVOLTARE DURABILA</t>
  </si>
  <si>
    <t>Implicat în dezvoltarea durabilă a județului Brașov</t>
  </si>
  <si>
    <t>Dezvoltarea capacitatilor ONG-urilor si actorilor sociali din judetul Brasov de a se implica activ în formularea, sustinerea si promovarea
dezvoltarii durabile la nivelul judetului.
Obiectivele specifice ale proiectului
1. Consolidarea capacitatii interne a ONG-urilor si partenerilor sociali prin dezvoltarea de abilitati specifice privind implicarea
angajatilor ONG-urilor si a partenerilor sociali in demersul de elaborare
2. Devoltarea la nivelul judetului Brasov a unui Hub-de dezvoltare durabila cu rolul de a facilita cooperarea si schimbul de bune
practici intre ONG-uri, societatea civila si autoritatile publice pentru implementarea celor 17 Obiective pentru Dezvoltare Durabila
ale Agendei 2030
3. Cresterea gradului de informare si constientizare a societatii civile privind implicarea comunitatii în viata publica si participarea la
procese decizionale</t>
  </si>
  <si>
    <t>FILIALA BACĂU A SOCIETĂȚII NAȚIONALE DE CRUCE ROȘIE ROMÂNIA AFJ</t>
  </si>
  <si>
    <t>Fii implicat în Colonești!</t>
  </si>
  <si>
    <t>Colonești</t>
  </si>
  <si>
    <t>ASOCIAȚIA DE DEZVOLTARE INTERCOMUNITARĂ ZONA METROPOLITANĂ SIBIU</t>
  </si>
  <si>
    <t>Dezvoltarea locală prin cetățenie participativă: Fii cetățean, nu doar contribuabil!</t>
  </si>
  <si>
    <t>ASOCIAȚIA ALADIN DEVA</t>
  </si>
  <si>
    <t>ÎMPREUNĂ, PENTRU EDUCAȚIE!</t>
  </si>
  <si>
    <t>Băcia, Deva, Simeria, Rapoltu Mare</t>
  </si>
  <si>
    <t>Societatea Națională de Cruce Roșie din România Filiala Caraș-Severin</t>
  </si>
  <si>
    <t>Școala pentru viitor</t>
  </si>
  <si>
    <t>Topleț</t>
  </si>
  <si>
    <t>ASOCIAȚIA EUROCOMUNICARE</t>
  </si>
  <si>
    <t>Responsabilizare pentru digitalizare</t>
  </si>
  <si>
    <t>AA1/12.02.2021 durata                  AA2/14.07.2022 durata</t>
  </si>
  <si>
    <t>SOCIETATEA DE CRUCE ROȘIE A ROMÂNIEI FILIALA IAȘI</t>
  </si>
  <si>
    <t>Fii pregătit</t>
  </si>
  <si>
    <t>Plugari</t>
  </si>
  <si>
    <t>Societatea Națională de Cruce Roșie din România Filiala Satu Mare</t>
  </si>
  <si>
    <t>În sprijinul comunităților</t>
  </si>
  <si>
    <t>Obiectivul general al proiectului “In sprijinul comunitatilor” consta în cresterea capacitatii organizationale a SNCRR Filiala Satu Mare de a
se implica în formularea si promovarea dezvoltarii la nivel local prin dezvoltarea retelei de voluntari in Municipiul Satu Mare ce vin in
sprijinul comunitatii precum si elaborarea unui instrument comun privind managementul stresului in situatie de criza/dezastru/pandemie.          si administratia publica;
1.OS1. Cresterea capacitatii organizationale a SNCRR Filiala Satu Mare prin construirea unui dialog sustenabil cu societatea civila
si administratia publica;
2. OS2. Cresterea gradului de constientizare a rolului societatii civile in comunitate prin elaborarea unui instrument/ghid de bune
practici privind managementul stresului in caz de dezastru/situatie de criza;
3. OS3. Cresterea gradului de pregatire profesionala in domeniul managementului stresului in caz de dezastru/situatie de
criza/pandemie, in vederea asigurarii unui grad ridicat de interventie in comunitate;
4. OS4. Cresterea premiselor de colaborare ale comunitatii si participarea/implicarea acesteia în procesul de luare a deciziilor;
5. OS5. Dezvoltarea retelei de voluntari in Municipiul Satu Mare prin incheierea a minim 50 de contracte de voluntariat;
6. OS6. Consolidarea parteneriatului intre societatea civila si administratia publica prin actiuni constante de implicare reciproca in
viata comunitatii;
7. OS7. Cresterea gradului de constientizare privind egalitatea de sanse si nediscriminarea in in comunitate precum si a protectiei
mediului prin promovarea obiectivelor de dezvoltare durabila</t>
  </si>
  <si>
    <t>ASOCIAȚIA „AI ÎNCREDERE”</t>
  </si>
  <si>
    <t>DEZVOLTARE, PARTICIPARE ȘI IMPLICARE</t>
  </si>
  <si>
    <t>Obiectivul general vizeaza introducerea unui sistem respectiv a unui standard comun care asigura optimizarea proceselor orientate catre
cetateni în vederea cresterii calitative a actului administrativ si a politicilor publice care vizeaza dezvoltarea locala contribuind astfel la
cresterea nivelului de implicare si participare al cetatenilor in procesele decizionale in comuna Ceamurlia de Jos                                                                  OS.1. Cresterea capacitatii societatii civile (ONG-uri si parteneri sociali) de a se implica in formularea si promovarea dezvoltarii la
nivel local prin includerea in cursuri de formare profesionala a 40 de cetateni din comuna Ceamurlia de Jos.                                                                               OS.2. Cresterea calitatii administratiei publice in Ceamurlia de Jos prin dezvoltarea unui mecanism comun de consultare si
integrare a cetatenilor in procesul decizional, mecanism care va integra un set de proceduri standard specifice, un instrument IT
de tip platforma online precum si minim 5 parteneriate care vor functiona cel putin 6 luni de la finalizarea proiectului.</t>
  </si>
  <si>
    <t>Ceamurlia de Jos</t>
  </si>
  <si>
    <t>ASOCIAȚIA PENTRU POLITICI PUBLICE ȘI INCLUZIUNE SOCIALĂ</t>
  </si>
  <si>
    <t>Măsuri inovative pentru o comunitate dezvoltată</t>
  </si>
  <si>
    <t>ASOCIAȚIA EXPERT GROUP TRENING</t>
  </si>
  <si>
    <t>Creșterea capacității administrative prin dezvoltare la nivel local</t>
  </si>
  <si>
    <t>ASOCIAȚIA CENTRUL PENTRU POLITICI COMUNITARE REGIONALE "C.P.C.R."</t>
  </si>
  <si>
    <t>Management performanat la nivelul autorităților publice locale</t>
  </si>
  <si>
    <t>FUNDATIA SERVICIILOR SOCIALE BETHANY</t>
  </si>
  <si>
    <t>Tranziția de la primul la al doilea eșalon de elaborare a politicilor de economie socială – contribuția ONG-urilor și a partenerilor sociali la apariția unei agende de politici locale privind dezvoltarea întreprinderilor sociale</t>
  </si>
  <si>
    <t>1, 5</t>
  </si>
  <si>
    <t>Suceava, Bihor, Arad, Caraș-Severin, Timiș</t>
  </si>
  <si>
    <t>Asociația Română de Relații Internaționale si Studii Europene</t>
  </si>
  <si>
    <t>Consolidarea institutională a ARRISE pentru dezvoltarea locală participativă</t>
  </si>
  <si>
    <t>Obiectivul general al proiectului consta in consolidarea capacitatii Asociatiei Romane de Relatii Internationale si Studii Europene
(ARRISE) in vederea implicarii in formularea si promovarea dezvoltarii la nivel local, in regiuni mai putin dezvoltate, cu  focus pe strategia
de dezvoltare locala pentru perioada 2021-2027 a orasului Racari.                                                                                                                                                                               1.OS 1: Cresterea nivelului de cunostinte si abilitati in formularea si promovarea dezvoltarii la nivel local pentru 10 membri ai
Asociatiei, prin participarea la programe de formare specifice (Elaborare politici publice, Dezvoltare durabila si Metode si tehnici
de cercetare sociala)
2. OS 2: Cresterea nivelului de cunostinte si abilitati a 10 reprezentanti ai autoritatii locale din orasul Racari in domenii relevante
pentru tematica proiectului (Elaborare policiti publice si Accesare fonduri structurale), prin participarea la programe de formare
specifice, necesare implementarii si monitorizarii unei strategii de dezvoltare locala
3. OS 3: Realizarea unei analize diagnostic cu implicarea comunitatii din orasul Racari (autoritati locale, mediu privat, cetateni, alte
parti interesate), cu scopul identificarii principalelor directii si nevoi de dezvoltare locala
4. OS 4: Elaborarea unei propuneri de strategie de dezvoltare locala 2021-2027 pentru orasul Racari, judetul Dambovita, precum si
a unui mecanism de dialog continuu cu reprezentantii comunitatii locale
5. OS5: Implementarea unui proiect cu finantare nerambursabila, in vederea capacitarii ARRISE pentru implicarea in fomularea si
promovarea dezvoltarii la nivel local</t>
  </si>
  <si>
    <t>ASOCIAȚIA CENTRUL DE RESURSE ȘI FORMARE ÎN PROFESIUNI SOCIALE "PRO VOCAȚIE"</t>
  </si>
  <si>
    <t>Parteneriat Pentru Dezvoltarea Serviciilor Sociale în Corbeanca</t>
  </si>
  <si>
    <t>Optimizarea proceselor la nivelul autoritatii locale prin dezvoltarea de mecansime de cooperare intre Primaria Corbeanca si organizatiile
societatii civile precum si implementarea unor masuri de consultare a acestor organizatii si a cetatenilor in procesul de identificare a
prioritatilor de interventie in domeniul social si planificarea strategica.                                                                                                                                                                   1. OS 1 – Cresterea capacitatii ONG urilor si partenerilor sociali de a se implica in dezvoltarea serviciilor sociale la nivel local prin
monitorizarea si evaluarea gradului in care se implementeaza masurile si actiunile stabilite prin strategii nationale/locale in
domeniul vizat si propunerea de activitati pentru aplicarea acestora                                                                                                                                                                         2. OS 2 – Consolidarea colaborarii intre ONG uri, comunitate si autoritatea locala prin dezvoltarea si operationalizarea unui
mecanism de consultare a acestor categorii cu privire la masurile si actiunile necesare pentru dezvoltarea serviciilor sociale la
nivel local.                                                                                                                                                                                                                                                                                                                 3. OS 3 contribuie la realizarea obiectivului general al proiectului prin dezvoltarea competentelor, informatiilor si aptitudinilor a 80 de
persoane din cadrul ONG-urilor si a altor parteneri sociali in domeniul dezvoltarii strategice/comunitare, dezvoltarii serviciilor
sociale, nediscrimiare si egalitate de sanse si management de proiect.                                                                                                                                                                     4. OS 4 – Promovarea si sustinerea participarii partenerilor sociali si a cetatenilor la dezvoltarea serviciilor sociale la nivel local prin
organizarea unor workshopuri si ateliere de lucru care sa sustina implicarea si participarea civica in formularea interventiilor
prioritare si elaborarea strategiilor la nivel local.</t>
  </si>
  <si>
    <t>Corbeanca</t>
  </si>
  <si>
    <t>ASOCIAȚIA „ONE FOR HOPE”</t>
  </si>
  <si>
    <t>Dezvoltăm împreună Comuna Vlădeni</t>
  </si>
  <si>
    <t>Obiectivul general vizeaza introducerea unui sistem respectiv a unui standard comun care asigura optimizarea proceselor orientate catre
cetateni în vederea cresterii calitative a actului administrativ si a politicilor publice care vizeaza dezvoltarea locala contribuind astfel la
cresterea nivelului de implicare si participare al cetatenilor in procesele decizionale in comuna Vladeni, judetul Iasi.                                                            OS.1. Cresterea capacitatii societatii civile de a se implica in formularea si promovarea dezvoltarii la nivel local prin includerea in
cursuri de formare profesionala a 40 de cetateni (reprezentanti ai ong-urilor, parteneri sociale, alesi locali), din comuna Vladeni.                              OS.2. Cresterea calitatii administratiei publice locale in comuna Vladeni prin dezvoltarea unui mecanism comun de consultare si
integrare a cetatenilor in procesul decizional, mecanism care va integra un set de proceduri standard specifice, un instrument de
tip platforma online precum si minim 5 parteneriate care vor functiona cel putin 6 luni de la finalizarea proiectului.</t>
  </si>
  <si>
    <t>Vlădeni</t>
  </si>
  <si>
    <t>ASOCIAȚIA BUN VENIT TRANSILVANIA</t>
  </si>
  <si>
    <t>LAOLALTĂ NE E BINE" - Program de întărire a capacităților instituționale, de valorizare a resurselor locale și combaterea discriminării către o societate mai echilibrată și sustenabilă în Comuna Ticușu</t>
  </si>
  <si>
    <t>Ticușu</t>
  </si>
  <si>
    <t>ASOCIAȚIA ROMA ENTREPRENEURSHIP DEVELOPMENT</t>
  </si>
  <si>
    <t>Bugetare participativă în județul Vrancea - premisă pentru promovarea dezvoltării la nivel local</t>
  </si>
  <si>
    <t>ASOCIAȚIA STAȚIUNILOR TURISTICE</t>
  </si>
  <si>
    <t>Corelarea politicilor publice locale cu principiile dezvoltării durabile în turism</t>
  </si>
  <si>
    <t>ASOCIATIA EURO &lt;26</t>
  </si>
  <si>
    <t xml:space="preserve">5, 6,7 </t>
  </si>
  <si>
    <t>Hunedoara, Bihor, Sibiu, Harghita</t>
  </si>
  <si>
    <t>Geoagiu, Săcuieni, Bazna, Borsec</t>
  </si>
  <si>
    <t>Asociația Rază de Speranță în Interventia și Terapia Tulburărilor din Spectrul Autist</t>
  </si>
  <si>
    <t>Centrul de Resurse Sociale Comunitare - CRESC</t>
  </si>
  <si>
    <t>Proiectul isi propune consolidarea capacitatii ONG-urilor si partenerilor sociali din Municipiul Brasov de a se implica in formularea si
promovarea dezvoltarii la nivel local, impreuna cu Autoritatea publica locala, locala, cu accent pe domeniile incluziune sociala, educatie si
tineret.
Obiectivele specifice ale proiectului
1. OS1. Sa facilitam dezvoltarea pe termen lung a PDL prin sprijinirea incheierii altor minim 10 parteneriate functionale cel putin 6
luni de la finalizarea proiectului, parteneriate incheiate intre ONG-uri/parteneri sociali si autoritatea locala, intr-un termen de 12
luni;
2. OS2. Sa implicam minim 80 de persoane (din cadrul ONG-urilor, partenerilor sociale si autoritatii publice locale) in grupuri de
lucru si activitati de formare profesionala, pe parcursul a 12 luni;
3. OS3. Sa implicam permanent comunitatea locala (cetateni, grupuri informale, organizatii publice sau private, sindicate/patronate
etc.) in dezbaterile si grupurile tematice inovative constituite in cadrul PDL semnat cu autoritatea publica locala.</t>
  </si>
  <si>
    <t>C4C COMMUNICATION FOR COMMUNITY</t>
  </si>
  <si>
    <t>LEHLIU GARĂ – o comunitate incluzivă</t>
  </si>
  <si>
    <t>Lehliu Gară</t>
  </si>
  <si>
    <t>ASOCIAȚIA „ASSOCIATION COLOUR YOUR DREAMS”</t>
  </si>
  <si>
    <t>DigiConsultare pentru Dezvoltare Locală</t>
  </si>
  <si>
    <t>Cresterea capacitatii autoritatilor publice, ONG-urilor si partenerilor sociali din municipiul Targu Jiu, judetul Gorj, de a sustine si promova
dezvoltarea la nivel local intr-o maniera participativa si integrata, in conformitate cu principiile participarii tinerilor, egalitatii de sanse si
nediscriminarii, precum si a dezvoltarii durabile.                                                                                                                                                                                                                         Obiectiv 1: Capacitarea si motivarea a 60 de reprezentanti ai ONG-urilor si partenerilor sociali din municipiul Targu Jiu, judetul Gorj, de a
opera cu tematicile politici publice, tineret, metode de consultare, monitorizare si evaluare a politicilor publice, organizare
comunitara pentru a promova dezvoltarea locala.                                                                                                                                                                                                                      Obiectiv 2: Crearea unui mecanism de consultare a autoritatilor si institutiilor publice din municipiul Targu Jiu, judetul Gorj, cu ONG-urile,
partenerii sociali si cetatenii cu privire la elaborarea si implementarea politicilor si strategiilor la nivel local, cu focus pe domeniul
de tineret.</t>
  </si>
  <si>
    <t>Târgu Jiu</t>
  </si>
  <si>
    <t xml:space="preserve">AA1/3.06.2021 durata AA2/22.07.2022  durata  </t>
  </si>
  <si>
    <t>AA1/12.04.2021 durata si buget (ue si cb)  AA2/20.12.2021 durata, ue, bn, cb  AA3/22.07.2022 ue, cb, bn</t>
  </si>
  <si>
    <t>AA1/28.07.2021 durata   AA2/22.07.2022 durata</t>
  </si>
  <si>
    <t>AA1/22.07.2022 durata</t>
  </si>
  <si>
    <t>AA1/14.01.2022 durata                AA2/22.07.2022 durata</t>
  </si>
  <si>
    <t>ASOCIAȚIA ARES'EL</t>
  </si>
  <si>
    <t>Parteneriatul pentru Ploiești - consolidarea capacității ONG-urilor și partenerilor sociali din municipiul Ploiești și localitățile limitrofe de a se implica în formularea și promovarea dezvoltării la nivel local</t>
  </si>
  <si>
    <t>ASOCIAȚIA ANGELS GARDEN</t>
  </si>
  <si>
    <t>O comunitate dezvoltată, o comunitate fericită</t>
  </si>
  <si>
    <t>ASOCIAȚIA INOVATORIUM</t>
  </si>
  <si>
    <t>Dezvoltarea instrumentelor de consolidare a dialogului social și civic</t>
  </si>
  <si>
    <t>Asociația Consiliului Național al Întreprinderilor Private Mici și Mijlocii din România - Filiala Arad</t>
  </si>
  <si>
    <t>STRATEG AR + dezvoltare economică sustenabilă pentru viitorul Aradului</t>
  </si>
  <si>
    <t>Cresterea si intarirea capacitatii organizatiilor sectorului IMM din judetul Arad de a se implica in formularea de politici publice alternative
care sa contribuie la dezvoltarea economica locala a judetului Arad.                                                                                                                                                                            1.Dezvoltarea abilitatilor partenerilor sociali de a elabora si transpune in practica un Plan de dezvoltare locala a judetului Arad,
orientat catre Future Economy.Acest obiectiv se va realiza urmare a conlucrarii grupului tinta vizat- ONG uri, parteneri sociali,
autoritati publice locale - care vor avea abilitatea de a se implica in formularea uni instrument concret de dezvoltare a comunitatii
locale, respectiv Planul de dezvoltare al judetului Arad, bazat pe principiile Future Economy. Tototada, va fi intocmita si o analiza
a domeniilor vizate de Future Economy, cu aplicabilitate pentru economia judetului Arad.
2. Crearea si dezvoltarea unui mecanism consultativ la nivelul adminstratiei publice judetene capabil sa implementeze
instrumente de dezvoltare economica la nivelul judetului Arad.Acest obiectiv va fi atins prin constutirea si functionarea unui task
force, alcatuit din 20 de reprezentanti ai partenerilor sociali care, in baza analizei realizate cu privire la domeniile Future Economy
, vor contura etape concrete de implementare a Planului de dezvoltare.
3. Formarea unui corp de lideri din cadrul partenerilor sociali si ai administratiei publice judetene orientat catre promovarea
dezvoltarii durabile si a Future Economy in judetul Arad.</t>
  </si>
  <si>
    <t>ASOCIAȚIA MANAGEMENT ȘI COORDONARE</t>
  </si>
  <si>
    <t>Dezvoltare locală sustenabilă în Comuna ,,Costinești”</t>
  </si>
  <si>
    <t>Costinești, Constanța</t>
  </si>
  <si>
    <t>Obiectiv general: Dezvoltarea capacitatii ONG-urilor de a crea parteneriate viabile si durabile cu autoritati publice locale si de a se implica
in dezvoltarea la nivel local in comuna Costinesti.                                                                                                                                                                                                                       1. 1. OS1 Dezvoltarea unui parteneriat durabil intre Solicitant si autoritatile locale functional la 6 luni dupa finalizarea
proiectului
2. 2. OS2 Dezvoltarea competentelor si insusirea unui „know how’ specific pentru 40 reprezentanti ai ONG-urilor si
partenerilor sociali in vederea consolidarii abilitatilor pentru formularea si promovarea dezvoltarii la nivel local.
3. 3. OS3 Dezvoltarea responsabilitatii civice, de implicare a comunitatilor locale in viata publica si de participare la procesele
decizionale prin dezvoltarea a min 3 proiecte specifice la nivel local</t>
  </si>
  <si>
    <t>Fundația Zamolxes</t>
  </si>
  <si>
    <t>Implicarea cetățenilor în dezvoltarea comunității locală a Municipiului Câmpina - CIVCAMP</t>
  </si>
  <si>
    <t>Câmpina</t>
  </si>
  <si>
    <t>Drobeta-Turnu Severin</t>
  </si>
  <si>
    <t>Asociația de Dezvoltare Intercomunitara Zona Metropolitană Drobeta Turnu Severin</t>
  </si>
  <si>
    <t>Implicare activa a cetatenilor Zonei Metropolitane
Drobeta Turnul Severin in dezvoltarea locala</t>
  </si>
  <si>
    <t>AA1/24.11.2021 durata si buget (ue, bn, cb, cp)             AA2/27.07.2022 durata si buget (ue, bn, cb)</t>
  </si>
  <si>
    <t>AA1/26.07.2022 durata</t>
  </si>
  <si>
    <t>AA1/19.08.2020 prelungire si diminuare buget AA2/7.06.2021 durata      AA3/26.06.2022 durata</t>
  </si>
  <si>
    <t>AA1/27.07.2022 durata</t>
  </si>
  <si>
    <t>Fundația ,,Roma Education Fund Romania"</t>
  </si>
  <si>
    <t>EDUCAȚIE EGALĂ – Împreună pentru copii</t>
  </si>
  <si>
    <t>Gomești</t>
  </si>
  <si>
    <t>Obiectivul general al proiectului :
Dezvoltarea capacitatii organizatiilor neguvernamentale din domeniul educatiei de a colabora cu institutiile administratiei publice din
Romania in formularea politicilor publice referitoare la reducerea inegalitatilor scolare si accesul la o educatie egala pentru grupuri
vulnerabile.                                                                                                                                                                                                                                                                                                                   O.S.1: Implementarea unui program de identificare, monitorizare, analiza si propuneri de imbunatatire a politicilor publice din
Romania din perspectiva reducerii inegalitatii scolare.                                                                                                                                                                                                           O.S.2: Dezvoltarea competentelor cheie pentru 30 membri ONG din domeniul educatiei de la nivel local, regional si national, de a
elabora propuneri de imbunatatire a politicilor publice in domeniul egalitatii de sanse in educatie pentru grupuri vulnerabile.                                        O.S.3: Organizarea si consolidarea cadrului partenerial pentru dezvoltare locala in domeniul egalitatii de sanse in educatie la
nivelul institutiilor publice de la nivel local, regional si central.</t>
  </si>
  <si>
    <t>Asociația Centrul Român de Politici Europene</t>
  </si>
  <si>
    <t>Parteneriat pentru Dezvoltare locală în domeniul ocupării tinerilor din Învățământul Profesional și Tehnic din municipiile Piatra Neamț si Resița prin formare, consultare si dialog</t>
  </si>
  <si>
    <t xml:space="preserve">5, 6 </t>
  </si>
  <si>
    <t>Reșita, Piatra Neamț</t>
  </si>
  <si>
    <t>Caraș-Severin, Neamț</t>
  </si>
  <si>
    <t>Asociația Coaliția Organizațiilor Pacientilor cu Afecțiuni Cronice din România (C.O.P.A.C.-RO)</t>
  </si>
  <si>
    <t>Dezvoltarea politicilor sociale si de sanatate din judetul
Iași</t>
  </si>
  <si>
    <t>ASOCIAŢIA
"COPILUL MEU -
INIMA MEA"</t>
  </si>
  <si>
    <t>Obiectivul general al proiectului este dezvoltarea capacitatii organizatiilor neguvernamentale din domeniul social si sanatate si a
autoritatilor locale partenere de a se implica în formularea si promovarea dezvoltarii a doua noi politici privind in domeniul social si
sanatate.                                                                                                                                                                                                                                                                                                                      1. Realizarea a doua parteneriate de dezvoltare locala (PDL) pe raza Judetului Iasi, functionale la 6 luni dupa finalizarea
proiectului;
2. Cresterea nivelului de pregatire a unui numar de 52 reprezentanti ai ONG-urilor sociale si de sanatate locale si a
reprezentantilor autoritatilor locale;
3. Dezvoltarea unui instrument de monitorizare a politicilor din domeniul social si sanatate la nivelul judetului Iasi;
4. Dezvoltarea a doua politici locale in domeniul social si sanatate in judetul Iasi cu implicarea a 40 de reprezentanti ai autoritatilor
locale (reprezentanti alesi si angajati), si 10 cetateni, beneficiari ai serviciilor sociale si de sanatate din judetul Iasi participanti la
fundamentarea propunerilor de politici publice in domeniul social si sanatate.</t>
  </si>
  <si>
    <t>Asociația pentru Democrație și Echitate Socială - ADESEA</t>
  </si>
  <si>
    <t>Eficiență și implicare pentru dezvoltare</t>
  </si>
  <si>
    <t>Asociația Mâini Întinse</t>
  </si>
  <si>
    <t>Obiectivul general vizeaza introducerea unui sistem respectiv a unui standard comun care asigura optimizarea proceselor orientate catre
cetateni în vederea cresterii calitative a actului administrativ si a politicilor publice care vizeaza dezvoltarea locala contribuind astfel la
cresterea nivelului de implicare si participare al cetatenilor in procesele decizionale in comuna Nufarul.                                                                                       OS.1. Cresterea capacitatii societatii civile (ONG-uri si parteneri sociali) de a se implica in formularea si promovarea dezvoltarii la
nivel local prin includerea in cursuri de formare profesionala care vizeaza politicile publice si dezvoltarea locala pentru 40 de
cetateni din comuna Nufarul.                                                                                                                                                                                                                                                                           OS.2. Cresterea calitatii administratiei publice in Nufarul prin dezvoltarea unui mecanism comun de consultare si integrare a
cetatenilor in procesul decizional, mecanism care va integra un set de proceduri standard specifice, un instrument IT de tip
platforma online precum si minim 5 parteneriate care vor functiona cel putin 6 luni de la finalizarea proiectului.</t>
  </si>
  <si>
    <t>Asociația pentru Implementarea și Dezvoltarea Culturii Antreprenoriale</t>
  </si>
  <si>
    <t>Dezvoltare locală prin parteneriat social</t>
  </si>
  <si>
    <t>Hinova, Șimian</t>
  </si>
  <si>
    <t>Fundația CIVITAS pentru Societatea Civilă Cluj</t>
  </si>
  <si>
    <t>Parteneriat pentru dezvoltarea administrației inteligente în comuna Cojocna</t>
  </si>
  <si>
    <t>Obiectivul general al proiectului este de a formula si promova dezvoltarea inteligenta la nivelul comunitatii Cojocna prin crearea Fondului
de Dezvoltare Locala, dezvoltarea unui mecanism de implicare a organizatiilor neguvermamentale si a cetatenilor in comunitate si in
procesul de luare a deciziilor (cetatenie activa) si identificarea de initiative smart pentru dezvoltarea administratiei inteligente in comuna
Cojocna.
Obiectivele specifice ale proiectului
1. Obiectivul specific 1 este de a dezvolta capacitatea Fundatiei Civitas si a Primariei Cojocna de a se implica in promovarea
dezvoltarii comunei Cojocna ca o comunitate inteligenta prin implicarea a 60 de persoane (angajati si voluntari ai Fundatiei
Civitas, angajati ai Primariei Cojocna si angajati ai ONG-urilor care activeaza in Cojocna) in activitati de imbunatatire a
cunostintelor. OS1 va fi realizat prin derularea activitatilor A1 si A3.
2. Obiectivul specific 2 este de a dezvolta un mecanism de implicare si consultare a organizatiilor neguvernamentale si a cetatenilor
din comunitatea Cojocna in ceea ce priveste initiativele locale de dezvoltare care se doresc a fi implementate la nivelul comunitatii
cu scopul replicarii acestui model dupa finalizarea proiectului. OS2 va fi realizat prin derularea activitatii A4.
3. Obiectivul specific 3 este de a crea un Fond de Dezvoltare Locala pentru sprijinirea initiativelor inteligente in comunitatea
Cojocna. OS3 va fi realizat prin derularea activitatii A2.</t>
  </si>
  <si>
    <t>Cojocna</t>
  </si>
  <si>
    <t>"Societatea Națională de Cruce Roșie din România" Filiala Vrancea</t>
  </si>
  <si>
    <t>Competențe civice în Vrancea</t>
  </si>
  <si>
    <t>Asociația - Centrul de Analiză și Inovare Economico - Socială</t>
  </si>
  <si>
    <t>Adjud, Pufești</t>
  </si>
  <si>
    <t>FUNDAȚIA COMUNITARĂ MUREȘ</t>
  </si>
  <si>
    <t>EDUSIG - Educație pentru siguranță</t>
  </si>
  <si>
    <t>ASOCIAȚIA ”PATRONATUL TINERILOR ÎNTREPRINZĂTORI DIN ROMÂNIA”</t>
  </si>
  <si>
    <t>Creșterea capacității PTIR de a se implica în promovarea antreprenoriatului la nivel local</t>
  </si>
  <si>
    <t>Asociația Pacienților Oncologici Călărași</t>
  </si>
  <si>
    <t>Dezvoltarea serviciilor locale de îngrijire a pacienților oncologici în județul Călărași</t>
  </si>
  <si>
    <t>Asociaţia CREST</t>
  </si>
  <si>
    <t>3, 6</t>
  </si>
  <si>
    <t>Satu-Mare, Călărași</t>
  </si>
  <si>
    <t>FEDERATIA ORGANIZAȚIILOR RÂMNICENE DE TINERET, EDUCAȚIE ȘI SPORT</t>
  </si>
  <si>
    <t>Tinerii și societatea civilă - mecanisme de dezvoltare locală</t>
  </si>
  <si>
    <t>2, 3, 4</t>
  </si>
  <si>
    <t>Puiești, Constanța, Dâmbovița, Giurgiu, Prahova, Gorj</t>
  </si>
  <si>
    <t>Asociaţia Socio-Culturală "SFÂNTUL IOAN BOTEZĂTORUL"</t>
  </si>
  <si>
    <t>Implicarea activa a societatii civile in
dezvoltarea comunitatii locale</t>
  </si>
  <si>
    <t>Obiectivul general al proiectului consta in dezvoltarea capacitatii administrative a organizatiilor non-guvernamentale si a partenerilor
sociali, pentru a sustine optimizarea proceselor de programare si cresterea competitivitatii economice in orasul Berbesti si in regiunea
SV Oltenia, prin operationalizarea unui grup consultativ civic, actiuni de formare si schimburi de experienta precum si prin elaborarea de
proceduri pentru eficientizarea monitorizarii activitatii autoritatilor publice locale. De asemenea, ne propunem cresterea implicarii
cetatenilor in comunitate si in procesul de luare a deciziilor (cetatenie activa), oferind tuturor varstelor si grupurilor sociale oportunitatea de a se implica in actiuni voluntare, initiative care contribuie la promovarea si respectarea valorilor democratice si a drepturilor omului.               1. OS 1 Crearea unei bune guvernante transparenta si in concordanta cu nevoile reale ale comunitatii.
2. OS2 Cresterea rolului cetatenilor identificarea nevoilor de dezvoltare la nivelul comunitatii si sprijinirea autoritatii locale in
demararea actiunilor pentru realizarea unei strategii de dezvoltare pe termen mediu si lung
3. OS3 Informarea si formarea grupului tinta/cetatenilor cu privire la rolul si posibilitatile de participare activa la luarea deciziilor de
dezvoltare a localitatii.</t>
  </si>
  <si>
    <t>Berbesti</t>
  </si>
  <si>
    <t>Asociația pentru Cooperare și Dezvoltare Durabilă</t>
  </si>
  <si>
    <t>Dezvoltarea educației și a transparenței în județul Giurgiu</t>
  </si>
  <si>
    <t>Asociația Regională pentru Dezvoltare Antrepre-norială Oltenia</t>
  </si>
  <si>
    <t>Giurgiu, Călugăreni, Comana, Hotarele, Bolintin-Vale, Mihăilești, Prundu</t>
  </si>
  <si>
    <t>Fundația World Vision România</t>
  </si>
  <si>
    <t>Consolidarea capacitatii locale prin crearea de
parteneriate pentru dezvoltare</t>
  </si>
  <si>
    <t>Lipovăț, Muntenii de Jos</t>
  </si>
  <si>
    <t>AA1/29.07.2022 durata si ue, cb, bn</t>
  </si>
  <si>
    <t>AA1/17.12.2019 AA2/5.02.2021 durata   AA3/1.08.2022 durata</t>
  </si>
  <si>
    <t>AA1/6.10.2020 durata AA2/7.10.2021 durata  AA3/1.08.2022 durata si ue, cb</t>
  </si>
  <si>
    <t>AA1/5.08.2022 durata</t>
  </si>
  <si>
    <t>AA1/20.04.2022 durata AA2/2.08.2022 bn si cb</t>
  </si>
  <si>
    <t>AA1/1.08.2022 durata</t>
  </si>
  <si>
    <t>AA1/2.08.2022 durata</t>
  </si>
  <si>
    <t>Asociația ”Ajutor Umanitar și Caritabil” Ciulnița</t>
  </si>
  <si>
    <t>Parteneriatul pentru Ciulnița - consolidarea capacității ONG-urilor și partenerilor sociali din comuna Ciulnița și localitățile limitrofe de a se implica în formularea și promovarea dezvoltării la nivel local</t>
  </si>
  <si>
    <t>ASOCIAȚIA DEZVOLT</t>
  </si>
  <si>
    <t>Inițiative de dezvoltare a responsabilității civice în procese decizionale și dezvoltare durabilă</t>
  </si>
  <si>
    <t>Ciulnița</t>
  </si>
  <si>
    <t>Parteneriat pentru dezvoltarea sustenabilă a comunei Polovragi</t>
  </si>
  <si>
    <t>Polovragi</t>
  </si>
  <si>
    <t>Obiectivul general al prezentului proiect consta în implicarea activa a Asociatiei Centrul pentru Dezvoltare Durabila Columna in
dezvoltarea comunei Polovragi prin sustinerea si promovarea oportunitatilor existente la nivelul acestei comunitati.
Obiectivele specifice ale proiectului
1. OS. 1: Sprijinirea administratiei locale si a cetatenilor in identificarea si valorificarea oportunitatilor locale prin instrumente
moderne
2. OS 2: Consolidarea capacitatii Asociatiei Centrul pentru Dezvoltare Durabila Columna si a comunitatii locale in utilizarea
corespunzatoare a instrumentelor dezvoltate</t>
  </si>
  <si>
    <t>ASOCIAȚIA OAMENI SI MEDIU OLTENIA</t>
  </si>
  <si>
    <t>Guvernare modernă-Dezvoltare locală în comuna Fărcașele</t>
  </si>
  <si>
    <t>Dezvoltarea durabila a comunei Farcasele prin introducerea de sisteme si standarde comune în administratia publica locala ce
optimizeaza procesele orientate catre beneficiari în concordanta cu SCAP si prin cresterea capacitatii ONG-urilor si partenerilor sociali de
a se implica în formularea si promovarea dezvoltarii la nivel local.                                                                                                                                                                                    Realizarea de instrumente de monitorizare si evaluare independenta a politicilor si strategiilor de dezvoltare a comunei Farcasele
pe parcursul implementarii proiectului.
2. Realizarea de proceduri, mecanisme pentru sustinerea si promovarea dezvoltarii la nivel local si de interactiune cu autoritatile si
institutiile administratiei publice din comuna Farcasele pe parcursul implementarii proiectului.
3. Dezvoltarea si implementarea mecanismelor de consultare a autoritatilor si institutiilor publice din comuna Farcasele cu ONGurile,
partenerii sociali si a cetatenilor în elaborarea politicilor si strategiilor la nivel local pe parcursul implementarii proiectului.
4. Dezvoltarea de mecanisme, proceduri, instrumente de consolidare a dialogului social si civic la nivelul comunei Farcasele pe
parcursul implemenatarii proiectului.
5. Dezvoltarea capacitatii partenerilor sociali din comuna Farcasele si a ONG-urilor din judetul Olt prin formare profesionala, activitati
întreprinse în comun, infiintarea unor retele tematice regionale si nationale pe parcursul implementarii proiectului.
6. Sprijinirea de initiative de dezvoltare a responsabilitatii civice, de implicare a comunitatilor locale din comuna Farcasele în viata
publica si de participare la procesele decizionale, de promovare a egalitati de sanse si nediscriminarii, precum si a dezvoltarii
durabile pe parcursul implementarii proiectului</t>
  </si>
  <si>
    <t>Dolj, Olt</t>
  </si>
  <si>
    <t>Craiova, Farcasele</t>
  </si>
  <si>
    <t>ASOCIAȚIA HANDMADE ROMÂNIA</t>
  </si>
  <si>
    <t>Dezvoltare locală sustenabilă în Comuna Ion Corvin</t>
  </si>
  <si>
    <t>Obiectiv general: Dezvoltarea capacitatii ONG-urilor de a crea parteneriate viabile si durabile cu autoritati publice locale si de a se implica
in dezvoltarea la nivel local in Comuna Ion Corvin.                                                                                                                                                                                                                         OS1 Dezvoltarea unui parteneriat durabil intre Solicitant si autoritatile locale functional la 6 luni dupa finalizarea proiectului
2. OS2 Dezvoltarea competentelor si insusirea unui „know how’ specific pentru 40 reprezentanti ai ONG-urilor si partenerilor sociali
in vederea consolidarii abilitatilor pentru formularea si promovarea dezvoltarii la nivel local.
3. OS3 Dezvoltarea responsabilitatii civice, de implicare a comunitatilor locale in viata publica si de participare la procesele
decizionale prin dezvoltarea a min 3 proiecte specifice la nivel local</t>
  </si>
  <si>
    <t>Ion Corvin</t>
  </si>
  <si>
    <t>ASOCIAȚIA "INSTITUTUL PENTRU PARTENERIAT SOCIAL BUCOVINA"</t>
  </si>
  <si>
    <t>Construim împreună viitorul Comunei Stulpicani</t>
  </si>
  <si>
    <t>ASOCIAȚIA PREGO</t>
  </si>
  <si>
    <t>Stulpicani</t>
  </si>
  <si>
    <t>ASOCIAȚIA PRO DEMOCRAȚIA</t>
  </si>
  <si>
    <t>E-consultare publică în județul Giurgiu</t>
  </si>
  <si>
    <t>ASOCIAȚIA INSTITUTUL SOCIAL VALEA JIULUI</t>
  </si>
  <si>
    <t>Hunedoara civică 2021-2022</t>
  </si>
  <si>
    <t>Petrosani, Vulcan, Petrila</t>
  </si>
  <si>
    <t>Asociația Clusterul Comunitar de Economie Socială - ACCES</t>
  </si>
  <si>
    <t>ACCES la dezvoltare</t>
  </si>
  <si>
    <t>Proiectul isi propune consolidarea capacitatii ONG-urilor si partenerilor sociali din Judetul Brasov de a se implica in formularea si
promovarea dezvoltarii la nivel judetean, impreuna cu Autoritatea publica locala, cu accent pe domeniile asistenta sociala, economie
sociala si voluntariat.
Obiectivele specifice ale proiectului
1. OS1. Sa facilitam consolidarea PDL prin sprijinirea incheierii a minim 30 de alte Parteneriate functionale cel putin 6 luni de la
finalizarea proiectului, parteneriate incheiate intre ONG-uri/parteneri sociali si o autoritate locala, intr-un termen de 12 luni;
2. OS2. Sa implicam minim 120 de persoane (din cadrul ONG-urilor, partenerilor sociale si autoritatii publice locale) in grupuri de
lucru si activitati de formare profesionala, pe parcursul a 12 luni;
3. OS3. Sa consolidam capacitatea interna a organizatiei ACCES prin atragerea de noi membrii (persoane juridice) ce se vor implica
in dezbaterile si grupurile tematice inovative constituite in cadrul PDL semnat cu autoritatea publica judeteana.</t>
  </si>
  <si>
    <t>ASOCIAȚIA PENTRU PROMOVAREA VALORILOR RURALE „FUIORUL”</t>
  </si>
  <si>
    <t>Eficientizarea administrațiilor publice la nivel local</t>
  </si>
  <si>
    <t>1, 4</t>
  </si>
  <si>
    <t>Botoșani, Dolj</t>
  </si>
  <si>
    <t>Cristinesti, Vârtop</t>
  </si>
  <si>
    <t>Federația Sindicatelor Libere și Independente "Petrol-Energie"</t>
  </si>
  <si>
    <t>Consolidarea capacității ONG-urilor și
partenerilor sociali de a se Implica în formularea și promovarea dezvoltării la nivel local</t>
  </si>
  <si>
    <t>ASOCIAȚIA "ROMÂNIA PRINDE RĂDĂCINI"</t>
  </si>
  <si>
    <t>Dialog social și civic pentru dezvoltare locală sustenabilă</t>
  </si>
  <si>
    <t>Uniunea Națională a Patronatului Român-Regiunea Nord Est-AFJ</t>
  </si>
  <si>
    <t>Dezvoltarea orașului Comănești, județ Bacău, prin implicarea partenerilor sociali</t>
  </si>
  <si>
    <t>c</t>
  </si>
  <si>
    <t>Comanesti</t>
  </si>
  <si>
    <t>ASOCIAȚIA CENTRUL PENTRU O SOCIETATE DURABILĂ</t>
  </si>
  <si>
    <t>Civic Crowdfunding</t>
  </si>
  <si>
    <t>Parteneriat în dezvoltarea de politici sociale la
nivel local</t>
  </si>
  <si>
    <t>Asociația Ateliere fără Frontiere</t>
  </si>
  <si>
    <t>Noul București - o capitală a tuturor</t>
  </si>
  <si>
    <t>Mobilitate 2.0 - Planificare Strategică și administrație publică digitalizată la nivelul regiunii București – Ilfov</t>
  </si>
  <si>
    <t>Asociația de Dezvoltare Intercomunitară pt Transport Public București-Ilfov</t>
  </si>
  <si>
    <t>Obiectivul general al proiectului consta in imbunatatirea capacitatii administrative la nivelul regiunii Bucuresti - Ilfov prin dezvoltatea
capacitatii de planificare strategica, eficientizarea proceselor de management si simplificarea procedurilor administrative, pentru a
raspunde in mod fundamentat si coerent nevoilor comunitatilor locale.
Obiectivele specifice ale proiectului
1. 1. OS 1 Dezvoltarea capacitatii de planificare strategica la nivelul regiunii Bucuresti - Ilfov prin actualizarea Planului de
Mobilitate Urbana Durabila 2016 – 2030 regiunea Bucuresti - Ilfov si a portofoliului de proiecte prioritare ale regiunii, dar si a
modelului de transport ce sta la baza PMUD.
2. OS 2 Eficientizarea si simplificarea serviciilor furnizate cetatenilor de catre Comisia Tehnica de Circulatie a Municipiului
Bucuresti prin extinderea procesului de digitalizare si scaderea timpilor de acces la documentele din arhiva
3. OS 3 Intarirea capacitatii institutionale a Municipiului Bucuresti si a Asociatiei de Dezvoltare Intercomunitara pentru
Transport Public Bucuresti-Ilfov prin pregatirea adecvata a personalului in domeniul planificarii strategice si a modelarii in
transporturi.</t>
  </si>
  <si>
    <t>CP18more/2022</t>
  </si>
  <si>
    <t>Sectorul 3 al Municipiului București</t>
  </si>
  <si>
    <t>Măsuri de simplificare pentru cetățenii sectorului 3</t>
  </si>
  <si>
    <t>Administrație publică digitalizată și eficientă pentru cetățenii sectorului 2</t>
  </si>
  <si>
    <t>Implementarea / consolidarea si sustinerea unui management performant la nivelul Primariei Municipiului Sebes si al instituțiilor
subordonate, realizate prin aplicarea CAF ca instrument de îmbunatațire a performanțelor Sistemului de Management al Calitații al
Primariei Sebes, pentru crearea unei administrații publice moderne, capabila sa faciliteze dezvoltarea socio-economica prin intermediul
unor servicii publice competitive.
Obiectivele specifice ale proiectului
1. OS 1 – Implementarea de sisteme unitare de management al calitații aplicabile administrației publice, prin utilizarea instrumentului
CAF, inclusiv formarea/ instruirea specifica a personalului Primariei Municipiului Sebes pentru implementarea instrumentului CAF
2. OS 2 – Consolidarea SMC prin acțiuni de îmbunatațire rezultate în urma evaluarii pe baza criteriilor modelului CAF
3. OS 3 – Dezvoltarea abilitaților personalului din cadrul Primariei Municipiului Sdebes si al instituțiilor subordonate Primariei Sebes
prin:
• asigurarea formarii profesionale a 10 persoane din cadrul primariei Municpiului Sebes pentru efectuarea autoevaluarii
SMC utilizând modelul CAF;
• asigurarea formarii profesionale a 46 persoane din grupul ținta, pentru implementarea Sistemului de Mangement al
Calitații, integrarea SMC cu SCIM si monitorizarea acestuia cu ajutorul instrumentului CAF.
• dezvoltarea unui Ghid de buna practica privind integrarea SMC cu SCIM în cadrul UAT si evaluarea performanțelor
SMC pe baza Modelului CAF
4. OS 4 – Asigurarea unui instrument suport pentru SMC prin proiectarea si implementarea unui sistem informatic.
5. OS 5 – Promovarea standardelor si instrumentelor managementului calitații prin Organizarea si derularea unei conferințe de
informare/ constientizare privind principiile si instrumentele managementului calitații</t>
  </si>
  <si>
    <t>Implementarea unui sistem de management al calitatii si performantei integrat si eficient, prin autoevaluarea CAF, standardizarea proceselor de lucru, recertificarea ISO:9001 si dezvoltarea abilitatilor personalului din cadrul UAT Primariei Municipiului Aiud, în vederea optimizarii proceselor orientate catre beneficiari, în concordanta cu SCAP                                                                                                                                                             Obiectiv Specific 1: Dezvoltarea unui sistem unitar de management al calitatii si performantei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actiuni de identificare a bunelor practici si networking între institutii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cunostintelor si abilitatilor a 30 de persoane, însemnând personal din cadrul Primariei Municipiului Aiud, prin participarea la cursuri de formare profesionala pe teme specific de interes precum managementul calitattii si managementul performanței, în vederea sprijinirii masurilor si acțiunilor de OS2.1 si implicit de proiect pentru optimizarea proceselor orientate catre beneficiari.</t>
  </si>
  <si>
    <t>Obiectiv Specific 1: Dezvoltarea unui mecanism eficient de prevenire a coruptiei în cadrul unitatii administrativ-teritoriale Primaria Municipiului Aiud, prin elaborarea si/sau actualizarea a minimum 7 proceduri de sistem/operationale privind indicatorii anticoruptie, în concordanta cu Strategia Nationala Anticoruptie 2016 – 2020.
Obiectiv Specific 2: Implementarea mecanismului de prevenire a coruptiei la nivelul UAT Municipiul Aiud, prin dispozitie de primar, cu ajutorul unui manual de implementare elaborat în cadrul proiectului.
3. Obiectiv Specific 3: Instruirea si certificarea a 30 de persoane, însemnând personal de conducere si de executie din cadrul Primariei Municipiului Aiud, prin intermediul unui curs de formare pe tematici privind importanta eticii si integritatii în institutia publica.</t>
  </si>
  <si>
    <t>Obiectiv general:
Cresterea capacitatii administrative de a preveni si reduce coruptia în ansamblul institutiilor publice locale din UAT Sebes prin aplicarea
unitara a mecanismelor, procedurilor si normelor de etica si integritate si îmbuntatirea cunostintelor si competentelor în ceea ce priveste
prevenirea coruptiei.                                                                                                                                                                                                                                OS1: Dezvoltarea de proceduri operationale privind masurile preventive anticoruptie si indicatorii de evaluare aferenti;                                                    OS2: Cresterea gradului de implementare a masurilor referitoare la prevenirea coruptiei si a indicatorilor de evaluare în autoritatile
si institutiile publice;
OS3: Aplicarea unitara a normelor, mecanismelor si procedurilor în materie de etica si integritate în autoritatile si institutiile
publice;
OS4: Cresterea nivelului de educatie anticoruptie pentru personalul din autoritatile si institutiile publice;</t>
  </si>
  <si>
    <t>Obiectivul general consta în îmbunatatirea capacitatii administrative, a calitatii si eficientei serviciilor publice furnizate la nivelul UAT
Municipiul Sebes, judetul Alba, din Regiunea Centru, prin investitii integrate si complementare conform reglementarilor europene si
nationale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eficienta actiunilor adimintrative la nivelul Municipiului Sebes. OS 1 se va îndeplini prin Activitatea 7 si va conduce la atingerea
rezultatului de program POCA R1.
2. OS 2. Masuri de simplificare a procedurilor administrative si reducerea birocratiei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</si>
  <si>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Obiectivul general: îmbunatatirea procesului decizional, a planificarii strategice si reducerea birocratiei pentru cetateni, prin dezvoltarea si
implementarea de masuri precum: un mecanism pentru fundamentarea deciziilor, doua politici publice, un plan strategic institutional, doua
strategii sectoriale, solutii informatice integrate, ca si prin îmbunatatirea cunostintelor personalului pentru implementarea masurilor
dezvoltate în proiect.
Obiectiv specific 1: Îmbunatatirea procesului de fundamentare a deciziilor la nivelul UAT Primaria Municipiului Aiud prin
elaborarea a doua politici publice în domenii prioritare la nivelul UAT.
Obiectiv specific 2: Îmbunatatirea procesului de planificare strategica la nivelul UAT Primaria Municipiului Aiud prin elaborarea si
aprobarea unui plan strategic institutional (PSI) aferent anilor 2020 – 2021, precum si a doua strategii sectoriale aferente anilor
2021 – 2025 în domeniile sanatate si asistenta sociala.
Obiectiv specific 3: Simplificarea procedurilor administrative si reducerea birocratiei pentru cetateni la nivel local, prin dezvoltarea
si implementarea unui pachet de solutii informatice integrate de tip front-office si back-office, în vederea accesului online la
serviciile gestionate exclusiv de UAT si digitalizarea documentelor din arhiva institutiei.
Obiectiv specific 4:Dezvoltarea abilitatilor personalului din UAT Primaria Municipiului Aiud si institutiile din subordinea consiliului
local, pe teme specifice de interes care au legatura cu OS2.1 si cu obiectivul general al proiectului, incluzând politici publice
locale, planificare strategica, utilizarea sistemelor informatice dezvoltate în proiect.</t>
  </si>
  <si>
    <t>Obiectivul general al proiectului
Obiectivul general al proiectului consta in consolidarea capacitatii institutionale si eficientizarea activitatii la nivelul Municipiului Aiud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sigurantei si ordinii publice.
2. OS2: Dezvoltarea cunostintelor si abilitatilor personalului din cadrul Municipiului Aiud, in vederea sprijinirii masurilor vizate de
proiect. Este avuta in vedere formarea/instruirea, evaluarea/testarea si certificarea competentelor/cunostintelor dobândite pentru
33 persoane din cadrul grupului tinta, in ceea ce priveste utilizarea solutiilor informatice implementate in cadrul proiectului</t>
  </si>
  <si>
    <t>Scopul proiectului
Consolidarea capacitatii administrative a Municipiului Alba Iulia pentru cresterea gradului de transparenta, etica si integritate in cadrul
acesteia, in termen de 16 luni.
Obiectivele specifice ale proiectului
1. OS.1. Consolidarea masurilor de prevenire a coruptiei prin adoptarea unui set de proceduri operationale la nivelul administratiei
publice locale a Mun. Alba Iulia.
2. OS. 2. Cresterea gradului de constientizare a coruptiei in randul personalului Mun. Alba Iulia, prin organizarea unei campanii ce
presupune realizarea de picturi murale, a unui Ghid de informare legislativa in domeniul anticoruptie si veste personalizate cu
mesaje anticoruptie.
3. OS. 3 Imbunatatirea cunostintelor privind perceptia coruptiei la nivelul Primariei municipiului Alba Iulia prin realizarea unui studiu
bazat pe sondaje de opinie.
4. OS. 4. Imbunatatirea cunostintelor si competentelor in domeniul prevenirii coruptiei, transparentei, eticii</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</si>
  <si>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situatia actuala a managementului performantei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</si>
  <si>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Îmbunatatirea corelarii între masurile si planurile de actiune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corespondenta cu Planul Integrat pentru simplificarea
procedurilor administrative aplicabile cetațenilor, atât din perspectiva back-office (adaptarea procedurilor interne de lucru,
digitalizarea arhivelor), cât si front-office
4. OS4. Dezvoltarea cunostintelor si abilitaților personalului din cadrul Primariei Municipiului Arad, în vederea sprijinirii masurilor
vizate de proiect. Este avuta în vedere formarea/instruirea,evaluarea/testarea si certificarea competentelor/cunostintelor
dobândite pentru 75 persoane din cadrul grupului tinta, în ceea ce priveste planificarea strategica. Obiectivul general al serviciilor
de instruire îl constituie familiarizarea persoanelor din grupul tinta cu implicatiile conceptului de planificarea strategica.</t>
  </si>
  <si>
    <t>Îmbunatațirea capacitatii de planificare strategica la nivelul judetului Arad
Obiectivele specifice ale proiectului
1. Elaborarea Strategiei de dezvoltare a Judetului Arad pentru perioada 2021-2027
2. Elaborarea a doua strategii sectoriale (Culturala, Eficiența energetica) pentru perioada 2021-2027</t>
  </si>
  <si>
    <t>Obiectivul general al proiectului este îmbunatatirea calitatii si accesibilitatii serviciilor publice aferente competentelor partajate oferite de
Primaria Municipiului Arad, prin simplificarea procedurilor administratiei locale cu scopul de a eficientiza activitatea institutionala în relatia cu cetatenii.
Obiectivele specifice ale proiectului
1. OS1. Implementarea unor proceduri simplificate în vederea reducerii birocratiei pentru cetateni, la nivel local, în corespondenta cu
Planul Integrat pentru simplificarea procedurilor administrative aplicabile cetatenilor, atât din perspectiva back-office, cât si frontoffice,
prin introducerea unor solutii digitale noi si integrarea celor existente, pentru serviciile publice aferente competentelor
partajate ale administratiei publice locale.
2. OS2. Dezvoltarea cunostintelor si abilitatilor personalului în vederea sprijinirii masurilor vizate de proiect.</t>
  </si>
  <si>
    <t xml:space="preserve">1. Etapizarea introducerii unui Plan de acțiuni în cadrul Consiliul Judetean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</si>
  <si>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Îmbunatatirea planificarii strategice institutionale si simplificarea procedurilor implementate la nivelul Consiliului Judetean Arges
Obiectivele specifice ale proiectului
1. Elaborarea Strategiei pentru Dezvoltare Durabila a Judetului Arges - instrument de planificare a investitiilor locale
2. Simplificarea procedurilor la nivel judetean prin digitalizarea documentelor si implementarea unei solutii informatice pentru
administrarea acesteia
3. Îmbunatatirea cunostintelor si abilitatilor personalului din cadrul Consiliului Judetean Arges în domeniul managementului strategic
si în utilizarea si administrarea solutiei informatice dezvoltate prin proiect</t>
  </si>
  <si>
    <t>Obiectivul general al proiectului/Scopul proiectului
Consolidarea capacitatii institutionale si eficientizarea activitatii la nivelul UAT Municipiul Câmpulung în ceea ce priveste exercitarea
atributiilor, prin implementarea de masuri pentru îmbunatatirea procesului decizional si a planificarii strategice si de digitalizare cu GIS
integrat menite sa ajute la standardizarea modului de lucru, aplicarii managementului calitatii la nivelul activitatilor specifice, la cresterea
gradului de interoperabilitate a sistemelor informatice si interconectare, atât din perspectiva back-office, cât si din perspectiva front office.
Obiectivele specifice ale proiectului
1. Crearea de mecanisme, instrumente si proceduri standard pentru fundamentarea deciziilor, planificarea strategica pe termen
mediu si lung în Municipiul Câmpulung, prin elaborarea Planului Strategic Institutional si a Strategiei de Transformare Digitala a
Municipiului Câmpulung si proiectarea unui proces de management eficient, care sa corespunda nevoilor institutiei.
2. Implementarea si certificarea Sistemului de Management al Calitatii ISO 9001:2015 la nivelul UAT Municipiul Câmpulung
3. Optimizarea procedurilor administrative interne în raport cu beneficiarii serviciilor publice, în scopul reducerii birocratiei, prin
implementarea unui ecosistem digital integrat si dezvoltarea abilita</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</si>
  <si>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abilitatilor personalului UAT Judetul Bacau pe tema aplicarii sistemelor unitare de management al calitatii si
performantei prin organizarea a 2 programe de formare (auditor de calitate, expert CAF) la care vor participa 75 persoane.
</t>
  </si>
  <si>
    <t>Obiectivul general al proiectului consta in consolidarea capacitatii institutionale si eficientizarea activitatii la nivelul Municipiului Onesti prin simplificarea procedurilor administrative si reducerea birocratiei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cetatenilor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informationale ale instituției, reducând astfel întârzierile în procesul decizional cu impact asupra activitatilor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cunostintelor si abilitatilor personalului din cadrul Municipiului Onesti, in vederea sprijinirii masurilor vizate de proiect. Este avuta in vedere formarea/instruirea, evaluarea/testarea si certificarea competentelor/cunostintelor dobândite pentru 50 persoane din cadrul grupului tinta, in ceea ce priveste utilizarea solutiilor informatice implementate in cadrul proiectului . Obiectivul general al serviciilor de instruire ii constituie familiarizarea cu componentele solutiei informatice implementate, prin însusirea cunostintelor necesare utilizarii aplicatiilor, deprinderea functionalitatilor si a modului de folosire a acestora</t>
  </si>
  <si>
    <t>Obiectivul general al proiectului consta in consolidarea capacitații instituționale si eficientizarea activitații la nivelul Municipiului Onesti prin continuarea simplificarii procedurilor administrative si reducerea birocratiei pentru cetațeni, implementând masuri din perspectiva backoffice (adaptarea procedurilor interne de lucru, digitalizarea arhivelor) si front-office pentru serviciile publice furnizate aferente
competentelor partajate ale administratiei publice locale.
Obiectivele specifice ale proiectului
1. OS1: Implementarea unor masuri de simplificare pentru cetațeni, in corespondenta cu Planul integrat pentru simplificarea
procedurilor administrative aplicabile cetatenilor din perspectiva front-office, dar si back-office prin introducerea unor soluții
aplicative noi si integrarea cu cele existente, în scopul digitalizarii fluxurilor de lucru, pentru reducerea timpului de procesare a
cererilor cetațenilor si asigurarea accesului online la serviciile publice gestionate de Municipiul Onesti din domeniul urbanismului
si asistenței sociale.
2. OS2: Dezvoltarea cunostințelor si abilitaților personalului din cadrul Municipiului Onesti, in vederea sprijinirii masurilor vizate de
proiect. Este avuta in vedere formarea/instruirea, evaluarea/testarea si certificarea competentelor/cunostințelor dobândite pentru
50 persoane din cadrul grupului ținta, in ceea ce priveste utilizarea solutiilor informatice implementate in cadrul proiectului</t>
  </si>
  <si>
    <t>Obiectivul general al proiectului este implementarea mecanismelor si instrumentelor strategice de dezvoltare din cadrul Primariei
Municipiului Bacau, prin actualizarea Strategiei Integrate de Dezvoltare Urbana 2021-2027 si a Planului de Mobilitate Urbana Durabila,
prin intermediul unor instrumente modern de management si crearea unui sistem de planificare strategica a dezvoltarii locale.
Obiectivele specifice ale proiectului
1. OS1. Actualizarea Strategiei Integrate de Dezvoltare Urbana a Municipiului Bacau pentru perioada 2021-2027 cu scopul
identificarii si rezolvarii problemelor comunitatii, în domeniul economic, de mediu si social, cât si crearea unei administratii publice
eficiente în beneficiul socio-economic al comunitatii
2. OS2: Actualizarea Planului de Mobilitate Urbana Durabila, cresterii gradului de dezvoltare urbana echilibrata, integrata si durabila
a Municipiului Bacau
3. OS3. Imbunatatirea cunostintelor si abilitatilor profesionale pentru personalul din cadrul UAT Bacau in vederea cresterii
performantei managementului institutiei publice</t>
  </si>
  <si>
    <t>Proiectul vizeaza consolidarea capacitatii administrative a Judetului Bacau prin fundamentarea deciziilor, planificarea strategica pe termen
lung, simplificarea procedurilor administrative si reducerea, in acelasi timp, a birocratiei pentru cetatenii judetului Bacau.
Obiectivele specifice ale proiectului
1. OS1.Introducerea de sisteme si standarde comune în administratia publica locala ce optimizeaza procesele orientate catre
beneficiari în concordanta cu SCAP.
OS1.1 Prin realizarea profilului monografic al judetului Bacau, document ce va sta la baza elaborarii „Strategiei de dezvoltare
durabila a judetului Bacau, perioada 2021–2029”, precum si a instrumentului de monitorizare a strategiei, se urmareste atingerea
indicatorului de rezultat 5S18 – Autoritati si institutii publice care au implementat mecanisme si proceduri standard pentru
fundamentarea deciziilor si a planificarii strategice pe termen lung. (R1)
OS1.2. Prin extinderea functionalitatilor portalului web cu servicii aferente competentelor partajate ale CJ Bacau (urbanism si
amenajarea teritoriului), proiectul va contribui la realizarea indicatorului de rezultat 5S20 - Autoritati si institutii publice locale în
care s-au implementat masurile de simplificare a procedurilor pentru cetateni în conformitate cu Planul integrat pentru
simplificarea procedurilor administrative pentru cetateni elaborat la nivel national.(R3)
OS1.3. Activitatea de instruire a 173 de persoane din cadrul grupulu tinta urmareste cresterea competentelor de utilizare a
sistemelor informatice realizate si implementate prin proiect, ceea ce va contribui la atingerea R 5 - Personal din administratia
publica locala care participa la activitati de instruire legata de OS 2.1 .</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</si>
  <si>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</si>
  <si>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Obiectivul general consta în consolidarea capacitatii administrative a Primariei Onesti, din Regiunea mai putin dezvoltata Nord-Est, prin
masuri de planificare strategica (elaborare Strategie de dezvoltare a resurselor umane, Plan Strategic Institutional, bugetare participativa),
prin implementarea si utilizarea a trei sisteme unitare de managenent al calitatii, performantei si planificarii strategice CAF, ISO
9001:2015 si BSC aplicabile administratiei locale.
Obiectivele specifice ale proiectului
1. OS1: Implementarea unor mecanisme si proceduri standard (Strategie de dezvoltare a resurselor umane, Plan strategic
institutional si proceduri pentru bugetarea participativa) pentru a creste eficienta actiunilor adimintrative la nivelul Primariei
Municipiului Onesti.
2. OS2. Implementarea si utilizarea instrumentelor de management al calitatii, performantei si planificarii strategice CAF, ISO
9001:2015 si Balanced Scored Card la nivelul Municipiului Onesti pentru sustinerea schimbarii in vederea obtinerii de
performanta, de îmbunatatire a modului de realizare a activitatilor si de prestare a serviciilor publice
3. OS3: Imbunatatirea competentelor profesionale si certificarea unui numar de 85 de persoane din cadrul Muncipiului Onesti,
personal de conducere si de executie. Formarea/instruirea specifica in vederea managementului planificarii strategice si
managementului calitatii se va realiza ca parte a procesului de implementare al acestui sistem.</t>
  </si>
  <si>
    <t>Obiectivul principal al proiectului consta in cresterea eficientei administrative la nivelul Municipiului Bacau prin implementarea unui sistem
informatic de automatizare a unor servicii publice pentru care municipalitatea detine competente partajate, sistem cu componente front
office pentru interactiunea electronica cu cetatenii, precum si back-office pentru gestiunea fluxului de activitati necesare pentru rezolvarea
cererilor si pentru constituirea bazelor de date interne cu informatii privind serviciile furnizate.
Obiectivele specifice ale proiectului
1. Cresterea accesibilitatii si simplificarea modalitatii de solicitare a unor servicii publice partajate din domeniul asistentei sociale, al
sprijinirii tinerilor în domeniul locuirii (gestionarea si valorificarea patrimoniului de locuinte ANL) si respectiv al ordinii si sigurantei
publice, prin masuri de optimizare si eficientizare a interactiunii front-office: implementarea în cadrul portalului web a unor servicii
electronice, ca alternativa la modalitatea traditionala de solicitare/furnizare a serviciilor publice.
2. Îmbunatatirea abilitatilor si cunostintelor personalului municipiului Bacau pentru utilizarea sistemelor informatice dezvoltate prin
proiect si pentru gestionarea fluxurilor de activitati si de documente electronice.
3. Digitalizarea fluxului de documente si reducerea timpului de furnizare a unor servicii publice partajate din domeniul asistentei
sociale, al sprijinirii tinerilor în domeniul locuirii (gestionarea si valorificarea patrimoniului de locuinte ANL) si respectiv al ordinii si
sigurantei publice, prin masuri de optimizare a activitatilor back-office: implementarea unor aplicatii software specializate pentru
managementul intern al activitatilor specifice de asistenta sociala, managementul patrimoniului de locuinte ANL si respectiv
managementul activitatilor de ordine si siguranta publica.</t>
  </si>
  <si>
    <t xml:space="preserve">Obiectivul general al proiectului il reprezinta introducerea sistemelor si standardelor comune la nivelul Consiliului Judetean Bihor pentru optimizarea proceselor orientate catre beneficiari în concordanta cu SCAP si dezvoltarea abilitatilor in domeniul managementului calitatii a angajatilor din administratia publica si alesilor locali din judetul Bihor
Obiectivele specifice ale proiectului 
1. Obiectivul Specific 1 Implementarea sistemului de management al calitatii si obtinerea certificarii ISO 9001:2015
2. Obiectivul Specific 2 Îmbunatatirea cunostintelor si abilitatilor a 50 de persoane angajate in administratia publica a judetului Bihor si/sau alesi locali, prin organizarea de cursuri în domenii care sa asigure o mai buna administrare a patrimoniului judetului si
organizarea mai eficienta, orientata spre calitate </t>
  </si>
  <si>
    <t>Obiectivul general al proiectului consta in consolidarea capacitatii institutionale si eficientizarea activitatii la nivelul Municipiului Oradea prin simplificarea procedurilor administrative si reducerea birocratiei pentru cetateni, implementând masuri din perspectiva back-office
(adaptarea procedurilor interne de lucru, digitalizarea arhivelor) si front-office pentru serviciile publice furnizate.
Obiective specifice:
OS 1 - Implementarea unor masuri de simplificare pentru cetateni, in corespondenta cu Planul integrat pentru simplificarea procedurilor
administrative aplicabile cetatenilor din perspectiva front-office, dar si back-office prin dezvoltarea si adaptarea aplicatilor existente si introducerea unor solutii aplicative noi (arhivare electronica, captura documente, fluxuri de lucru si management arhiva fizica de documente) care vor furniza digital fluxurile de lucru de baza din cadrul institutiei,
OS 2 - Dezvoltarea cunostintelor si abilitatilor personalului din cadrul Municipiului Oradea, in vederea sprijinirii masurilor vizate de
proiect.</t>
  </si>
  <si>
    <t>Fundamentarea si implementarea unui management strategic performant în administratia publica din judetul Bihor.
Obiectivele specifice ale proiectului
1. OS 1. Sustinerea procesului decizional la nivelul administratiei publice locale din judetul Bihor, pentru a raspunde în mod
fundamentat si coerent nevoilor comunitatilor locale, prin elaborarea si diseminarea Strategiei de dezvoltare durabila a judetului
Bihor pe perioada 2021-2026, precum si a celor doua Ghiduri specifice, care au aplicabilitate pentru Consiliul Judetean Bihor
pentru UAT-urile din judet si unitatile subordonate consiliului judetean.
2. OS 2. Optimizarea utilizarii resurselor software si hardware existente în vederea simplificarii pentru reducerea birocratiei pentru
cetateni la nivel local.
3. OS 3. Îmbunatatirea corelarii componentei bugetare cu componenta strategica prin dezvoltarea abilitatilor si capacitatilor
angajatilor si alesilor locali ai Consiliului Judetean Bihor, prin participarea la 4 programe de formare.
4. OS 4. Cresterea coerentei, eficientei si transparentei procesului decizional prin transfer de know-how în domeniul dezvoltarii si
cooperarii institutionale si internationale, prin participarea angajatilor cosiliului judetean la vizite de studiu la institutii nationale si
internationale, si organizarea de 2 workshop-uri specifice.</t>
  </si>
  <si>
    <t>Obiectivul general al proiectului consta în: consolidarea capacitatii administrative a Municipiului Marghita în vederea cresterii integritatii,
reducerea vulnerabilitatilor la coruptie, cresterea transparentei si eticii prin dezvoltarea si implementarea unor masuri de prevenire a
coruptiei, aplicarea unitara a mecanismelor, procedurilor si normelor de etica si integritate, precum si prin îmbunatatirea cunostintelor
salariatilor în ceea ce priveste prevenirea coruptiei                                                                                                                                                                                                               O.S.1. Consolidarea integritatii, reducerea vulnerabilitatilor si a riscurilor de coruptie în cadrul institutiei prin implementarea de
masurile preventive anticoruptie, respectiv dezvoltarea de proceduri operationale anticoruptie si implementarea sistemului de
management anti-mita ISO 37001.
2. O.S.2. Cresterea eficientei masurilor preventive anticoruptie prin identificarea riscurilor si vulnerabilitatilor si realizarea unui
sondaj privind perceptia în rândul cetatenilor si al personalului din cadrul institutiei cu privire la fenomenul coruptiei.
3. O.S.3. Cresterea gradului de constientizare a publicului si societatii civile cu privire la impactul fenomenului coruptiei, prin
derularea unei campanii de constientizare a publicului cu privire la coruptie.
4. O.S.4. Îmbunatatirea cunostintelor si competentelor unui numar de 75 de persoane din cadrul Primariei Marghita, personal de
conducere si executie si alesi locali, prin organizarea unui program de formare/instruire în domeniul eticii, transparentei, integritatii
si a bunelor practici cu privire la prevenirea coruptiei.</t>
  </si>
  <si>
    <t>Implementarea de masuri de simplificare pentru cetateni în corespondenta cu Planul integrat pentru simplificarea procedurilor
administrative aplicabile cetatenilor, pentru competentele exclusive si partajate ale autoritatii locale
Obiectivele specifice ale proiectului
1. Proceduri simplificate pentru reducerea birocratiei pentru cetateni la nivel local corelate cu Planul integrat de simplificare a
procedurilor administrative pentru cetateni implementate
2. Implementarea unei Platforme IT în vederea digitalizarii procedurilor interne de lucru în administratia publica locala si a proceselor
de interactiune cu cetatenii - serviciile publice online</t>
  </si>
  <si>
    <t>Consolidarea capacitatii Consiliului Judetean Bistrita-Nasaud de a asigura calitatea si accesul la serviciile publice oferite exclusiv de
institutie prin simplificarea procedurilor administratiei locale si reducerea birocrației.
Obiectivele specifice ale proiectului
 1. Implementarea unor masuri de simplificare pentru cetateni si firme, în corespondenta cu Planul Integrat pentru simplificarea
procedurilor administrative aplicabile cetatenilor, atât din perspectiva back-office (adaptarea procedurilor interne de lucru,
digitalizarea arhivelor), cât si front-office;
 2. Dezvoltarea cunostintelor si abilitatilor personalului din cadrul Consiliului Judetean Bistrita-Nasaud, în vederea sprijinirii
masurilor vizate de proiect. Este avuta în vedere formarea/instruirea, evaluarea/testarea si certificarea
competentelor/cunostintelor dobândite pentru 100 de persoane din cadrul grupului tinta, în ceea ce priveste planificarea
strategica. Obiectivul general al serviciilor de instruire îl constituie familiarizarea persoanelor din grupul tinta cu implicatiile
conceptului de planificarea strategica;
3. Elaborarea criteriilor de prioritizare a investitiilor in sectoarele: sanatate, asistenta sociala, infrastructura de mediu si transport
pentru realizarea bugetului Consiliului Judetean Bistrita-Nasaud aferent anului 2021.</t>
  </si>
  <si>
    <t>Obiectivul general al proiectului
Furnizarea de servicii mai bune intr-un mod mai eficient si orientat catre cetateni prin utilizarea tehnologiei digitale si a inteligentei
artificiale in domeniul urbanismului si al asistentei sociale.
Obiectivele specifice ale proiectului
1. Dezvoltarea capacitatii institutionale a Serviciului Urbanism si Directiei de Asistenta Sociala din cadrul UAT Municipiul Bistrita in
vederea realizarii procesului de transformare digitala.
2. Dezvoltarea solutiilor digitale si de inteligenta artificiala care sa sustina servicii mai bune furnizate intr-un mod mai eficient si
orientat spre cetateni.</t>
  </si>
  <si>
    <t>Obiectiv general: Dezvoltarea unui Sistem de Management al Calitatii si Performantei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calitatii si performantei cu sistemul de control intern managerial, precum si recertificarea SR EN ISO 9001, în scopul optimizarii proceselor orientate catre beneficiari în concordanta cu SCAP si al consolidarii capacitatii institutionale a UAT Municipiul Botosani
Obiectiv Specific 2.Implementarea unui sistem informatic inovativ de management al proceselor si documentelor la nivelul UAT Municipiul Botosani, în vederea dezvoltarii si consolidarii Sistemului de Management al Calitatii si Performantei, necesar cresterii calitatii si a accesibilitatii serviciilor publice.Obiectiv Specific 3.Îmbunatatirea cunostintelor si abilitatilor a 150 de persoane, personalul din cadrul UAT Municipiul Botosani privind implementarea, respectarea si actualizarea continua a standardelor de management al calitatii, prin sesiunile de formare profesionala clasica si e-learning, actiuni de networking si schimb de bune practici, în vederea sprijinirii masurilor si actiunilor de OS2.1 si implicit de proiect pentru optimizarea proceselor orientate catre beneficiari</t>
  </si>
  <si>
    <t>Obiectivul general al proiectului/Scopul proiectului
Prevenirea si reducerea faptelor de coruptie la nivelul celor 140 de angajati ai Primariei Municipiului Botosani.
Obiectivele specifice ale proiectului
1. Elaborarea diagnozei institutionale din punct de vedere al fenomenului de risc care favorizeaza vulnerabilitati la fapte de coruptie
2. Cresterea gradului de informare cu privire la fenomenul coruptiei si solutiile de prevenire si eradicare
3. Cresterea capacitatii interne pentru prevenirea si semnalarea cazurilor asociate fenomenului coruptiei
4. Educarea membrilor comunitatii cu privire la importanta si impactul masurilor anti-coruptie respectiv cu privire la rolul comunitatii
în prevenirea si sanctionarea ei timpurie
5. Identificarea solutiilor de consolidare a integritatii institutiei prin tratarea cauzelor si prevenirea posibilelor fapte de coruptie</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</si>
  <si>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cunostintelor si abilitatilor profesionale pentru 35 de persoane din grupul tinta prin participarea la cursuri de
formare pentru utilizarea sistemului informatic si a procedurilor simplificate,cuprinzând si module de dezvoltare durabila, egalitate
de sanse, nediscriminare si egalitate de gen.</t>
  </si>
  <si>
    <t>Cresterea transparenței, eticii si integritații la nivelul Unitatii Administrativ-Teritoriale Județul Botosani- Consiliul Județean si institutiilor
subordonate.
Obiectivele specifice ale proiectului
1. Identificarea principalelor vulnerabilitati cu privire la coruptie si elaborarea unei Analize instituționale.
2. Imbunatatirea calitatii serviciilor publice furnizate prin prevenirea si semnalizarea cazurilor asociate fenomenului coruptiei,
reducerea vulnerabilitaților si a riscurilor de corupție în administratia publica judeteana.
3. Cresterea gradului de informare si constientizare a cetatenilor Județului Botosani si a personalului din administratia publica locala
cu privire la sesizarea faptelor de coruptie si masuri de prevenire a acestora.
4. Imbunatatirea cunostintelor si competentelor functionarilor publici si personalului de conducere din Consiliul Judetean Botosani si
institutiile subordonate in materie de etica si integritate.</t>
  </si>
  <si>
    <t>Obiectivul general al proiectului consta in consolidarea capacitatii institutionale a Consiliul Judetean Braila si a unor institutii subordonate
cu atributii in domeniile ce sunt gestionate partajat de aceasta autoritate prin introducerea de masuri de simplificare a procedurilor pentru
cetateni în conformitate cu Planul integrat de simplificare a procedurilor pentru cetateni elaborat la nivel national.
Obiectivele specifice ale proiectului
1. Implementarea unor masuri de simplificare pentru cetateni, în corespondenta cu Planul integrat pentru simplificarea procedurilor
administrative aplicabile cetatenilor din perspectiva front-office, dar si back-office prin achizitia si implementarea unei platforme
integrate(portal de servicii electronice pentru cetateni, sistem informatic de management documente, arhivare electronica, retrodigitalizarea
documentelor din arhiva)
2. Dezvoltarea cunostintelor si abilitatilor personalului din cadrul aparatului de specialitate al Consiliului Judetean Braila si a unor
institutii subordonate, în vederea sprijinirii masurilor vizate de proiect. Este avuta în vedere formarea/instruirea,
evaluarea/testarea si certificarea competentelor/cunostintelor dobândite pentru 60 de persoane din cadrul grupului tinta, în ceea
ce priveste utilizarea/administrarea solutiilor informatice implementate în cadrul proiectului.</t>
  </si>
  <si>
    <t>Obiective specifice: Cresterea eficientei administrative a Primariei Municipiului Brasov prin implementarea unor sisteme informatice inovative - ca masuri de simplificare a furnizarii serviciilor catre cetateni si mediul de afaceri. Obiectivele specifice ale proiectului
1. Optimizarea activitatilor interne ale functionarilor, prin implementarea unei platforme integrate de management al activitatilor si al înregistrarilor
2. Modernizarea platformei de tip portal prin implementarea de noi solutii tehnice si servicii care sa fie furnizate online catre cetățeni
3. Imbunatatirea abilitatilor si cunostintelor personalului municipiului Brasov pentru utilizarea sistemelor informatice dezvoltate prinproiect si pentru gestionarea documentelor electronice</t>
  </si>
  <si>
    <t>Obiectivul general al proiectului consta consolidarea capacitatii institutionale si eficientizarea activitatii la nivelul Municipiului Codlea, prin simplificarea procedurilor administrative si reducerea birocratiei pentru cetateni, implementând masuri din perspectiva back-office (adaptarea procedurilor interne de lucru, digitalizarea arhivelor) si din perspectiva front-office, pentru serviciile publice furnizate.                                                                                                                                                                                                         Obs. 1) Implementarea unor masuri de simplificare pentru cetateni, în corespondenta cu Planul integrat pentru simplificarea
procedurilor administrative aplicabile cetatenilor, atât din perspectiva back-office (adaptarea procedurilor interne de lucru,
digitalizarea arhivelor), cât si din perspectiva front-office.
cetateni. Rezultatul 1 contribuie la atingerea acestuia.
2. Obs. 2) Cultivarea si dezvoltatea cunostintelor, competentelor si abilitatilor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</si>
  <si>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Obiectivul general al proiectului:
Introducerea de sisteme si standarde comune în administratia publica locala ce optimizeaza procesele orientate catre beneficiari în concordanta cu SCAP:
• Implementarea de mecanisme si proceduri standard la nivel local pentru simplificare si rationalizare a procedurilor
administrative
• Introducerea de instrumente electronice si procese de lucru simplificate pentru reducerea birocratiei, corelate cu Planul integrat de simplificare a procedurilor administrative pentru cetateni implementate
Obiectivele specifice ale proiectului
1. Obiectiv specific de proiect 1: Digitizarea, simplificarea si optimizarea fluxurilor de lucru pentru procesele orientate catre cetateni în administratia locala a Municipiului Fagaras.
2. Obiectiv specific de proiect 2: Îmbunatatirea cunostintelor si abilitatilor alesilor locali, precum si angajatilor administratiei locale în furnizarea si comunicarea unor servicii publice de calitate catre cetateni
3. Obiectiv specific de proiect 3: Îmbunatatirea cunostintelor si abilitatilor alesilor locali, precum si angajatilor administratiei locale în furnizarea si comunicarea unor servicii digitizate si online catre cetateni</t>
  </si>
  <si>
    <t>Obiectivul general al proiectului/Scopul proiectului
Cresterea performantei administratiei publice din judetul Brasov în domeniul serviciilor medicale si sociale, prin implementarea de masuri
de simplificare a procedurilor administrative cu caracter general de tip front-office si back-office.                                                                                                          OS 1. Optimizarea procedurilor administrative în domeniul serviciilor sociale si medicale în scopul reducerii birocratiei.
- Se va crea o Platforma integrata (portal web, arhivare electronica, captura documente, fluxuri de lucru cu documente,
registratura electronica si management arhiva fizica de documente) care va furniza digital fluxurile de lucru în domeniul serviciilor
medicale si sociale, în scopul eficientizarii procesarii documentelor, evitarii întreruperilor ce pot aparea în fluxurile informationale
ale institutiilor implicate si în relatia acestora cu CJ Bv, reducând astfel întârzierile în procesul decizional cu impact asupra
activitatilor operative. Se vor dezvolta si implementa masuri de simplificare pentru cetateni, în corespondenta cu Planul integrat
pentru simplificarea procedurilor administrative aplicabile cetatenilor din perspectiva front-office, dar si back-office, care sa
asigure administrarea electronica a documentelor create, primite sau întocmite pentru uz intern, precum si optimizarea
procedurilor si fluxurilor de lucru în domeniul serviciilor medicale si sociale, prin transferul complet în mediu digital a datelor si
informatiilor care sunt utilizate, optimizarea fluxurilor de lucru si introducerea semnaturii digitale.                                                                                                        OS 2. Retrodigitalizarea arhivei fizice cu valoare operationala prezenta de la nivelul D.G.A.S.P.C Brasov
- Se va retro-digitaliza un numar de cca. 1.500.000 pagini aflate în arhiva clasica si cu valoare operationala prezenta.</t>
  </si>
  <si>
    <t>Obiectivul general al proiectului vizeaza imbunatatirea performantei administrative a Municipiului Codlea in ceea ce priveste planificarea
strategica si implementarea masurilor de simplificare administrativa de tip front-office si back-office in baza competentelor sale partajate.
Obiectivele specifice ale proiectului
1. Fundamentarea deciziilor si planificare strategica pe termen mediu si lung prin elaborarea Strategiei de Dezvoltare Locala a
Municipiului Codlea pentru perioada 2021-2027.
2. Imbunatatirea procesului decizional si planificarii strategice la nivelul autoritatii publice locale prin elaborarea Planului strategic
institutional pentru perioada 2021-2022.
3. Sustinerea de masuri de simplificare atât din perspectiva back-office cât si front-office prin implementarea unui ecosistem digital
interinstitutional interconectat si interoperabil de lucru.
4. Optimizarea proceselor administrative in raport cu cetatenii prin digitalizarea a 11 formulare de beneficiilor sociale furnizate de
solicitant in baza competentelor sale partajate.
5. OS5. Îmbunatairea cunostinelor si abilitailor personalului din cadrul Consiliului Local si Primariei Codlea prin derularea unui
program de instruire adresat unui numar de 60 de functionari alesi locali si personal de conducere si de executie.</t>
  </si>
  <si>
    <t xml:space="preserve">Obiectivul general al proiectului vizeaza cresterea transparentei, eticii si integritatii în UAT Municipiul Brasov, prin introducerea unei
proceduri de cooperare cu societatea civila si prin actiuni specifice pentru asigurarea unui management performant.
Scopul proiectul este sa contribuie la realizarea de reforme la nivel local, raspunzând prioritatii europene de investitii 11i.
Obiectivele specifice ale proiectului
1. Elaborarea unei proceduri de cooperare cu societatea civila.
În anul 2020, în structura organizatorica a Primariei Municipiului Brasov a fost inclus Compartimentul Relatii si Inovare
Comunitara, având atributii în cresterea gradului de implicare a societatii civile în realizarea unui act administrativ de calitate, prin
organizarea periodica de consultari si dezbateri publice, asigurarea comunicarii directe si continue cu reprezentatii societatii civile,
dezvoltarea de mecanisme de sondare si consultare a opiniei publice si alte procese participative inovative. 
2. Cresterea gradului de constientizare a coruptiei în rândul cetatenilor si al personalului din Primaria Municipiului Brasov.
3. Cresterea nivelului de cunostinte si a competentelor personalului din Primaria Municipiului Brasov, în ceea ce priveste prevenirea
coruptiei.
</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</si>
  <si>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</si>
  <si>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Cresterea transparentei, eticii si integritatii în cadrul Primariei Municipiului Fagaras prin implementare de masuri referitoare la prevenirea si combaterea coruptiei, constientizare a coruptiei atât în rândul cetatenilor cât si al personalului din administratia publica si îmbunatatirea cunostintelor si a competentelor personalului în ceea ce priveste prevenirea coruptiei
Obiectivele specifice ale proiectului
1. Sondarea perceptiei publice privind aspectele legate de coruptie la nivelul Primariei Municipiului Fagaras
2. Implementarea de masuri in vederea conformarii cu cerintele privind Strategia Nationala Anticoruptie 2016-2020 si
implementarea ISO 37001
3. Elaborarea unui ghid de bune practici privind prevenirea coruptiei si a incidentelor de integritate, prevenirea conflictelor de
interese
4. Certificarea Primariei Municipiului Fagars în sistemul de management anti-mita SR EN ISO 37001
5. Configurarea procedurilor anticoruptie în Platforma IT existenta
6. Formarea personalului privind etica si integritatea si implementarea masurilor pentru prevenirea si combaterea coruptiei</t>
  </si>
  <si>
    <t>Obiectivul general al proiectului consta în cresterea performantei organizationale, consolidarea capacitatii institutionale si eficientizarea
activitarii la nivelul Municipiului Fagaras prin simplificarea procedurilor administrative si reducerea birocrariei pentru cetareni,
implementând masuri din perspectiva back-office si front-office pentru serviciile publice livrate de primarie, vizând competenrele partajate.
Obiectivele specifice ale proiectului
1. OS1. Cresterea performantei organizationale prin implementarea Instrumentului de auto-evaluare a modului de functionare a
institutiilor administrariei publice (CAF) si a sistemului de management integrat Balanced Scorecard (BSC) la nivelul Primariei
Municipiului Fagaras, în concordanta cu Planul de actiuni pentru implementarea etapizata a managementului calitatii în autoritati
si institutii publice 2016-2020.
2. OS2. Implementarea unor masuri de simplificare pentru cetateni în domeniul competentelor partajate, în corespondenta cu Planul
integrat pentru simplificarea procedurilor administrative aplicabile cetatenilor, atât din perspectiva back-office, cât si front-office. În
acest sens se are în vedere achizitia si implementarea unei platforme integrate front-office si back-office pentru servicii
electronice complete în domeniul competentelor partajate, cu un nivel 5 de sofisticare. Sistemul informatic integrat va include:
solutii front-office (Modul pentru servicii electronice partajate, Aplicatie self-service), si back-office (Asistenta sociala, Politie
locala, Dispecerat, Managementul parcarilor publice, Buget-contabilitate, Proiecte si investitii, Patrimoniu – evidenta si
valorificare, Analiza si raportare indicatori privind serviciile partajate), 1 terminal interactiv self-service pentru depunere/eliberare
documente, servicii IT de dezvoltare/implementare. Platforma integrata pentru servicii electronice partajate va implementa
urmatoarele principii: One Stop Shop pentru livrarea de servicii publice electronice; utilizarea inteligenta informatiilor disponibile
prin aplicarea principiului înregistrarii "o singura data" a datelor – conceptul de identitate electronica a cetateanului; spatiul privat
virtual al cetateanului în relatia cu primaria.
3. OS3. Dezvoltarea cunostintelor si abilitatilor personalului din cadrul Municipiului Fagaras, în vederea sprijinirii masurilor vizate de
proiect. Este avuta în vedere formarea/instruirea, evaluarea/testarea si certificarea competentelor/cunostintelor dobândite pentru
60 de persoane din cadrul grupului tinta, în ceea ce priveste CAF si BSC, respectiv utilizarea si administrarea solutiilor informatice
implementate în cadrul proiectului.</t>
  </si>
  <si>
    <t>Cresterea capacitatii administrative la nivelul Municipiului Brasov prin introducerea unor mecanisme de planificare strategica si
digitalizarea serviciilor sociale aflate în competenta Directiei de Asistenta Sociala Brasov (DAS Brasov).
Obiectivele specifice ale proiectului
1. Îmbunatatirea procesului decizional, a planificarii strategice si a executiei bugetare prin achizitia de studii si cercetari necesare
actualizarii strategiei sectoriale DAS Brasov.                                                                                                                                                                                                                                          2. Implementarea unitara a managementului calitatii prin certificarea Sistemului de management al calitatii ISO 9001 la nivelul DAS Brasov. 3. Optimizarea procedurilor administrative în domeniul serviciilor sociale oferite de DAS Brasov, în scopul reducerii birocratiei pentru
cetateni.</t>
  </si>
  <si>
    <t>Obiectivul general al proiectului consta în consolidarea capacitatii institutionale si eficientizarea activitatii la nivelul Municipiului Sacele prin simplificarea procedurilor administrative si reducerea birocratiei pentru cetateni, implementând masuri din perspectiva back-office si frontoffice pentru serviciile publice livrate de primarie, vizând competentele exclusive si partajate.
Obiectivele specifice ale proiectului
1. OS1. Implementarea unor masuri de simplificare pentru cetateni în domeniul competentelor exclusive si partajate, în
corespondenta cu Planul integrat pentru simplificarea procedurilor administrative aplicabile cetatenilor, atât din perspectiva backoffice,
cât si front-office.
2. OS2. Dezvoltarea cunostintelor si abilitatilor pentru minim 50 de persoane din cadrul Municipiului Sacele, în vederea sprijinirii
masurilor vizate de proiect.</t>
  </si>
  <si>
    <t>Cresterea transparentei, eticii si integritatii la nivelul Sectorului 4 al Municipiului Bucuresti, prin implementarea unor mecanisme care sa faciliteze punerea in aplicare a cadrului legal in domeniul eticii si integritatii, imbunatatirea cunostintelor si a competentelor personalului propriu, precum si implementarea unor mecanisme de cooperare cu societatea civila. OS. 1. Sustinerea dezvoltarii si implementarii unor unor mecanisme care sa faciliteze punerea în aplicare a cadrului legal în domeniul eticii si integritatii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</si>
  <si>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Obiectivul general:Dezvoltarea unui management performant la nivelul Primariei Sectorului 4 Bucuresti, prin cresterea calitatii procesului decizional,
reducerea birocratiei, cresterea eficientei, transparentei si integritatii serviciilor publice oferite cetatenilor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cunostintelor si abilitatilor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</si>
  <si>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institutional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calitatii si performantei actului administrativ, a transparentei, eficientei si eficacitatii în utilizarea fondurilor publice.
OS3 - Modernizarea sistemului de management al documentelor din Primaria Sectorului 1, prin implementarea unei aplicatii informatice care sa sustina digitalizarea proceselor de inregistrare si arhivare a documentelor.</t>
  </si>
  <si>
    <t>OS1. Implementarea si utilizarea instrumentului de auto-evaluare CAF la nivelul PS2, cu scopul cresterii performantei administratiei publice locale, precum si pentru îmbunatatirea continua a serviciilor publice oferite                                                                                                                                                                       OS2. Dezvoltarea/cresterea abilitatilor si certificarea unui numar de 30 de persoane din toate nivelurile ierarhice din cadrul Primariei Sectorului 2 (Formarea/Instruirea specifica a 20 de angajati din cadrul PS2, în vederea utilizarii instrumentului CAF                                                                                     OS3. Diseminarea rezultatelor proiectului la nivelul institutiilor aflate sub autoritatea Consiliul Local al Sectorului 2, prin instruirea
a 10 angajati din cadrul personalului acestor institutii, cu privire la monitorizarea Sistemului de Management al institutiei cu
ajutorul instrumentului CAF</t>
  </si>
  <si>
    <t>Obiectiv specific 1: Modernizarea sistemului de furnizare a serviciilor de asistenta sociala prin implementarea unei aplicatii
informatice de gestiune integrata si standardizata a beneficiilor de asistenta sociala la nivelul Sectorului 1 al Municipiului
Bucuresti;
Obiectiv Specific 2: Cresterea eficientei si eficacitatii aparatului administrativ si reducerea birocratiei pentru cetatenii Sectorului 1
beneficiari ai serviciilor de asistenta sociala prin cresterea gradului de operationalizare a documentelor din arhiva traditionala</t>
  </si>
  <si>
    <t>OS1: Implementarea de masuri de eficientizare a proceselor de lucru specifice domeniului asistentei sociale, atât din perspectiva
back-office, cât si front office. Pentru realizarea obiectivului specific 1 se are in vedere activitatea A3 - Simplificarea Procedurilor
Administrative si Reducerea Birocratiei pentru cetateni. Rezultatul 1 contribuie la atingerea acestui obiectiv.
OS2: Cultivarea si dezvoltarea cunostintelor, competentelor si abilitatilor personalului din cadrul Directiei Generale de Asistenta
Sociala si Protectie a Copilului Sector 3 prin participarea la programe de instruire, inclusiv prin abordarea temelor de dezvoltare
durabila, egalitate de sanse, nediscriminare si egalitate de gen, în vederea utilizarii si administrarii solutiilor informatice
implementate. Pentru realizarea obiectivului specific 2 se are în vedere activitatea A4 - Instruirea utilizatorilor si administratorilor
solutiilor informatice implementate. Rezultatul 2 contribuie la atingerea acestuia.</t>
  </si>
  <si>
    <t>Scopul acestui proiect este a sustine aparatul de specialitate al Primarului Sectorului 1 al Municipiului Bucuresti în ceea ce priveste
cresterea gradului de implementare a masurilor referitoare la prevenirea coruptiei pe termen lung prin realizarea unor activitati specifice
care se încadreaza în Axa prioritara 2. “Administratie publica si sistem judiciar accesibile si transparente” si care contribuie la îndeplinirea
Obiectivul specific 2.2 “Cresterea transparentei, eticii si integritatii în cadrul autoritatilor si institutiilor publice”.
Obiectivul general al proiectului consta în cresterea gradului de implementare a masurilor referitoare la prevenirea coruptiei prin
îmbunatatirea, consolidarea si dezvoltarea capacitatii administrative a Sectorului 1 al Municipiului Bucuresti.                                                                        Obiectiv specific 1: Dezvoltarea si implementarea la nivelul S1MB a unor instrumente si mecanisme de management a riscurilor
de coruptie; Obiectiv specific 2: Dezvoltarea si promovarea unei campanii de constientizare a riscului expunerii la fapte de coruptie la nivelul Sectorului 1;  Obiectiv specific 3: Cresterea gradului de integritate a personalului S1MB prin organizarea si derularea unor sesiuni de formare
profesionala in domeniul prevenirii coruptiei, transparentei, eticii si integritatii si combaterii riscului de expunere la fapte de
coruptie precum si dobandirea unor abilitati si competente specifice privind managementul riscurilor de coruptie; Obiectiv specific 4: Dezvoltarea sistemului anti-mita prin implementarea standardului ISO 37001 – Sistemul de management antimita
si obtinerea certificarii la nivelul S1MB;</t>
  </si>
  <si>
    <t>Obiectivul principal al proiectului consta în cresterea transparentei, eticii si integritatii Primariei Sectorului 3 al Municipiului Bucuresti prin
implementarea unor masuri de prevenerire a coruptiei, in parteneriat cu Directia Generala Anticoruptie . Adoptarea si implementarea unor
masuri anticoruptie necesare prevenirii savârsirii unor fapte de coruptie în acord cu respectarea principiilor transparentei, legalitatii,
eficacitatii si suprematiei interesului public care sunt absolut indispensabile în buna functionare a institutiei Primariei Sectorului 3 al
Municipiului Bucuresti.
Obiectivele specifice ale proiectului
1. Îmbunatatirea capacitatii Primariei Sectorului 3 de a preveni faptele de coruptie prin dezvoltarea unui mecanism de management
al riscurilor de coruptie
2. Dezvoltarea cunostintelor si competentelor personalului Primariei Sectorului 3 si alesilor locali în vederea cresterii gradului de
etica si integritate;
3. Cresterea gradului de constientizare a societatii civile si a personalului administratiei publice în vederea dezvoltarii nivelului de
educatie anticoruptie la nivelul Sectorului 3;
4. Certificarea sistemului de management anti-mita ISO 37001 în vederea asigurarii integritatii la nivelul Sectorului 3;</t>
  </si>
  <si>
    <t>Cresterea transparentei, eticii si integritatii institutionale la nivelul Primariei Sector 6 prin dezvoltarea si operationalizarea unui plan de
actiune integrat privind dezvoltarea masurilor de prevenire a coruptiei si conflictelor de interese, prin implementarea masurilor de prevenire a coruptiei la nivel institutional, prin formarea profesionala a personalului propriu si prin derularea unei campanii de constientizare publica anticoruptie.
Obiectivele specifice ale proiectului
1. Dezvoltarea capacitatii de analiza, monitorizare si evaluare a contextului institutional cu privire la riscurile si vulnerabilitatle de
coruptie identificate la nivelul Primariei Sector 6 prin implementarea si certificarea sistemului de management anti-mita ISO
37001, operationalizarea unui Plan de actiune multianual de promovare a integritatii, implementarea de masuri preventive,
realizarea unui ghid de bune practici destinat angajatilor institutiei si dezvoltarea cooperarii intra- si inter-institutionale în domeniul
integritatii
2. Cresterea gradului de constientizare publica cu privire la fenomenul coruptiei si masurile anticoruptie prin derularea unei campanii
de informare si responsabilizare a cetatenilor din Sectorul 6 cu privire la cauzele, consecintele si la modalitatile de semnalare a
faptelor de coruptie
3. Dezvoltarea competentelor în domeniul prevenirii coruptiei si al promovarii transparentei, eticii si integritatii pentru personalul
Primariei Sector 6 prin derularea unui program de formare profesionala</t>
  </si>
  <si>
    <t>Obiectiv general: Cresterea eficientei serviciilor de asistenta sociala la nivelul DGASPC Sector 6 prin dezvoltarea si implementarea unei
solutii informatice integrate inovative, ca masura de simplificare a procedurilor administrative catre cetateni.
Obiectivele specifice ale proiectului
1. Obiectiv specific 1: Dezvoltarea si implementarea unor instrumente informatice inovatoare (componente de front-office si backoffice)
ce sustin eficientizarea activitatilor interne si reducerea birocratiei institutionale în vederea furnizarii serviciilor de asistenta
sociala pentru cetatenii sectorului 6.
2. Obiectiv specific 2: Dezvoltarea unui website pentru facilitarea accesului cetatenilor la serviciile oferite de catre DGASPC Sector 6</t>
  </si>
  <si>
    <t xml:space="preserve">Obiectivul general al proiectului vizeaza optimizarea proceselor orientate catre cetateni, in concordanta cu SCAP, la nivelul Directiei
Generale de Asistenta Sociala si Protectia Copilului, sector 5 (competenta partajata a administratiei publice locale in conformitate cu
prevederile art 3 din Legea 292/2011 a asistentej sociale coroborate cu prevederile art 129 din OUG 57/2019 privind Codul
administrative).
Obiectivele specifice ale proiectului
1. OS 1 – Simplificarea/optimizarea unui set de proceduri interne de lucru in relatia cu beneficiarii, de la nivelul nivelul Directiei
Generale de Asistenta Sociala si Protectia Copilului, sector 5, in vederea reducerii birocratiei pentru cetateni, în concordanta cu
Planul integrat de simplificare a procedurilor administrative pentru cetateni implementate. 
2. OS 2 – Crearea de masuri de simplificare pentru cetateni prin dezvoltarea si implementarea unui ecosistem digital
interinstitutional interconectat si interoperabil pentru asigurarea accesului online la serviciile gestionate la nivelul Directiei
Generale de Asistenta Sociala si Protectia Copilului, sector 5. </t>
  </si>
  <si>
    <t>Obiectivul general al proiectului consta in implementarea unui sistem unitar de management al calitatii si performantei, conform
standardului ISO 9001:2015 si CAF 2020, la nivelul Sectorului 1 al Municipiului Bucuresti si in deplin acord cu principiile dezvoltarii
durabile.
Obiectivele specifice ale proiectului
1. Obiectiv specific 1:Implementarea si dezvoltarea Sistemului de Management al Calitatii, conform SR EN ISO 9001:2015.
OS 1 contribuie la R2 POCA: Sisteme de management al performantei si calitatii corelate cu Planul de actiune în etape
implementat în administratia publica locala
2. Obiectiv specific 2: Certificarea Sistemului de Management al Calitatii, conform SR EN ISO 9001:2015.
OS 2 contribuie la R2 POCA: Sisteme de management al performantei si calitatii corelate cu Planul de actiune în etape
implementat în administratia publica locala
3. Obiectiv specific 3: Impementarea instrumentului de autoevaluare CAF 2020
OS 2 contribuie la R2 POCA: Sisteme de management al performantei si calitatii corelate cu Planul de actiune în etape
implementat în administratia publica locala</t>
  </si>
  <si>
    <t xml:space="preserve">Obiectivul general al proiectului vizeaza consolidarea capacitatii institutionale si eficientizarea activitatii la nivelul Sectorului 2 al
Municipiului Bucuresti-DGASPC Sector 2 în ceea ce priveste componentele partajate pe care institutia le exercita alaturi de celelalte
entitati publice sau private în domeniul asistentei sociale, prin implementarea de masuri menite sa ajute la standardizarea modului de
lucru si a activitatilor specifice acestui domeniu de activitate, la cresterea gradului de interoperabilitate al sistemelor si interconectarea cu
ceilalti actori cu atributii de asistenta sociala, atât din perspectiva back-office, cât si din perspectiva front office.
Obiectivele specifice ale proiectului
1. OS1: Implementarea de masuri de eficientizare a proceselor de lucru specifice domeniului asistentei sociale, atât din perspectiva
back-office, cât si front office. 
2. OS2: Cultivarea si dezvoltarea cunostintelor, competentelor si abilitatilor personalului din cadrul Directiei Generale de Asistenta
Sociala si Protectie a Copilului Sector 2 prin participarea la programe de instruire, inclusiv prin abordarea temelor de dezvoltare
durabila, egalitate de sanse, nediscriminare si egalitate de gen, în vederea utilizarii si administrarii solutiilor informatice
implementate. </t>
  </si>
  <si>
    <t>Obiectivul general al proiectului vizeaza consolidarea relatiei dintre cetatean si institutie prin reducerea birocratiei in concordanta cu
SCAP, la nivelul Sectorului 3 al Municipiului Bucuresti, precum si fundamentarea deciziilor prin planificarea strategica a transformarii
digitale a Sectorului 3 pe termen lung, astfel încât sa fie implementate solutii transparente si eficiente pentru cetateni.
Obiectivele specifice ale proiectului
1. 1.Implementarea unui sistem informatic pentru optimizarea relatiei dintre cetatean si institutie, prin aducerea informatiilor mai
aproape de cetateni.
OS 1 corespunde rezultatului de program R3 - Proceduri simplificate pentru reducerea birocratiei pentru cetateni la nivel local
corelate cu Planul integrat de simplificare a procedurilor administrative pentru cetateni implementate.
2. 2. Elaborarea Strategiei de Transformare Digitala a Sectorului 3 al Municipiului Bucuresti. Strategia va analiza si va identifica cele
mai smart solutii pentru a digitaliza sectorul si pentru a facilita relatia cu cetatenii.
OS 2 corespunde rezultatului de program R1 – Mecanisme si proceduri standard implementate la nivel local pentru
fundamentarea deciziilor si planificarea strategica pe termen lung.</t>
  </si>
  <si>
    <t>Obiectivul general al proiectului vizeaza consolidarea capacitatii institutionale si eficientizarea activitatii la nivelul Sectorului 2 al
Municipiului Bucuresti în ceea ce priveste exercitarea atributiilor prevazute de OUG 57/2019 privind Codul Administrativ, prin
implementarea de masuri pentru îmbunatatirea procesului decizional si a planificarii strategice si de digitalizare, menite sa ajute la
cresterea calitatii procesului administrativ, pentru a raspunde în mod fundamentat si coerent nevoilor comunitatilor locale.
Obiectivele specifice ale proiectului
1. Implementarea de masuri de eficientizare a proceselor de lucru aferente relatiei dintre institutie si asociatiile de proprietari, atât
din perspectiva back-office, cât si din perspectiva front-office, în vederea reducerii birocratiei. Pentru realizarea obiectivului
specific 1 se are în vedere activitatea A3 - Simplificarea Procedurilor Administrative si Reducerea Birocratiei pentru cetateni.
Subactivitatea 3.1 - Implementarea unei platforme informatice destinata comunicarii cu asociatiile de proprietari / chiriasi.
Rezultatul 2 contribuie la atingerea acestui obiectiv.
2. Cultivarea si dezvoltarea cunostintelor, competentelor si abilitatilor pentru 30 de angajati din cadrul aparatului primarului, în
vederea utilizarii si administrarii platformei informatice dezvoltate în proiect, prin participarea la programe de instruire, inclusiv prin
abordarea temelor de dezvoltare durabila, egalitate de sanse, nediscriminare si egalitate de gen, în vederea utilizarii si
administrarii platformei informatice implementate. Pentru realizarea obiectivului specific 2 se are în vedere activitatea A3 -
Simplificarea procedurilor administrative si reducerea birocratiei pentru cetateni, subactivitatea 3.3 - Activitati instruire utilizatori si
administratori. Rezultatul 3 contribuie la atingerea acestuia.
3. Dezvoltarea de mecanisme si proceduri standard pentru fundamentarea deciziilor si planificarea strategica pe termen lung în
concordanta cu SCAP, prin elaborarea Strategiei de transformare digitala a Sectorului 2. pentru realizarea acestui obiectiv
specific se are în vedere activitatea A4 - Dezvoltarea Strategiei de transformare digitala. Rezultatul 1 contribuie la atingerea
acestui obiectiv.</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</si>
  <si>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relevanti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</si>
  <si>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cunostintelor si abilitatilor personalului din Municipiul Buzau pentru utilizarea sistemului informatic pentru asigurarea eficienta a managementului serviciilor.</t>
  </si>
  <si>
    <t>Obiectivul general al proiectului
Simplificare administrativa si optimizarea serviciilor online furnizate catre cetateni, inclusiv prin digitizarea arhivei la nivelul Primariei Municipiului Buzau, contribuind astfel la îndeplinirea obiectivului specific 2.1 al POCA "Introducerea de sisteme si standarde comune în administratia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Îmbunatatirea abilitatilor si cunostințelor personalului municipiului Buzau  pentru utilizarea sistemelor informatice dezvoltate prin proiect si pentru gestionarea documentelor electronice</t>
  </si>
  <si>
    <t>Consolidarea capacitații institutionale a Primariei Municipiului Râmnicu-Sarat în vederea optimizarii proceselor administrative ale primariei si adoptarii unor masuri de simplificare a furnizarii serviciilor catre cetațeni si mediul de afaceri, prin implementarea unor sisteme informatice inovative.</t>
  </si>
  <si>
    <t xml:space="preserve">Obiectivul general este implementarea unor proceduri integrate de management al proceselor complexe, de emitere si fundamentare a deciziilor strategice de dezvoltare a Municipiului Buzau, precum si de facilitare a procesului de consultare a cetatenilor în vederea elaborarii actelor administrative.
Obiectivele specifice ale proiectului
1. Definirea unui set de cerinte funcționale si a arhitecturii operationale a Centrului operational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cunostintelor si abilitatilor personalului din Municipiul Buzau pentru utilizarea procedurilor si platformei informatice, pentru asigurarea planificarii strategice si a consultarii cetațenilor. </t>
  </si>
  <si>
    <t>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Extinderea cunostintelor si abilitatilor personalului din Municipiul Buzau în vederea cunoasterii conditionalitatilor specifice
perioadei de finantare 2021-2027, precum si a procedurilor de prioritizare a proiectelor, de monitorizare a implementarii planurilor
de actiune si de evaluare a rezultatelor acestora, pentru documentele strategice elaborate. Obiectivul specific este în corelare cu
Activitatea 5 si cu Rezultatul de proiect 3.</t>
  </si>
  <si>
    <t>Obiectivul general al proiectului consta in consolidarea capacitatii institutionale si eficientizarea activitatii la nivelul Municipiului Râmnicu
Sarat prin planificare strategica si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urbanismului si
asistentei sociale
2. OS2: Dezvoltarea cunostintelor si abilitatilor personalului din cadrul Municipiului, in vederea sprijinirii masurilor vizate de proiect.
Este avuta in vedere formarea/instruirea, evaluarea/testarea si certificarea competentelor/cunostintelor dobândite pentru 45
persoane din cadrul grupului tinta, in ceea ce priveste managementul strategic si utilizarea solutiilor informatice implementate in
cadrul proiectului
3. OS3: Dezvoltarea capacitatii necesare in vederea fundamentarii deciziilor si planificarii strategice pe termen lung, prin
implementare masuri si instrumente pentru planificare strategica, inclusiv elaborarea Strategiei Integrate de dezvoltare urbana a
Municipiului Râmnicu Sarat 2021-2027</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</si>
  <si>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imbunatatirea cunostintelor si a competentelor personalului propriu.
Os.1) Cresterea gradului de dezvoltare a capacitatii analitice a UAT-ului, de a efectua activitati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</si>
  <si>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Obiectivele specifice ale proiectului
OS1.Identificarea si fundamentarea zonei urbane functionale a municipiului Calarasi prin analiza dezvoltarii in teritoriu, a actorilor
implicati, studiul documentatiilor strategice anterioare si initiativele asociate, definirea problemelor si oportunitatilor;OS2. Elaborarea Planului de Mobilitate Urbana Durabila (PMUD) la nivelul zonei urbane functionale a municipiului Calarasi in vederea cresterii gradului de mobilitate al persoanelor si bunurilor, sporirea adaptabilitatii populatiei la nevoile pietei fortei de munca de la
nivel regional/local precum si favorizarea unei cresteri economice sustenabile din punct de vedere social si al mediului înconjurator;OS3. Elaborarea Strategiei Integrate de Dezvoltare Urbana ( SIDU) a zonei urbane functionale a municipiului Calarasi pentru a raspunde în mod fundamentat si coerent nevoilor comunitatilor locale cu scopul dezvoltarii economice, sociale si de mediu, prin promovarea de actiuni integrate si complementare .OS4. Planificarea investitiilor în date si tehnologii digitale, care sa catalizeze reforma serviciilor administrative si colaborarea între toți actorii prin elaborarea Strategiei de Smart City a Municipiului Calarasi;OS5. Realizarea unor seturi de Proceduri simplificate pentru reducerea birocratiei pentru cetateni la nivel local; OS6. Cresterea nivelului de cunostinte si abilitati ale personalului Municipiului Calarasi, în vederea sprijinirii masurilor/ actiunilor vizate de acest obiectiv specific.</t>
  </si>
  <si>
    <t>1. Îmbunatatirea capacitatii de planificare strategica si alocare a resurselor la nivelul administratiei publice locale Municipiul Resita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cunostintelor si abilitatilor
personalului din cadrul Primariei Municipiului Resita, în vederea sprijinirii masurilor vizate de proiect prin formarea/instruirea,
evaluarea/testarea si certificarea competentelor/cunostintelor dobândite pentru persoanele din cadrul grupului tinta,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</si>
  <si>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abilitatilor personalului din UAT Mun. Caransebes, pe teme specifice de interes
</t>
  </si>
  <si>
    <t>Obiectivele specifice ale proiectului
OS1 - Eficientizarea activitații administrației publice din municipiul Reșița prin implementarea unui sistem informatic integrat inclusiv servicii digitale pentru cetateni pentru serviciile furnizate partajat de catre Municipiul Resița în vederea simplificarii accesului cetațenilor la serviciile oferite partajat de Municipiul Resița
OS2 - Dezvoltarea capacitatii de planificare si fundamentarea procesului decizional la nivelul administratiei publice locale din Municipiul Resita prin realizarea documentelor strategice SIDU si PMUD orizont 2030;OS3 - Cresterea nivelului de responsabilitate si eficienta in administratia publica locala din Municipiul Resita prin instruirea unui numar de 100 de angajati ai primariei pentru a-i capacita in domeniile implementate prin proiect</t>
  </si>
  <si>
    <t>Obiective proiect
Cresterea calitatii si transparentei procesului administrativ la nivelul Municipiului Caransebes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Caransebes din domeniile de
interes asistenta sociala si amenajarea teritoriului si urbanism
2. 2. Cresterea nivelului de pregatire, cunostinte si abilitati ale personalului din cadrul Primariei atat in domenii specifice, cat
si in utilizarea si administrarea sistemelor informatice</t>
  </si>
  <si>
    <t>Consolidarea capacitatii de planificare strategica pe termen lung si de asigurarea calitatii serviciile publice prin simplificarea procedurilor administrative pentru reducerea birocratiei la nivelul Consiliului Judetean Caras-Severin.
Obiectivele specifice ale proiectului
1. OS 1 Imbunatatirea capacitatii de planificare strategica la nivelul Consiliului Judetean Caras-Severin prin elaborarea Strategiei de
dezvoltare durabila a judetului pentru perioda 2021-2027, pentru gestionarea eficienta a resurselor financiare proprii si atragerea
de finantari UE
2. OS 2 Implementarea unor masuri de simplificare, în corespondenta cu Planul Integrat pentru simplificarea procedurilor
administrative aplicabile cetatenilor, din perspectiva back-office adaptarea procedurilor interne de lucru, digitalizarea arhivelor
3. OS 3 Dezvoltarea cunostintelor si abilitatilor personalului din cadrul Consiliului Judetean Caras-Severin (inclusiv a factorilor de
decizie), în domeniul planificarii strategice si planificarii bugetare, prin schimburi de experienta/networking cu
autoritatii/institutii/organisme ale administratiei publice internationale dintr-o tara UE</t>
  </si>
  <si>
    <t>Consolidarea capacitatii Consiliului Judetean Caras-Severin de a asigura calitatea si accesul la serviciile publice oferite exclusiv prin
simplificarea procedurilor administratiei locale si pentru reducerea birocratiei pentru cetateni.
Obiectivele specifice ale proiectului
1. OS1. Implementarea sistemului de management al calitati la nivelul Consiliul Judetean Caras-Severin (CJCS) prin utilizarea
sustenabila a standardului ISO 9001:2015 corelat cu Planul de actiune pentru implementarea etapizata a managementului calitatii
in autoritatiI si institutii publice 2016 - 2020 ;
2. OS2. Implementarea unor masuri de reducere a birocratiei pentru cetateni si persoane juridice la nivelul CJCS, în corespondenta
cu Planul Integrat pentru simplificarea procedurilor administrative aplicabile cetatenilor din perspectiva front-office si back-office;
3. OS3.Dezvoltarea cunostintelor si abilitatilor personalului din cadrul Consiliului Judetean Caras-Severin in vederea sprijinirii
masurilor vizate de proiect. Este avuta in vedere formarea/instruirea, evaluarea/testarea si certificarea
competentelor/cunostiintelor dobandite pentru 30 persoane din cadrul grupului tinta, in ceea ce priveste simplificarea procedurilor
administrative Totodata este avuta in vedere formarea/instruirea, evaluarea/testarea competentelor/cunostiintelor dobandite
pentru 30 persoane din cadrul grupului tinta în domeniul implementarii managementului de calitate ISO 9001:2015
15 angajati ai aparatului de specialitate al Consiliului Judetean Caras-severin (personal de conducere si executie), vor beneficia
de cursuri de instruire in cadrul unui schimb de experienta cu autoritati si institutii publice locale care au implementat cu sucuces
digitalizarea administratiei intr-o tara UE</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</si>
  <si>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cunostinte si abilitati ale personalului din cadrul Primariei Municipiului Turda in domeniul
planificarii strategice si politicilor publice, precum si in utilizarea si administrarea sistemelor informatice</t>
  </si>
  <si>
    <t xml:space="preserve">Obiectivul general  - Implementarea de masuri care vizeaza adaptarea structurilor administrative existente, optimizarea proceselor orientate catre cetateni, prin crearea accesului online la serviciile administratiei publice locale, precum si utilizarea centrului de inovare si imaginatie civica în planificarea strategica a proceselor de inovare sociala, pentru cresterea transparentei decizionale si simplificarea procedurilor oferite cetatenilor municipiului Cluj-Napoca.
Obiective specifice:
OS 1. Dezvoltarea si introducerea mecanismelor Centrului de Inovare si Imaginatie Civica (CIIC) în vederea optimizarii proceselor decizionale orientate catre cetateni si mediul de afaceri în Municipiul Cluj-Napoca.
OS 2. Design-ul, dezvoltarea si implementarea unui sistem electronic de digitalizare si simplificare a serviciilor publice oferite
cetatenilor Municipiului Cluj-Napoca prin implementarea functionarului public electronic si virtual – ANTONIA.
OS 3. Formarea/instruirea functionarilor publici si contractuali, inclusiv a factorilor de decizie la nivel politic, în utilizarea instrumentelor digitale si a functionarului electronic.
</t>
  </si>
  <si>
    <t>Obiectivul general al proiectului consta in consolidarea capacitații institutionale si eficientizarea activitații la nivelul Municipiului DEJ prin
simplificarea procedurilor administrative si reducerea birocratiei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cetateni, in corespondenta cu Planul integrat pentru simplificarea
procedurilor administrative aplicabile cetatenilor din perspectiva front-office, dar si back-office prin achizitia si implementarea unei
platforme integrate (portal web, arhivare electronica, captura documente, fluxuri de lucru cu documente, registratura electronica
si management arhiva fizica de documente) care va furniza digital fluxurile de lucru de baza din cadrul institutiei, în scopul
eficientizarii procesarii documentelor, evitarii întreruperilor ce pot aparea în fluxurile informationale ale institutiei, reducând astfel
întârzierile în procesul decizional cu impact asupra activitatilor operative si va asigura accesul online la serviciile publice
gestionate de Municipiul DEJ si retro-digitalizarea unui numar de cca. 20.000 dosare aflate in arhiva clasica si cu valoare
operationala prezenta pentru a facilita rezolvarea cererilor cetatenilor în curs de solutionare.
2. OS2. Dezvoltarea cunostintelor si abilitatilor personalului din cadrul Municipiului DEJ, in vederea sprijinirii masurilor vizate de
proiect. Este avuta in vedere formarea/instruirea, evaluarea/testarea si certificarea competentelor/cunostintelor dobândite pentru
50 persoane din cadrul grupului tinta, in ceea ce priveste utilizarea solutiilor informatice implementate in cadrul proiectului .
Obiectivul general al serviciilor de instruire ii constituie familiarizarea cu componentele solutiei informatice implementate, prin
însusirea cunostintelor necesare utilizarii aplicatiilor, deprinderea functionalitatilor si a modului de folosire a acestora, întelegerea
implicatiilor si avantajelor raportate la realizarea obiectivelor specifice aferente proiectului.</t>
  </si>
  <si>
    <t xml:space="preserve">
Obiectivul general al proiectului: Consolidarea capacitatii administrative a Municipiului Dej prin adoptarea si utilizarea instrumentelor
planificarii strategice conforme cu Strategia pentru Consolidarea Administratiei Publice (SCAP) 2014 – 2020 in vederea optimizarii
proceselor orientate catre beneficiari.
Obiectivele specifice ale proiectului
1. OS 1: Dezvoltarea abilitatilor si cunostintelor factorilor implicati (personal si alesi locali) in domeniile planificarii strategice si
bugetare, a fundamentarii si implementarii politicilor publice locale in acord cu principiile bunei gestiuni financiare.
2. OS 2: Proiectarea si adoptarea Planului Strategic Institutional (PSI) al Municipiului Dej in vederea optimizarii proceselor orientate
catre beneficiari în concordanta cu SCAP;
3. OS 3: Elaborarea si adoptarea Strategiei Integrate de Dezvoltare Urbana (SIDU 2021 – 2027) ca instrument pentru programarea
bugetara multianuala si gestiunea politicilor publice ale municipiului Dej pentru perioada 2021 – 2027
4. OS 4: Elaborarea si adoptarea Planului de Mobilitate Urbana Durabila (PMUD 2021 – 2027) ca instrument pentru gestiunea
politicilor publice ale municipiului Dej in acord cu Pactul Ecologic European ce prevede obligativitatea atingerii neutralitatii
climatice pana in anul 2050</t>
  </si>
  <si>
    <t>Obiectivul general al proiectului consta in consolidarea capacitatii institutionale si eficientizarea activitatii la nivelul Municipiului Gherla prin simplificarea procedurilor administrative si reducerea birocratiei pentru cetateni, implementând masuri din perspectiva back-office si frontoffice.
Obiectivele specifice ale proiectului
1. OS1. Implementarea unor masuri de simplificare pentru cetateni, în corespondenta cu Planul integrat pentru simplificarea
procedurilor administrative aplicabile cetatenilor, atât din perspectiva back-office, cât si front-office. În acest sens este avuta în
vedere achizitia si implementarea unei platforme integrate pentru servicii electronice complete vizând competentele partajate ale
primariei. Platforma integrata include atat solutii front-office, cât si back-office.
- prin obiectivul specific OS1 vor fi achizitionate o serie de echipamente IT, respectiv software, o parte din acestea fiind
identificate si descrise la sectiunea ,,Rezultate asteptate” din cadrul prezentei Cereri de finantare.
2. OS2. Dezvoltarea cunostintelor si abilitatilor personalului din cadrul Municipiului Gherla,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</si>
  <si>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Obiectivul general al proiectului consta in consolidarea capacitatii institutionale si eficientizarea activitatii la nivelul Municipiului Câmpia
Turzii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urbanism si siguranta si ordine publica.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managementul strategic si utilizarea solutiilor informatice implementate in
cadrul proiectului
3. OS3: Dezvoltarea capacitatii necesare in vederea fundamentarii deciziilor si planificarii strategice pe termen lung, prin
implementare masuri si instrumente pentru planificare strategica, inclusiv elaborarea Strategiei de dezvoltare integrata a
Municipiului Câmpia Turzii 2021-2027</t>
  </si>
  <si>
    <t>Obiectivul general al proiectului consta in consolidarea capacitatii institutionale si eficientizarea activitatii la nivelul Municipiului Turda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Turda din domeniul asistentei
sociale si siguranta si ordine publica.
2. OS2: Dezvoltarea cunostintelor si abilitatilor personalului din cadrul Municipiului, in vederea sprijinirii masurilor vizate de proiect.
Este avuta in vedere formarea/instruirea, evaluarea/testarea si certificarea competentelor/cunostintelor dobândite pentru 33
persoane din cadrul grupului tinta, in ceea ce priveste utilizarea solutiilor informatice implementate in cadrul proiectului.</t>
  </si>
  <si>
    <t>Obiectivele specifice ale proiectului
1. Intarirea capacitatii de planificare strategica si a capacitatii de planificare si gestionare a investitiilor, pentru o dezvoltare
eficienta si durabila a Municipiului Cluj-Napoca si a zonei metropolitane aferente.
2. Implementarea de solutii pentru simplificarea procedurilor de furnizare a serviciilor sociale (titluri de calatorie subventionate) oferite cetatenilor municipiului Cluj-Napoca.
3. Formarea/instruirea functionarilor publici si contractuali, în planificare strategica si utilizarea instrumentelor digitale
implementate prin proiect.</t>
  </si>
  <si>
    <t>Obiectivul general al proiectului consta în consolidarea capacitatii institutionale si eficientizarea activitatii la nivelul UAT Municipiul Câmpia Turzii prin continuarea simplificarii procedurilor administrative si reducerea birocratiei pentru cetateni, implementând masuri din
perspectiva back-office (optimizarea proceselor de lucru cu documente) si front-office pentru serviciile publice furnizate aferente
competentelor exclusive ale administratiei publice locale.
Obiectivele specifice ale proiectului
1. OS1: Eficientizarea activitatii la nivelul UAT Municipiul Câmpia Turzii prin implementarea unui sistem de management al calitatii
si performantei (BSC si CAF) care sa asigure gestiunea, monitorizarea si evaluarea continua a calitatii si performantei
administratiei publice;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ale administratiei publice locale.
3. OS3: Dezvoltarea cunostintelor si abilitatilor personalului din cadrul UAT Municipiul Câmpia Turzii, în vederea sprijinirii masurilor
vizate de proiect. Este avuta în vedere formarea/instruirea, evaluarea/testarea si certificarea competentelor/cunostintelor
dobândite pentru 30 de persoane din cadrul grupului tinta în ceea ce priveste instrumentul BSC si 50 persoane din cadrul grupului
tinta, în ceea ce priveste utilizarea solutiilor informatice implementate în cadrul proiectului.</t>
  </si>
  <si>
    <t>Obiectivul general consta în actualizarea si extinderea masurilor de simplificare din perspectiva back-office, cat si front-office, pentru
serviciile gestionate exclusiv de catre UAT Municipiul Turda, judetul Cluj, din regiunea mai putin dezvoltata Nord-Vest, pentru a simplifica
procedurile administrative si reducerea birocratiei pentru cetateni.
Obiectivele specifice ale proiectului
1. OS1: Actualizarea si extinderea solutiilor informatice prin introducerea unor module aplicative noi si integrarea cu cele existente,
din perspectiva front-office, dar si back-office pentru serviciile gestionate exclusiv de UAT pentru simplificarea procedurilor
administrative si reducerea birocratiei pentru cetateni.
2. OS 2. Continuarea procesului de retro-digitalizare si ocerizarea arhivei digitale deja existente.
3. OS 3. Imbunatatirea competentelor profesionale a unui numar de circa 30 persoane din cadrul UAT Municipiul Turda în ceea ce
priveste utilizarea solutiilor informatice implementate in cadrul proiectului</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</si>
  <si>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</si>
  <si>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Obiectivul general al proiectului vizeaza introducerea de sisteme si standarde comune în administratia publica locala ce
optimizeaza procesele orientate catre beneficiari în concordanta cu Strategia pentru Consolidarea Administratiei Publice 2014-2020
(SICAP).                                                                                                                                                                                                                                                       Obiectivele specifice ale proiectului:                                                                                                                                                                                                       1) Realizarea Strategiei de Dezvoltare a Judetului Constanta pentru perioada 2021-2027                                                                                                           2) Modernizarea arhivei Consiliului Judetean Constanta.</t>
  </si>
  <si>
    <t>Obiectivul general al proiectului consta in consolidarea capacitatii institutionale si eficientizarea activitatii la nivelul Municipiului Mangalia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sigurantei si ordinii
publice si urbanismului
2. OS2: Dezvoltarea cunostintelor si abilitatilor personalului din cadrul Municipiului, in vederea sprijinirii masurilor vizate de proiect.
Este avuta in vedere formarea/instruirea, evaluarea/testarea si certificarea competentelor/cunostintelor dobândite pentru 60
persoane din cadrul grupului tinta, in ceea ce priveste managementul strategic si utilizarea solutiilor informatice implementate in
cadrul proiectului
3. OS3: Dezvoltarea capacitatii necesare in vederea fundamentarii deciziilor si planificarii strategice pe termen lung, prin
implementare masuri si instrumente pentru planificare strategica, inclusiv elaborarea Strategiei de dezvoltare integrata a
Municipiului Mangalia 2022-2027</t>
  </si>
  <si>
    <t>Obiectivul general al proiectului consta în îmbunatatirea capacitatii administrative la nivelul UAT municipiul Constanta si a întregii sale
Zone Urbane Functionale prin dezvoltatea capacitatii de planificare strategica integrata, eficientizarea proceselor de management si
simplificarea procedurilor administrative, pentru a raspunde în mod fundamentat si coerent nevoilor comunitatilor locale.
Obiectivele specifice ale proiectului
1. OS 1 Dezvoltarea capacitatii de planificare strategica la nivelul UAT municipiul Constanta si a Zonei Metropolitane Constanta prin
actualizarea Strategiei Integrate de Dezvoltare Urbana si a portofoliului de proiecte prioritare al Zonei Metropolitane Constanta
2. OS 2 Eficientizarea si simplificarea serviciilor furnizate cetatenilor de catre UAT municipiul Constanta printr-un sistem informatic
competente partajate si continuare retro-digitalizare arhiva
3. OS 3 Întarirea capacitatii institutionale a UAT municipiul Constanta si a celorlalte autoritati publice locale din Zona Metropolitana
Constanta prin pregatirea adecvata a personalului în domeniul planificarii strategice si a managementului public eficient</t>
  </si>
  <si>
    <t>Obiectivul general al proiectului presupune consolidarea capacitatii administrative a Consiliului Judetean Constanta prin cresterea
integritatii si reducerii vulnerabilitatilor la coruptie prin dezvoltarea si implementarea unui sistem de integritate care include standarde,
politici si proceduri de etica si integritate, precum si printr-un program de educatie anticoruptie, contribuind astfel la dezvoltarea unei
administratii locale si judetene eficiente.
Obiectivele specifice ale proiectului
1. OS1 – Cresterea capacitatii administrative a UAT Judetul Constanta – Consiliul Judetean Constanta in domeniul transparentei,
eticii si integritatii prin elaborarea si aplicarea unitara a unui set de standarde de etica si integritate, insotite de politicile si
procedurile operationale aferente, care sa faciliteze punerea in aplicare a cadrului legal in domeniul eticii si integritatii contribuind
totodata la implementarea la nivelul CJC a masurilor anticoruptie reglementate de legislatia nationala si monitorizate de Strategia
Anticoruptie Nationala (SNA) - revizuire/evaluare proceduri operationale aferente;
2. OS2 - Dezvoltarea de instrumente in vederea cresterii asumarii responsabilitatii la nivelul UAT judetul Constanta, Consiliul
Judetean Constanta prin: realizarea unei campanii de constientizare a publicului si a personalului institutiilor si autoritatilor publice
cu privire la anticoruptie, privind perceptia in randul cetatenilor si al personalului din cadrul administratiei publice, realizarea unui
Ghid de informare anticoruptie (instrument de buna practica) cu scopul de a preveni coruptia si de a stabili indicatorii specifici de
evaluare, respectiv introducerea si certificarea standardului ISO 37001 privind certificarea sistemului de management anti-mita
conform prevederilor standardului international.
3. OS3 – Cresterea nivelului de educatie anticoruptie in randul grupului tinta prin organizarea unui program in acest scop care va
cuprinde: cursuri de formare/perfectionare profesionala in domeniul eticii si integritatii, respectiv prevenirea coruptiei si implicit
formarea in domeniul comunicare si transparenta decizionala.</t>
  </si>
  <si>
    <t>Obiectivul general al proiectului il reprezinta cresterea transparentei, eticii si integritatii in cadrul Primariei Mangalia. Obiectivul general va
fi atins prin dezvoltarea si implementarea de masuri si instrumente care sa reduca riscul de coruptie, sa creasca transparenta si etica
profesionaa in randul angajatilor. Toate acestea vor sustine un management performant la nivelul autoritattii publice locale si vor conduce
la cresterea calitatii serviciilor furnizate.
Obiectivele specifice ale proiectului
1. OS1. Cresterea gradului de implementare a masurilor referitoare la prevenirea coruptiei si a indicatorilor de evaluare prin
implementarea de masuri referitoare la prevenirea coruptiei si a indicatorilor de evaluare în cadrul institutiei.
Va fi elaborata o Strategie anticoruptie la nivelul institutiei si un plan de masuri care va cuprinde si instrumente de evaluare, va fi
implementat standardul ISO 37001 - sistem anti-mita
2. OS2. Cresterea gradului de constientizare a coruptiei atât în rândul cetatenilor cât si al personalului din cadrul Primariei
Muncipiului Mangalia cat si a altor entitati din subordine.
Va fi efectuat un sondaj cu privire la perceptia cu privire la coruptie în rândul cetatenilor si al personalului din cadrul administratiei
publice locale in raport cu serviciile publice oferite de municipalitate si va fi implementata o campanei de constientizare a publicului
cu privire la coruptie.
3. OS3. Îmbunatatirea cunostintelor si a competentelor personalului din cadrul Primariei Municipiului Mangalia si a entitatilor
subordonate în ceea ce priveste prevenirea coruptiei.
Vor fi derulate doua cursuri: un curs de etica si integritate in administratia publica si un curs de prevenire si combatere a coruptiei</t>
  </si>
  <si>
    <t>Consolidarea capacitatii institutionale si eficientizarea activitatii la nivelul UAT Comuna Istria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</si>
  <si>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Mihai Viteazu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</si>
  <si>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Obiectivul general al proiectului consta în consolidarea capacitatii institutionale si eficientizarea activitatii la nivelul UAT Comuna Corbu,
Jud. Constanta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Strategiei de Dezvoltare Locala a UAT
Comuna Corbu, Jud. Constanta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Corbu, Jud. Constanta, în vederea sprijinirii
masurilor vizate de proiect. Este avuta în vedere formarea/instruirea, evaluarea/testarea si certificarea
competentelor/cunostintelor dobândite pentru 18 persoane din cadrul grupului tinta, în ceea ce priveste utilizarea solutiilor
informatice implementate în cadrul proiectului si 13 persoane din cadrul grupului tinta instruite în domeniul planificarii strategice.</t>
  </si>
  <si>
    <t>Consolidarea capacitatii administrative a UAT Judetul Constanta prin Consiliul Judetean Constanta pentru sustinerea unui management
performant si eficient prin introducerea si utilizarea sistemelor ISO si instrumentului CAF aplicabile administratiei locale, în concordanta cu
”Planul de actiuni pentru implementarea etapizata a managementului calitatii în autoritati si institutii publice 2016-2020”.
Obiectivele specifice ale proiectului
1. OS1. Implementarea si utilizarea instrumentului de auto-evaluare de tip CAF (Cadrul comun de autoevaluare a modului de
functionare a institutiilor publice) la nivelul UAT Judetul Constanta prin Consiliul Judetean Constanta pentru cresterea
performantei în administratia publica locala si îmbunatatirea serviciilor publice pentru comunitate.
2. OS2. Implementarea si certificarea sistemului de management al calitatii ISO 9001 în UAT Judetul Constanta prin Consiliul
Judetean Constanta pentru o administratie publica eficienta, transparent si adaptata nevoilor comunitatii locale.
3. OS3. Dezvoltarea cunostintelor si abilitatilor unui numar de 20 de persoane de la nivelul UAT Judetul Constanta prin Consiliul
Judetean Constanta în vederea utilizarii unui management al calitatii si performantei la nivelul autoritatii publice locale.</t>
  </si>
  <si>
    <t>Obiectivul general al proiectului îl reprezinta cresterea performantei administratiei publice din judetul Covasna.
Obiectivele specifice ale proiectului
1. Crearea de mecanisme si proceduri standard pentru fundamentarea deciziilor si planificare strategica în judetul Covasna, prin
realizarea Strategiei Integrate de Dezvoltare a judetului Covasna 2021-2030 (Planul POTSA), în corelare cu Strategia pentru
Consolidarea Administratiei Publice (SCAP).
2. Optimizarea procedurilor administrative în raport cu cetatenii în scopul reducerii birocratiei, prin dezvoltarea si implementarea de
masuri de simplificare a serviciilor furnizate de autoritatea publica locala, judetul Covasna, prin intermediul unei solutii informatice
integrate si prin retro-digitalizarea documentelor relevante din arhiva clasica.</t>
  </si>
  <si>
    <t>Obiectivul general al proiectului consta în îmbunatatirea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operationale aplicabile la nivelul institutiei) pentru a creste eficienta actiunilor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functionare a institutiilor publice) la nivelul Municipilui Moreni pentru sprijinirea schimbarii pentru performanta, îmbunatatirea
modului de realizare a activitatilor si de prestare a serviciilor publice. OS 2 se va indeplini prin subactivitatea 3.1 si va conduce la
atingerea rezultatului R2.
3. OS3. Imbunatatirea competentelor profesionale a unui numar de 100 persoane din diferite niveluri ierarhice (personal de
conducere, de executie, alesi locali) din cadrul Municipiului Moreni pe teme specifice. OS 3 se va îndeplini prin Activitatea 4 si va
conduce la atingerea rezultatului R5.</t>
  </si>
  <si>
    <t>Obiectivul general al proiectului îl constituie Cresterea calitatii actului administrativ la nivelul UAT Judetul DB, prin consolidarea procesului
de planificare strategica si implementarea masurilor de simplificare si modernizare a procedurile administrative
Obiectivele specifice ale proiectului
1. 1. Consolidarea capacitatii de planificare strategica si de îmbunatatire a procesului de fundamentare a deciziilor la nivelul UAT
Judetul DB, prin elaborarea Strategiei de dezvoltare a serviciilor sociale a judetului DB si a Planului Strategic Institutional.
2. 2. Simplificarea procedurilor administrative si reducerea birocratiei pentru cetateni prin dezvoltarea si implementarea de solutii
informatice la nivelul UAT Judetul DB, pentru serviciile partajate din domeniul urbanismului si al serviciilor de asistenta sociala
pentru copii aflati în dificultate.
Solutiile informatice dezvoltate vizeaza inclusiv cresterea gradului de accesibilitate pentru persoanele cu dizabilitati
3. 3. Reducerea timpilor de raspuns la solicitarile adresate UAT Judetul DB, prin digitalizarea si retro-digitalizarea arhivei
electronice pentru documentele cu valoare operationala in prezent
4. 4. Îmbunatatirea abilitatilor si competentelor angajatilor UAT Judetul DB, prin participarea la sesiuni de instruire pe teme specifice
actiunilor prevazute prin proiect</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</si>
  <si>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</si>
  <si>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Obiectivul general al proiectului este reprezentat de digitalizarea serviciilor publice oferite cetatenilor din judetul Dâmbovita, în vederea
reducerii birocratiei, prin implementarea unui sistem informatic integrat intra si interinstitutional la nivelul aparatului de specialitate al
Consiliului Judetean Dâmbovita.
Activitatile propuse în cadrul prezentului proiect conduc la îndeplinirea Obiectivului specific 2.1. - Introducerea de sisteme si standarde
comune în administratia publica locala ce optimizeaza procesele orientate catre beneficiari în concordanta cu SCAP a Axei Prioritare 2.
Administratie publica si sistem judiciar accesibile si transparente din cadrul Programului Operational Capacitate Administrativa
Obiectivele specifice ale proiectului
1. Implementarea unui sistem informatic integrat intra si interinstitutional, la nivelul aparatului de specialitate al Consiliului Judetean
Dâmbovita în vederea digitalizarii serviciilor publice (competente exclusive) si îmbunatatirii modului de acordare a acestora.
Acest obiectiv va fi atins prin dezvoltarea/stabilirea arhitecturii sistemelor hardware si software necesare asigurarii serviciilor
publice online.</t>
  </si>
  <si>
    <t>Obiectivul general al proiectului vizeaza consolidarea capacitatii instituttionale si eficientizarea activitatii la nivelul UAT Municipiul
Târgoviste în ceea ce priveste exercitarea atributiilor prevazute de OUG 57/2019 privind Codul Administrativ, prin implementarea de
masuri pentru îmbunatatirea procesului decizional si a planificarii strategice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Dezvoltarea de mecanisme si proceduri standard pentru fundamentarea deciziilor si planificarea strategica pe termen lung în
concordanta cu SCAP
2.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</si>
  <si>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Obiectivul general al proiectului consta in consolidarea capacitatii institutionale si eficientizarea activitatii la nivelul Primariei Municipiului
Moreni, prin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Implementarea unor masuri de simplificare pentru cetateni conform Planului integrat pentru simplificarea procedurilor
administrative aplicabile cetatenilor din perspectiva front-office si back-office. În acest sens, este avuta în vedere achizitia si
implementarea unei platforme integrate pentru servicii electronice complete vizând competentele exclusive si partajate ale
primariei. Platforma integrata include atat solutii front-office (portal web pentru servicii electronice), cât si back-office (solutii care
faciliteaza exercitarea competentelor exclusive si partajate vizate de prezentul proiect, arhivare electronica, retrodigitalizare).
Platforma integrata pentru servicii electronice este bazata pe implementarea urmatoarelor principii: one stop shop pentru livrarea
de servicii publice electronice; utilizarea inteligenta a informatiilor disponibile prin aplicarea principiului înregistrarii "o singura
data" a datelor – conceptul de identitate electronica a cetateanului; spatiul privat virtual al cetateanului în relatia cu primaria.
2. OS2. Dezvoltarea cunostintelor si abilitatilor personalului din cadrul Primariei Municipiului Moreni, in vederea sprijinirii masurilor
vizate de proiect. Este avuta in vedere formarea/instruirea, evaluarea/testarea si certificarea competentelor/cunostintelor
dobândite pentru 130 de persoane (personal de conducere, de executie, alesi locali) din care 50 de persoane pentru comunicare
interna, 50 de persoane pentru analiza de proces in administratia publica, precum si 30 de persoane, din cadrul grupului tinta, in
ceea ce priveste utilizarea solutiilor informatice implementate in cadrul proiectului.</t>
  </si>
  <si>
    <t>Obiectivul general al proiectului/Scopul proiectului
Consolidarea capacitatii Primariei municipiului Craiova de a asigura calitatea si accesul la serviciile publice oferite exclusiv de Primarie
prin simplificarea procedurilor administratiei locale si reducerea birocratiei pentru cetateni                                                                                                          Obiectivele specifice ale proiectului
1. Reducerea cu minim 10% a timpului aferent livrarii serviciilor catre cetateni
2. Implementarea fluxului electronic pentru cel putin 10 servicii oferite online (acte livrate semnate electronic) exclusiv de primarie.
3. Punerea la dispozitia cetatenilor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dizabilitati
6. Elaborarea unui instrument extranet pentru confirmare a veridicitatii actelor emise de institutie</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</si>
  <si>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Bailesti în vederea sprijinirii masurilor/actiunilor vizate
de acest obiectiv specific.</t>
  </si>
  <si>
    <t>Obiectivul general al proiectului/Scopul proiectului
Consolidarea capacitații Consiliului Județean Dolj de a asigura calitatea si accesul la serviciile publice oferite exclusiv prin simplificarea
procedurilor administratiei locale si reducerea birocrației pentru cetațeni.
Obiectivele specifice ale proiectului
1. OS2. Implementarea unor masuri de simplificare pentru cetateni si firme, în corespondenta cu Planul Integrat pentru simplificarea
procedurilor administrative aplicabile cetatenilor, atât din perspectiva back-office (adaptarea procedurilor interne de lucru,digitalizarea arhivelor), cât si front-office.
2. OS3. Dezvoltarea cunostintelor si abilitatilor personalului din cadrul Consiliului Judetean Dolj, în vederea sprijinirii masurilor vizate
de proiect. Este avuta în vedere formarea/instruirea, evaluarea/testarea si certificarea competentelor/cunostintelor dobândite
pentru 75 de persoane din cadrul grupului tinta, în ceea ce priveste simplificarea procedurilor administrative. Obiectivul general al
serviciilor de instruire îl constituie familiarizarea persoanelor din grupul tinta cu implicatiile conceptului de simplificare administrativa.</t>
  </si>
  <si>
    <t>Obiectivul general al proiectului:
Asigurarea unei transparențe si integrități sporite la nivelul sistemului judiciar în vederea îmbunatatirii accesului si a calității serviciilor furnizate la nivelul acestuia în cadrul UAT Drobeta-Turnu Severin;
Obiectiv specific al proiectului:
OS 2.1: Grad crescut de acces la justiție al cetățenilor prin derularea de campanii de informare/educatie juridica si oferirea de servicii suport, inclusiv de asistenăț juridică, puse la dispoziția cetățenilor.</t>
  </si>
  <si>
    <t>Obiectivul general consta în îmbunatațirea capacitatii administrative, a calitatii si eficientei serviciilor publice furnizate la nivelul UAT Municipiul Tecuci, județul Galați, din regiunea mai putin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institutional, proceduri cadru de adoptare a hotarârilor de consiliu local) pentru a creste eficienta actiunilor adimintrative la nivelul Municipiului Tecuci. 
2. OS 2. Masuri de simplificare a procedurilor administrative si reducerea birocratiei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</si>
  <si>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Obiectivul general consta în îmbunatatirea capacitatii administrative, a calitatii si eficientei serviciilor publice furnizate la nivelul Consiliul Judetean Galati si a 5 institutii subordonate, din regiunea mai putin dezvoltata, prin investitii integrate si complementare conform reglementarilor europene si nationale (implementare CAF, planificare strategica institutionala, sistem informatic pentru arhiva electronica).
Obiectivele specifice ale proiectului
1. OS 1: Implementarea unor mecanisme si proceduri standard (Strategie de dezvoltare a judetului, Plan strategic institutional si proceduri operationate de aplicare a acestuia) pentru a creste eficienta actiunilor adimintrative la nivelul Consiliului Judetean Galati. OS 1 se va îndeplini prin Activitatea 3 si va conduce la atingerea rezultatului de program POCA R1.
2. OS 2. Implementarea si utilizarea instrumentului de management al calitatii CAF (Cadrul comun de autoevaluare a modului de functionare a institutiilor publice) la nivelul Consiliului Judetean Galati si a 5 institutii subordonate pentru sprijinirea schimbarii spre performanta, îmbunatatirea modului de realizare a activitatilor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birocratiei pentru cetateni prin crearea si integrarea unui sistem informatic pentru arhiva (digitalizarea documentelor din arhiva) la nivelul Consiliului Judetean Galati.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</si>
  <si>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Obiectiv general: Consolidarea capacitatii administrative a Unitatii administrativ teritoriale (UAT) Municipiul Galati pentru sustinerea unui
management performant prin introducerea si utilizarea instrumentului CAF aplicabil administratiei locale, în concordanta cu ”Planul de
actiuni pentru i+J131mplementarea etapizata a managementului calitatii în autoritati si institutii publice 2016-2020” (cuantificare: 1 sistem de J131management implementat).                                                                                                        OS1. Implementarea si utilizarea instrumentului de auto-evaluare de tip CAF (Cadrul comun de autoevaluare a modului de
functionare a institutiilor publice) la nivelul UAT Municipiul Galati pentru cresterea performantei în administratia publica locala si
îmbunatatirea serviciilor publice pentru comunitate.
 OS2. Dezvoltarea cunostintelor si abilitatilor unui numar de 45 de persoane de la nivelul UAT Municipiul Galati în vederea utilizarii
unui management al calitatii si performantei la nivelul autoritatii publice locale.</t>
  </si>
  <si>
    <t>Consolidarea integritatii, reducerea vulnerabilitatilor si a riscurilor de coruptie la nivelul UAT Municipiul Galati, prin dezvoltarea,
promovarea si utilizarea de instrumente specifice prevenirii coruptiei, în paralel cu îmbunatatirea cunostintelor si competentelor privind
prevenirea coruptiei în rândul personalului si alesilor din administratia publica locala.
Obiectivele specifice ale proiectului
1. OS1.Cresterea capacitatii administratiei publice locale de elaborare, adoptare si implementare a normelor, mecanismelor si
procedurilor în materie de etica, integritate si prevenire a coruptiei, în conformitate cu legislatia în vigoare.
2. OS2. Cresterea gradului de constientizare a personalului din cadrul UAT Municipiul Galati cu privire la impactul fenomenului
coruptiei.
3. OS3. Dezvoltarea cunostintelor, competentelor si abilitatilor personalului din cadrul UAT Municipiul Galati (aparat de specialitate
al primarului, Serviciul Public Comunitar Local de Evidenta a Persoanelor Galati si alesi locali).</t>
  </si>
  <si>
    <t>Obiectivul general consta în simplificarea procedurilor administrative, îmbunatatirea calitatii si eficientei serviciilor publice gestionate
partajat de catre UAT Municipiul Tecuci, judetul Galati, din regiunea mai putin dezvoltata Sud-Est, prin extinderea unei platforme integrate
reducând astfel întârzierile în procesul decizional cu impact asupra activitatilor operative si asigurarea accesului online la serviciile publice
gestionate partajat.
Obiectivele specifice ale proiectului
1. OS1: Implementarea unei platforme informatice integrate prin introducerea unor module aplicative noi si integrarea cu cele
existente, din perspectiva front-office, dar si back-office ce sustine simplificarea procedurilor administrative si reducerea birocratiei
pentru cetatenii Municipiului Tecuci pentru serviciile furnizate partajat de catre UAT.
OS 1 se va îndeplini prin activitatea 1 si va conduce la atingerea rezultatului de program POCA R3, domeniul vizat D.
2. OS 2. Imbunatatirea competentelor profesionale a unui numar de circa 50 persoane din cadrul serviciilor furnizate partajat de
catre UAT Municipiul Tecuci, în ceea ce priveste utilizarea solutiilor informatice implementate in cadrul proiectului
OS 2 se va îndeplini prin Activitatea 1.2 si va conduce la atingerea rezultatului R5.</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</si>
  <si>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sustinerea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sustinerea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</si>
  <si>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Obiectivul general al proiectului/Scopul proiectului
Cresterea calitatii si transparentei procesului administrativ la nivelul Municipiului Giurgiu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Dezvoltarea capacitatii institutionale a Municipiului Giurgiu pentru asigurarea planificarii strategice pe termen lung si fundamentarii
deciziilor prin elaborarea Planului de Mobilitate Urbana Durabila a Municipiului pentru perioada 2021-2027
2. Simplificarea procedurilor adiministrative din perspectiva back-office, prin introducerea unor solutii aplicative noi si integrarea cu
cele existente pentru serviciile furnizate partajat de catre autoritatea publica locala
3. Reducerea birocratiei pentru comunitatea locala prin implementarea unui portal de servicii catre cetateni si a unei aplicatii mobile
ce va asigura accesul on-line la serviciile partajate</t>
  </si>
  <si>
    <t xml:space="preserve">Obiectivele specifice ale proiectului
OS1: Implementarea de mecanisme si proceduri standard (Strategie de dezvoltare a județului, Plan strategic institutional 2021 –2027, Procedura operationala de administrare a infrastructurii rutiere cu ajutorul solutiilor informatice) pentru a creste eficienta actiunilor administrative la nivelul Judetului.OS 2. Implementarea unei soluții informatice pentru simplificarea procedurilor administrative vizand competentele partajate in domeniul infrastructurii de transport rutier judetean, in cadrul Consiliului Judetean Giurgiu, contribuie la simplificarea procedurilor
administrative în conformitate cu Planul integrat de simplificare a procedurilor pentru cetațeni si se ofera servicii publice electronice de informare si servicii digitale pentru cetateni.OS 3. Imbunatatirea competentelor profesionale a unui numar de 75 de persoane din cadrul Consiliului Județean Giurgiu, a
subordonatelor si a altor instituții publice din raza Judetului Giurgiu pe teme specifice proiectului, prin cursuri de formare profesionala (55 de persoane) si instruire utiliare solutie informatica (20 de persoane). </t>
  </si>
  <si>
    <t>Obiectivul general al proiectului îl reprezinta reducerea birocratiei la nivelul UAT Judet Giurgiu prin implementarea masurilor care vizeaza
simplificarea procedurilor pentru cetateni în conformitate cu Planul integrat de simplificare a procedurilor pentru cetateni elaborat la nivel
national prin introducerea sistemelor informatice inovative pentru competente exclusive ale UAT Judet Giurgiu.
Proiectul isi propune sa raspunda nevoilor identificate in cadrul UAT Judet Giurgiu in vederea alinierii sale la standardele si exigentele
europene, precum si crearea unei administratii publice moderne.                                                                                                                                                                                   OS1 – Implementarea unor masuri simplificate pentru reducerea birocratiei pentru cetateni la nivel local, corelate cu Planul
integrat de simplificare a procedurilor administrative pentru cetateni din perspectiva back office pentru competente exclusive, prin
achizitia si implementarea solutiilor informatice care sa asigure administrarea electronica a documentelor si prin retrodigitalizarea
documentelor existente.
2. OS2 - Dezvoltarea cunostintelor si abilitatilor personalului în vederea sprijinirii masurilor vizate în proiect prin realizarea
vizitelor/schimb de experienta pentru 12 persoane, instruirea a 60 de persoane in sisteme IT si cerificarea CNFPA a 30 de
persoane din personalul din Consiliului Judetean Giurgiu (personal de conducere si de executie).</t>
  </si>
  <si>
    <t>Obiectivul general al proiectului - Optimizarea si eficientizarea proceselor orientate catre cetateni, în concordanta cu Strategia pentru Consolidarea Administratiei Publice, prin introducerea sistemelor comune de calitate si performanta, în cadrul UAT Municipiul Motru.                                                                                                                                                                                                                                                                      Obiectiv specific 1: Implementarea unui sistem unitar de management al calitatii si performantei (în conformitate cu Planul de
actiune pentru prioritizarea si etapizarea implementarii managementului calitatii) la nivelul UAT Municipiul Motru si realizarea unui schimb de experienta între personalul din institutia publica beneficiara a proiectului si autoritati, organisme, organizatii publice nationale.
2. Obiectiv specific 2: Dezvoltarea abilitatilor unui numar de 40 participanti din cadrul UAT Municipiul Motru în domeniile
implementarii sistemelor de management al calitatii (CAF, ISO), control managerial intern, politici publice locale.</t>
  </si>
  <si>
    <t>1. Dezvoltarea unui sistem de proceduri operationale privind masurile preventive anticoruptie si indicatorii aferenti în cadrul UAT Judetul Gorj si a structurilor subordonate.
2. Implementarea masurilor referitoare la prevenirea coruptiei si a indicatorilor de evaluare inclusiv prin cresterea gradului de constientizare publica si campanii de educatie anticoruptie privind masurile referitoare la prevenirea coruptiei si a indicatorilor de evaluare.
3. Îmbunatatirea cunostintelor si competentelor în domeniul prevenirii coruptiei, transparentei, eticii si integritatii pentru: - 25 persoane - personal de conducere si de executie din cadrul aparatului de specialitate al Unitatii Administrativ Teritoriale Judetul Gorj;
- 25 persoane - personal de conducere si de executie din cadrul structurilor subordonate Unitatii Administrativ Teritoriale Judetul Gorj;
- 20 alesi locali ( consilieri judeteni, presedinte, vicepresedinti) ai Consiliului Judetean Gorj</t>
  </si>
  <si>
    <t>Obiectiv specific: Introducerea de sisteme si standarde comune în administratia publica locala ce optimizeaza procesele orientate catre beneficiari în concordanta cu SCAP.                                                                                                                                                                           OS1. Simplificarea procedurilor administrative si reducerea birocratiei pentru cetateni în Primaria Municipiului Târgu Jiu.
OS2. Îmbunatatirea cunostințelor si abilitatilor personalului din Primaria Municipiului Târgu Jiu în vederea optimizarii masurilor simplificate pentru cetățeni.</t>
  </si>
  <si>
    <t>Fundamentarea deciziilor, planificare strategica si masuri de simplificare pentru cetateni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</si>
  <si>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Obiectiv specific 1: Realizarea în mod participativ a Strategiei de dezvoltare a judetului Gorj pentru perioada 2021-2027 in scopul îmbunatatirii procesului decizional, a planificarii strategice si executiei bugetare la nivelul UAT Judetul Gorj.
Obiectiv specific 2: Implementarea la nivelul UAT Judetul Gorj a masurilor de simplificare pentru cetateni în corespondenta cu Planul integrat pentru simplificarea procedurilor administrative aplicabile cetatenilor.</t>
  </si>
  <si>
    <t>Cresterea transparenței, eticii si integritații în cadrul UAT Municipiul Targu Jiu prin implementarea masurilor referitoare la prevenirea
corupției si a indicatorilor de evaluare în autoritațile si instituțiile publice
Obiectivele specifice ale proiectului
1. Consolidarea integritații si eficienței masurilor anticorupție prin introducerea si certificarea standardului ISO 37001 în Primaria
municipiului Târgu -Jiu
2. Reducerea vulnerabilitaților si a riscurilor de corupție prin implementarea metodologiei de identificare a riscurilor si
vulnerabilitaților la corupție
3. Cresterea gradului de constientizare a publicului cu privire la impactul fenomenului coruptiei prin organizarea unei campanii
online de educație anticorupție adresate cetațenilor din Municipiul Târgu -Jiu
4. Îmbunatațirea cunostințelor si a competențelor personalului din Primaria municipiului Târgu- Jiu în ceea ce priveste prevenirea
corupției</t>
  </si>
  <si>
    <t xml:space="preserve">Obiectivul general este optimizarea proceselor orientate catre beneficiari în concordanta cu SCAP prin introducerea sistemului CAF si instruirea personalului pentru implementarea unitara a managementului calitatii si performantei în administratia publica locala, pentru a oferi servicii de calitate care sa asigure obtinerea satisfactiei si încrederii cetatenilor, în condiții de eficienta, eficacitate.
Obiectivele specifice ale proiectului
1. Obiectiv specific 1: Elaborarea unui studiu privind situatia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Judetean Harghita în domeniul managementului performanței si a standardelor instrumentului CAF, cu scopul aplicarii acestor concepte în organizatie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</si>
  <si>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Cresterea eficientei administrative a Primariei Municipiului Gheorgheni prin implementarea unor sisteme informatice inovative, ca masuri de simplificare si modernizare a furnizarii serviciilor catre cetateni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Imbunatatirea abilitaților si cunostintelor personalului municipiului Gheorgheni pentru utilizarea sistemelor informatice
implementate prin proiect.</t>
  </si>
  <si>
    <t>Obiectivul general consta în îmbunatatirea capacitatii administrative, a calitatii si eficientei serviciilor publice furnizate la nivelul Municipiului
Odorheiu Secuiesc, judetul Harghita din regiunea mai putin dezvoltata Centru, prin implementarea unui sistem informatic integrat care
permite comunicarea online cu cetatenii si cu alte institutii pentru domenii gestionate partajat de UAT, eficientizarea activitatilor de tip
back-office si implementarea de masuri pentru îmbunatatirea planificarii strategice.
Prin implementarea unui sistem informatic integrat care ofera acces online la serviciile gestionate partajat de administratia locala si
achizitia unor noi module software cu functionalitati noi si un sistem îmbunatatit fata de cel existent, prin pregatirea a circa 120 de
persoane pentru o administratie performanta si eficienta la nivel local, proiectul contribuie la realizarea obiectivului general POCA 2014-
2020. Pe termen lung implementarea si utilizarea unui sistem informatic care sa permita accesul facil la servicii on-line, instruirea
personalului, contribuie la dezvoltarea unei culturii a calitatii in administratia publica, la crearea unei administratii locale performante,
capabile sa ofere servicii performante si sa genereze dezvoltare socio-economica la nivelul comunitatii.</t>
  </si>
  <si>
    <t>Consolidarea integritatii la nivelul UAT Miercurea-Ciuc prin dezvoltarea si implementarea de proceduri si instrumente specifice prevenirii
coruptiei.
Obiectivele specifice ale proiectului
1. Cresterea gradului de implementare a masurilor de prevenire a coruptiei si a indicatorilor de evaluare la nivelul UAT Miercurea-
Ciuc.
2. Îmbunatatirea cunostintelor angajatilor si alesilor locali din cadrul UAT Miercurea-Ciuc în domenii precum prevenirea coruptiei,
conflicte de interese, incompatibilitati, achizitii publice etc.</t>
  </si>
  <si>
    <t>Obiectivul general este optimizarea si digitalizarea proceselor administrative orientate catre beneficiari în concordanta cu SCAP, prin
implementarea sistemului de management al calitatii ISO 9001:2015, prin realizarea unui Sistem Informatic Integrat, prin digitalizarea
Arhivarii, si prin instruirea personalului pentru a oferi servicii de calitate.
Obiectivele specifice ale proiectului
1. Obiectiv specific 1: Implementarea si certificarea unui Sistemului de management al calitatii ISO 9001:2015
2. Obiectiv specific 2: Implementarea unui Sistem Informatic Integrat la nivelul Primariei
3. Obiectiv specific 3: Implementarea unei solutii informatice care sa asigure administrarea electronica a documentelor create,
primite sau întocmite pentru uz intern în cadrul Primariei Miercurea-Ciuc, asa cum este cerut de Legea Arhivelor Nationale nr.
16/1996
4. Obiectiv specific 4: Retro-digitalizarea documentelor din arhiva</t>
  </si>
  <si>
    <t>Obiectivul general al proiectului vizeaza consolidarea capacitatii institutionale si eficientizarea activitatii la nivelul UAT Municipiul Toplita în
ceea ce priveste exercitarea atributiilor prevazute de OUG 57/2019 privind Codul Administrativ, prin implementarea de masuri pentru
îmbunatatirea procesului decizional si a planificarii strategice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Dezvoltarea de mecanisme si proceduri standard pentru fundamentarea deciziilor si planificarea strategica pe termen lung în
concordanta cu SCAP
2.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</si>
  <si>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Dezvoltarea unui management performant si facilitarea accesului la serviciile oferite de Consiliul Judetean Harghita, prin reducerea
birocratiei, cresterea eficientei, transparentei si integritatii serviciilor oferite cetatenilor ca urmare a implementarii unei platforme de servicii electronice pentru cetatenii judetului Harghita - DIGIT HR.
Obiectivele specifice ale proiectului
1. Simplificarea procedurilor, introducerea de instrumente digitale pentru furnizarea de servicii electronice, retrodigitizarea
documentelor, accesul rapid la informatii si reducerea birocratiei pentru cetatenii judetului Harghita prin implementarea platformei
de servicii electronice pentru cetateni DIGIT-HR, la nivelul Judetului Harghita.
2. Dezvoltarea cunostintelor si abilitatilor profesionale pentru 35 de persoane din cadrul Consiliului Judetean Harghita pentru
operarea si administrarea DIGIT-HR in vederea oferirii unor servicii de calitate cetatenilor judetului. Formarea celor 35 de
persoane va cuprinde si un modul de dezvoltare durabila, egalitate de sanse, nediscriminare si egalitate de gen.</t>
  </si>
  <si>
    <t>Obiectivul general al proiectului consta în consolidarea capacitatii institutionale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corespondenta cu Planul integrat pentru simplificarea
procedurilor administrative aplicabile cetatenilor, atât din perspectiva back-office (adaptarea procedurilor interne de lucru,
digitalizarea arhivelor), cât si front-office.
OS2 Dezvoltarea cunostintelor si abilitatilor personalului din cadrul Municipiului Hunedoara, în vederea sprijinirii masurilor vizate de proiect.</t>
  </si>
  <si>
    <t>Obiectivul general al proiectului consta consolidarea capacitatii institutionale si eficientizarea activitatii la nivelul Municipiului Deva, prin
fundamentare strategica, simplificarea procedurilor administrative si reducerea birocratiei pentru cetateni, implementând masuri din
perspectiva back-office (adaptarea procedurilor interne de lucru), si front-office pentru serviciile publice furnizate.
OS1. Implementarea unor procedure simplificate pentru reducerea birocratiei pentru cetateni, în corespondenta cu
Planul integrat pentru simplificarea procedurilor administrative aplicabile cetatenilor, atât din perspectiva back-office,cât si frontoffice.
OS2. Dezvoltarea cunostintelor si abilitatilor personalului din cadrul Municipiului Deva, în vederea sprijinirii masurilor
vizate de proiect.
OS 3. Introducerea unor mecanisme si proceduri standard implementate la nivel local pentru fundamentarea deciziilor si
planificarea strategic pe termen lung.</t>
  </si>
  <si>
    <t>Obiectiv general:Consolidarea capacitatii Primariei Municipiului Petrosani de a asigura calitatea si accesul la serviciile publice oferite exclusiv de Primarie prin simplificarea procedurilor administratiei locale si reducerea birocratiei pentru cetateni                                                                     . OS1. Îmbunatațirea procesului de planificare strategica si alocare a resurselor în cadrul Primariei Municipiului Petrosani prin introducerea unui instrument informatic de bugetare participativa
OS2. Implementarea unor masuri administrative simplificate în relatia cu cetatenii, în corespondență cu Planul Integrat pentru simplificarea procedurilor administrative aplicabile cetatenilor, atât din perspectiva back-office (adaptarea procedurilor interne delucru, digitalizarea arhivelor), cât si front-office (prelucrarea si soluționarea on-line a solicitarilor cetațenilor).
3. OS3. Dezvoltarea cunostintelor si abilitatilor personalului din cadrul Primariei Municipiului Petrosani, în vederea sprijinirii masurilor vizate de proiect. Este avuta în vedere formarea/instruirea, evaluarea/testarea si certificarea competentelor/cunostințelor dobândite pentru 75 de persoane din cadrul grupului tinta, în ceea ce priveste simplificarea administrativa si planificarea strategica.</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</si>
  <si>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Îmbunatatirea procesului de planificare strategica si alocare a resurselor în cadrul Primariei Municipiului Lupeni prin introducerea unui sistem intern managerial certificat
2. OS2. Implementarea unor masuri de simplificare pentru cetateni - în corespondenta cu Planul Integrat pentru simplificarea procedurilor administrative aplicabile cetatenilor - atât din perspectiva back-office (adaptarea procedurilor interne de lucru, digitalizarea arhivelor), cât si front-office.
3. OS3. Dezvoltarea cunostintelor si abilitatilor personalului din cadrul Primariei Municipiului Lupeni, în vederea sprijinirii masurilor vizate de proiect. Este avuta în vedere formarea/instruirea, evaluarea/testarea si certificarea competentelor/cunostintelor dobândite pentru 70 de persoane din cadrul grupului tinta, în ceea ce priveste simplificarea procedurilor. Obiectivul general al
serviciilor de instruire îl constituie familiarizarea persoanelor din grupul tinta cu implicatiile simplificarii procedurilor administrative.</t>
  </si>
  <si>
    <t>Obiectivul general al proiectului consta în consolidarea capacitatii institutionale si eficientizarea activitatii la nivelul Municipiului Brad prin
planificare strategica, proceduri simplificate pentru reducerea birocratiei pentru cetateni si formarea personalului.
Obiectivele specifice ale proiectului
1. OS 1: Realizarea de proceduri standard pentru fundamentarea deciziilor si elaborarea documentatiilor de planificare strategica:
Criterii de prioritare a investitiilor în sectoarele educatie, sanatate, asistenta sociala, infrastructura (mediu si transport) pentru
realizarea bugetului aferent anului 2021 sau 2022, politici publice ce necesita resurse financiare din bugetele aferente anilor 2021
si 2022, Strategia integrata de dezvoltare urbana a Municipiului Brad 2021-2027, Planul de Mobilitate Urbana Durabila al
Municipiului Brad pentru perioada 2021-2027, Planul Strategic Institutional 2021-2022 si Planul de Actiune pentru Energie
Durabila si Clima – PAEDC”.
2. OS 2: Implementarea unor masuri de simplificare pentru cetateni, în legatura cu Planul integrat pentru simplificarea procedurilor
administrative aplicabile cetatenilor prin implementarea si utilizarea GIS în administratia publica.
3. OS 3. Dezvoltarea cunostintelor si abilitatilor personalului din cadrul Municipiului Brad, în vederea sprijinirii masurilor vizate de
proiect.</t>
  </si>
  <si>
    <t>Obiectivul general al proiectului consta in consolidarea capacitatii institutionale a UAT Orastie si eficientizarea activitatii la nivelul
Municipiului Orastie si a domeniilor ce sunt gestionate partajat de aceasta autoritate prin introducerea de mecanisme si proceduri standard
pentru fundamentarea deciziilor si planificarea strategica pe termen lung, respectiv prin simplificarea procedurilor administrative in vederea reducerii birocratiei pentru cetateni si cresterea gradului de cunostinte si abilitati ale personalului din administratia publica locala.
In esenta, obiectivul general al proiectului este o consecinta a îndeplinirii obiectivelor specifice ale proiectului ce vor fi atinse ca urmare a
obtinerii rezultatelor asteptate.
Obiectivele specifice ale proiectului
1. OS1. Îmbunatatirea procesului decizional, de planificare strategica si alocare a resurselor în cadrul Primariei Municipiului Orastie
prin introducerea unui sistem de control intern managerial (SCIM), elaborarea strategiei integrate de dezvoltare urbana (SIDU)
2021 - 2027, plan de mobilitate urbana durabila (PMUD) 2021 - 2023.
2. OS2. Implementarea unor masuri de simplificare pentru cetateni, in corespondenta cu Planul integrat pentru simplificarea
procedurilor administrative aplicabile cetatenilor din perspectiva back-office: adaptarea procedurilor interne de lucru, digitalizarea
arhivelor, cat si din perspectiva front-office, luand in considerare competentele partajate ale autoritatilor administratie publice
locale care vizeaza: Spitalul Municipal Orastie siServiciul Public de Asistenta Sociala Orastie.
3. OS3. Dezvoltarea cunostintelor si abilitatilor personalului din cadrul UAT Orastie si a domeniilor partajate: Spitalul Municipal
Orastie si Serviciul Public de Asistenta Sociala, in vederea sprijinirii masurilor vizate de proiect. Este avuta in vedere
formarea/instruirea, evaluarea/testarea si certificarea competentelor/cunostintelor dobândite pentru 70 persoane din cadrul
grupului tinta cu privire la implicatiile conceptului de planificare strategica si evaluare a deciziilor la nivelul administratiei publice
locale si prin efectuarea de schimburi de experienta si networking cu autoritati/institutii/organisme ale administratiilor publice
nationale/internationale pentru 12 persoane.</t>
  </si>
  <si>
    <t>Dezvoltarea si consolidarea capacitații administrative a instituției prin eficientizarea activitaților de prevenire si combatere a corupției în
administrația publica locala, promovarea eticii si integritații pentru îmbunatațirea performantelor în activitate, cresterea transparenței în
procesului decizional, precum si îmbunatațirea cunostințelor si a competențelor personalului si alesilor locali.
Obiectivele specifice ale proiectului
1. OS 1 - Cresterea gradului de implementare a masurilor de prevenire a corupței si a indicatorilor de evaluare.
2. OS 2 - Cresterea gradului de constientizare a efectelor corupției la nivelul personalului din administrația publica locala cât si în
rândul cetațenilor.
3. OS 3 - Îmbunatațirea cunostintelor si a competențelor personalului si alesilor locali în ceea ce priveste masurile anticorupție.</t>
  </si>
  <si>
    <t>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</si>
  <si>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anticorupte.</t>
  </si>
  <si>
    <t xml:space="preserve">Obiectivul general consta în consolidarea capacitatii administrative a Consiliului Judetean Hunedoara, din Regiunea mai putin dezvoltata
Vest, prin masuri de planificare strategica (elaborare Strategie de dezvoltare a resurselor umane, Plan Strategic Institutional 2022 - 2024,
Plan de Mobilitate Urbana 2022 - 2027), prin implementarea si utilizarea a doua sisteme unitare de managenent al calitatii si performantei
CAF si ISO 9001:2015 (certificat) aplicabile administratiei locale si implementarea de masuri de simplificare a procedurilor administrative si
reducerea birocratiei pentru cetateni.
Obiectivele specifice ale proiectului
1. OS1: Implementarea unor mecanisme si proceduri standard (Strategie de dezvoltare a resurselor umane, Plan strategic
institutional 2022-2024 si Plan de Mobilitate Urbana Durabila 2022 - 2027) pentru a creste eficienta actiunilor adimintrative la
nivelul Consiliului Judetean Hunedoara.
2. OS2. Implementarea si utilizarea instrumentelor de management al calitatii si performantei pentru autoritati publice CAF, ISO
9001:2015 si certificarea sistemului la nivelul Consiliului Judetean Hunedoara pentru sustinerea schimbarii in vederea obtinerii de
performanta, de îmbunatatire a modului de realizare a activitatilor si de prestare a serviciilor publice.
3. OS3. Implementarea la nivelul UAT Judetul Hunedoara a masurilor de simplificare a procedurilor administrative si reducerea
birocratiei pentru cetateni în corespondenta cu Planul integrat pentru simplificarea procedurilor administrative aplicabile
cetatenilor, prin crearea hartii GIS ca platforma integrata de management al retelelor de utilitati publice .
4. OS4: Imbunatatirea competentelor profesionale si certificarea unui numar de 70 persoane din cadrul Consiliului Judetean
Hunedoara, personal de conducere si de executie. Formarea/instruirea specifica in vederea managementului planificarii strategice
si managementului calitatii se va realiza ca parte a procesului de implementare al acestor sisteme.
</t>
  </si>
  <si>
    <t>Obiectivul general al proiectului consta în consolidarea capacitatii institutionale si eficientizarea activitatii la nivelul Municipiului Hunedoara prin simplificarea procedurilor administrative si reducerea birocratiei pentru cetateni, implementând masuri din perspectiva back-office si front-office pentru serviciile publice vizând competentele partajate din domeniul ordinii si sigurantei publice si asistentei sociale.
Obiectivele specifice ale proiectului
1. OS1. Implementarea unor masuri de simplificare pentru cetateni în domeniul competentelor partajate, în corespondenta cu Planul
integrat pentru simplificarea procedurilor administrative aplicabile cetatenilor, atât din perspectiva back-office, cât si front-office. În
acest sens este avuta în vedere achizitia si implementarea unei platforme integrate pentru servicii electronice complete vizând
competentele partajate ale primariei. 
2. OS2. Dezvoltarea cunostintelor si abilitatilor personalului din cadrul Municipiului Hunedoara,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</si>
  <si>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Obiectivul general al proiectului este consolidarea capacitatii administrative a Unitatii administrativ teritoriale (UAT) Municipiul Deva pentru sustinerea unui management performant prin introducerea si utilizarea instrumentului CAF 2020 aplicabil administratiei locale la nivelul UAT Municipiului Deva, în concordanta cu “Planul de actiuni pentru implementarea etapizata a managementului calitatii în autoritati si institutii publice 2016-2020”
Obiectivele specifice ale proiectului
1. OS1 Implementarea si utilizarea instrumentului de auto-evaluare de tip CAF 2020 (Cadrul comun de autoevaluare a modului de
functionare a institutiilor publice) la nivelul UAT Municipiului Deva pentru cresterea performantei în administratia publica locala si
îmbunatatirea serviciilor publice oferite cetatenilor.
2. OS2 Dezvoltarea cunostintelor si abilitatilor unui numar de 40 de angajati ai UAT Municipiul Deva în vederea utilizarii unui
management al calitatii si performantei la nivelul autoritatii publice locale .</t>
  </si>
  <si>
    <t>Obiectivul general al proiectului/Scopul proiectului
Obiective proiect
Consolidarea capacitatii institutionale si eficientizarea activitatii la nivelul Primariei Municipiului Brad prin introducerea unui cadru comun
de autoevaluare pentru îmbunatatirea calitatii si optimizarea proceselor orientate catre cetateni în concordanta cu SCAP
Obiectivele specifice ale proiectului
1. Îmbunatatirea sistemului de management al calitatii prin implementarea cadrului comun de autoevaluare (CAF) a modului de
functionare a institutiei publice Primaria Municipiului Brad</t>
  </si>
  <si>
    <t>Obiectivul general al proiectului: Cresterea calitattii procesului decizional la nivelul Primariei Municipiului Lupeni, prin implementarea atat a unor instrumente de management strategic institutional care sa sustina planificarea strategica si fundamentarea politicilor publice,
respectiv evaluarea indicatorilor de performanta a politicilor publice adoptate, cat si a unei platforme informatice de gestiune integrata si
standardizata a serviciilor de asistenta sociala si a serviciilor politiei locale.                                                                                                                                                        Obiectiv specific 1: Dezvoltarea si implementarea unor mecanisme si instrumente de management strategic institutional care sa
sustina planificarea strategica si fundamentarea deciziilor la nivelul Primariei Municipiului Lupeni.                                                                                                  Obiectiv specific 2: Dezvoltarea si implementarea unor instrumente informatice inovatoare (aplicatie software integrata cu
componente de front-office si back-office) ce sustin eficientizarea activitatilor interne cat si reducerea birocratiei institutionale în
vederea furnizarii serviciilor de asistenta sociala cat si a serviciilor publice asigurate de politia locala.</t>
  </si>
  <si>
    <t>Obiectivul general al proiectului consta in consolidarea capacitatii institutionale si eficientizarea activitatii la nivelul Municipiului Urziceni prin simplificarea procedurilor administrative si reducerea birocratiei pentru cetateni, implementând masuri din perspectiva back-office (adaptarea procedurilor interne de lucru, digitalizarea arhivelor) si front-office pentru serviciile publice furnizate.                                 OS1. Simplificarea furnizarii serviciilor catre cetateni prin implementarea unei platforme integrate de servicii electronice care va
furniza digital fluxurile de lucru de baza din cadrul institutiei, reducând astfel întârzierile în procesul decizional cu impact asupra
activitatilor operative si va asigura accesul online la serviciile publice gestionate de UAT.
2. OS2. Îmbunatatirea abilitatilor si cunostintelor personalului UAT în domeniul utilizarii sistemelor informatice dezvoltate prin proiect</t>
  </si>
  <si>
    <t>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Urziceni din domeniul
urbanismului, asistentei sociale si sigurantei si ordinii publice
2. OS2: Dezvoltarea cunostintelor si abilitatilor personalului din cadrul Municipiului Urziceni, in vederea sprijinirii masurilor vizate de
proiect. Este avuta in vedere formarea/instruirea, evaluarea/testarea si certificarea competentelor/cunostintelor dobândite pentru
30 persoane din cadrul grupului tinta, in ceea ce priveste utilizarea solutiilor informatice implementate in cadrul proiectului</t>
  </si>
  <si>
    <t>Obiectivul general al proiectului este reprezentat de fundamentarea procesului decizional strategic în vederea promovarii dezvoltarii
urbane durabile a Municipiului Slobozia, prin elaborarea principalelor documente de planificare strategica si asigurarea corespondentei
acestora cu conditionalitatile perioadei de programare a fondurilor europene 2021-2027, precum si de simplificarea procedurilor
administrative si reducerea birocratiei pentru cetateni, prin implementarea unui sistem informatic integrat.
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Implementare sistem informatic integrat. Obiectivul specific este în corelare cu Activitatea 5, respectiv cu Rezultatul de proiect 3.
4. Extinderea cunostintelor si abilitatilor personalului din Municipiul Slobozia în vederea utilizarii sistemului informatic integrat,
precum si a cunoasterii conditionalitatilor specifice pentru perioada de finantare 2021-2027, a arhitecturii programelor
operationale si a oportunitatilor de finantare, a procedurilor de prioritizare a proiectelor, de monitorizare a implementarii planurilor
de actiune si de evaluare a rezultatelor acestora, pentru documentele strategice elaborate. Obiectivul specific este în corelare cu
Activitatea 6 si cu Rezultatul de proiect 4.</t>
  </si>
  <si>
    <t>Obiectivul general al proiectului este cresterea gradului de constientizare al pericolului pe care îl reprezinta actul de coruptie în rândul
functionarilor publici din cadrul Primariei Municipiului Urziceni, prin implementarea unor masuri de prevenire a coruptiei, aplicarea
mecanismelor, procedurilor si normelor de etica si integritate, precum si îmbunatatirea cunostintelor si competentelor în ceea ce priveste
prevenirea coruptiei.
Obiectivele specifice ale proiectului
1. OS1. Implementarea a 3 proceduri operationale aplicabila in cadrul Primariei Municipiului Urziceni cat si in cadrul autoritatilor si
institutiilor locale aflate in subordinea, sub autoritatea sau coordonarea Primariei Municipiului Urziceni in vederea cresterii
integritatii si reducerii vulnerabilitatii la coruptie.
2. OS2. Cresterea gradului de constientizare a coruptiei atât în rândul cetatenilor cât si al personalului din administratia publica
3. OS3. Cresterea gradului de educatie anticoruptie pentru un numar de 60 de persoane, personal de conducere si de executie, cat
si consilieri locali din cadrul UAT Urziceni prin organizarea de cursuri de instruire/formare profesionala, in domeniul prevenirii
coruptiei, eticii si integritatii
4. OS4. Implementarea sistemului de management anti-mita conform Standardului ISO 37001</t>
  </si>
  <si>
    <t>Dezvoltarea si consolidarea capacitatii administrative prin implementarea masurilor de prevenire si combatere a coruptiei în administratia
publica locala, promovarea eticii si integritatii pentru îmbunatatirea performantelor în activitate, cresterea transparentei în procesul
decizional, precum si pregatirea personalului din institutiile publice si alesii locali în acest sens.
Obiectivele specifice ale proiectului
1. OS 1 - Implementarea în institutia publica solicitanta a unei proceduri interne specifice privind managementul riscurilor si
vulnerabilitatilor la fenomenul de coruptie în cadrul autoritatii publice locale
2. OS 2 - Elaborarea unui ghid de bune practici în institutia publica solicitanta cu scopul de a preveni fenomenul de coruptie si
conflictele de interese în administratia publica locala si de a stabili indicatori specifici de evaluare.
3. OS 3 - Formarea a 75 de persoane în vederea prevenirii si limitarii fenomenului de coruptie în institutiile publice locale.
4. OS 4 - Organizarea a 2 campanii de constientizare si a 3 workshop-uri cu tematici specifice de constientizare publica a
fenomenului de coruptie, promovarii transparentei în administratia publica locala si educatie in anticoruptie.</t>
  </si>
  <si>
    <t>Consolidarea capacitatii institutionale si eficientizarea activitatii la nivelul UAT Judetul Ialomita în ceea ce priveste exercitarea atributiilor
exclusive,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exclusive, în scopul reducerii birocratiei,
prin implementarea unui ecosistem digital integrat.
2. Imbunatatirea competentelor digitale ale grupului tinta</t>
  </si>
  <si>
    <t xml:space="preserve">Obiectiv general-Consolidarea capacitatii Primariei Municipiului Pascani de a asigura calitatea si accesul la serviciile publice oferite exclusiv de Primarie prin simplificarea procedurilor administratiei locale si reducerea birocratiei pentru cetatenii.
Obiective specifice:
OS1. Îmbunatatirea procesului de planificare strategica si alocare a resurselor în cadrul Primariei Municipiului Pascani
prin introducerea unui instrument informatic de bugetare participativa.
 OS2. Implementarea unor masuri de simplificare pentru cetateni, în corespondenta cu Planul Integrat pentru
simplificarea procedurilor administrative aplicabile cetatenilor, atât din perspectiva back-office (adaptarea procedurilor interne de lucru, digitalizarea arhivelor), cât si front-office
OS3. Dezvoltarea cunostintelor si abilitatilor personalului din cadrul Primariei Municipiului Pascani , în vederea sprijinirii masurilor vizate de proiect. Este avuta în vedere formarea/instruirea,evaluarea/testarea si certificarea competentelor/cunostintelor dobândite pentru 75 de persoane din cadrul grupului tinta, în ceea ce priveste planificarea strategica. </t>
  </si>
  <si>
    <t>Obiectivul general al proiectului consta in consolidarea capacitatii institutionale si eficientizarea activitatii la nivelul Municipiului PASCANI
prin simplificarea procedurilor administrative si reducerea birocratiei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Pascani, în vederea sprijinirii masurilor/actiunilor vizate
de acest obiectiv specific</t>
  </si>
  <si>
    <t>Obiectivul general al proiectului vizeaza consolidarea capacitattii institutionale si eficientizarea activitatii la nivelul Primariei Municipiului Iasi- institutiii subordonate, în ceea ce priveste exercitarea atributiilor prevazute de OUG 57/2019 privind Codul Administrativ, prin
implementarea de masuri pentru îmbunatatirea procesului decizional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</si>
  <si>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Obiectivul general al proiectului vizeaza consolidarea capacitatii administrative la nivelul UAT - Judetul Iasi, în vederea realizarii
obiectivelor de dezvoltare a judetului Iasi, în concordanta cu liniile strategice europene, nationale si regionale si crearea de masuri de
simplificare pentru cetateni in concordanta cu SCAP.
Obiectivele specifice ale proiectului
1. OS.1 Realizarea Strategiei de Dezvoltare a Judetului Iasi pentru perioada 2021-2027. OS1 corespunde rezultatului de program
R1 – Mecanisme si proceduri standard implementate la nivel local pentru fundamentarea deciziilor si planificarea strategica pe
termen lung.
2. OS.2 Realizarea Strategiei de Transformare Digitala a Judetului Iasi. OS2 corespunde rezultatului de program R1 - Mecanisme si
proceduri standard implementate la nivel local pentru fundamentarea deciziilor si planificarea strategica pe termen lung..
3. OS.3 Implementarea unui portal pentru facilitarea accesului cetatenilor la serviciile publice furnizate de Consiliul Judetean Iasi.
OS 3 corespunde rezultatului de program R3 - Proceduri simplificate pentru reducerea birocratiei pentru cetateni la nivel local
corelate cu Planul integrat de simplificare a procedurilor administrative pentru cetateni implementate.
4. OS.4 Implementarea unei solutii informatice in vederea simplificarii procedurilor administrative si reducerii birocratiei pentru
cetateni - Realizarea unei platforme integrate pentru arhivare electronica si Constituirea unei arhive electronice
retrodigitalizate.OS 4 corespunde rezultatului de program R3 - Proceduri simplificate pentru reducerea birocratiei pentru cetateni
la nivel local corelate cu Planul integrat de simplificare a procedurilor administrative pentru cetateni implementate.</t>
  </si>
  <si>
    <t>Cresterea capacitatii UAT - Judetul Ilfov de a asigura pe termen lung servicii de calitate sporita comunitatii din Judetul Ilfov prin implementarea unui sistem de management al calitatii de tip ISO la nivelul aparatului propriu.
Astfel proiectul va contribui direct la atingerea Obiectivului specific POCA 2.1 – Introducerea de sisteme si standarde comune în administratia publica locala ce optimizeaza procesele orientate catre beneficiari în concordanta cu SCAP.
Obiectivele specifice ale proiectului
1. OS1. Implementarea unui sistem de management al calitatii în cadrul aparatului propriu al UAT - Judetul Ilfov în vederea îmbunatatirii calitatii serviciilor oferite comunitatii judetului Ilfov. Acest obiectiv va fi atins în principal prin realizarea documentatie SMC pentru implementarea cerintelor SR EN ISO 9001:2015 la nivelul aparatului propriu al UAT - Judetul Ilfov si certificarea UAT -Judetul Ilfov în urma unei proceduri de audit extern de certificare conform SR EN ISO 9001:2015.
2. OS2. Dezvoltarea si implementarea unui sistem de management al investitiilor publice, în concordanta cu procedurile si standardele specifice SR EN ISO 9001:2015. Acest obiectiv va fi atins prin dezvoltarea unui sistem IT care va concentra procedurile, standardele si activitatile specifice aparatului administrativ al UAT - Judetul Ilfov, în care sunt implicati cel putin 150 salariati si membri ai structurilor deliberative.
3. OS3. Îmbunatatirea competentelor alesilor locali, ale personalului de conducere si executie din UAT - Judetul Ilfov pentru cresterea performantei autoritatilor locale. Acest obiectiv va fi atins prin activitati de formare – se vor organiza 2 tipuri de cursuri pentru cel putin 120 persoane.</t>
  </si>
  <si>
    <t>Obiectivul general al proiectului este reprezentat de eficientizarea serviciilor publice oferite cetatenilor din judetul Ilfov, în vederea reducerii birocratiei, prin facilitarea accesului la o platforma online dezvoltata prin implementarea unui sistem informatic la nivelul aparatului de specialitate al Consiliului Judetean Ilfov.OS1 - Implementarea unei solutii informatice la nivelul aparatului de specialitate al Consiliului Judetean Ilfov în vederea îmbunatatirii modului de acordare a serviciilor publice;OS2- Asigurarea capacitatii tehnice a Consiliului Judetean Ilfov în vederea oferirii serviciilor publice online prin achizitionarea, instalarea si operationalizarea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</si>
  <si>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1. Dezvoltarea si implementarea unor mecanisme si proceduri standard pe baza unei metodologii fundamentate pe analiza ex-post
a procesului decizional si a planificarii strategice la nivelul UAT-Judetul Ilfov în perioada 2014-2018
2. Dezvoltarea si implementarea unui program de formare având ca obiect planificarea strategica si fundamentarea deciziilor în
vederea întaririi capacitatii a 80 de angajati (demnitari, consilieri, personal de conducere si executie) ai UAT – Judetul Ilfov.</t>
  </si>
  <si>
    <t>Îmbunatatirea capacitatii administrative a Consiliului Judetean Ilfov si a institutiilor din subordine de a creste integritatea si preveni
coruptia in judetul Ilfov, prin implementarea unor mecanisme institutionale care sa faciliteze punerea în aplicare a cadrului legal în
domeniu si prin cresterea gradului de informare a cetatenilor cu privire rolul acestora in prevenirea faptelor de coruptie
Obiectivele specifice ale proiectului
1. Consolidatea integritatii, reducerea vulnerabilitatilor si a riscurilor de coruptie sau a incidentelor de integritate în cadrul institutiei,
prin implementarea procedurilor de management anticoruptie si certificarea în acord cu standardul ISO 37001 Sisteme de
management anti-mita la Consiliul Judetean Ilfov;
2. Implementarea unui mecanism de evaluare a riscurilor de coruptie în cadrul Consiliului Judetean Ilfov precum si identificarea
profilelor functiilor din cadrul aparatului public local supuse acestui risc
3. Îmbunatatirea cunostintelor si competentelor în domeniul prevenirii coruptiei, transparentei, eticii si integritatii personalului supus
riscurilor de coruptie, din cadrul Consiliului Judetean Ilfov precum si din cadrul UAT-urilor din judetul Ilfov.
4. Cresterea rolului comunitatilor locale din judetul Ilfov in prevenirea coruptiei prin informarea acestora cu privire la importanta si
impactul masurilor anti-coruptie</t>
  </si>
  <si>
    <t>Consolidarea capacitatii institutionale si eficientizarea activitatii la nivelul CJI în ceea ce priveste exercitarea atributiilor, prin
implementarea de masuri menite sa ajute la standardizarea modului de lucru si activitatilor specifice, la cresterea gradului de
interoperabilitate a sistemelor informatice si interconectare, atât din perspectiva back-office, cât si din perspectiva front office
Obiectivele specifice ale proiectului
1. OS 1: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</si>
  <si>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Obiectivul proiectului este implementarea si certificarea sistemului propriu de management al calitatii implementat în cadrul Consiliului Judetean Maramures, conform standardelor ISO 9001 – 2015.                                                                                                                                                                         1.Elaborarea documentelor necesare pentru realizarea, implementarea si certificarea unui sistem propriu de management al calitatii (SMC) implementat în cadrul Consiliului Judetean Maramures, conform standardelor ISO 9001 - 2015;
2. Instruirea unui numar de 160 persoane – aparatul propriu al Consiliului Judetean Maramures în utilizarea, mentinerea si dezvoltarea SMC, din care 3 functii de demnitate publica, 130 functii publice si 27 functii contractuale;
3. Realizarea unui sistem informatic suport al SMC cu adresabilitate întregului personal;
4. Instruirea unui numar minim de 20 persoane din aparatul propriu al Consiliului Judetean Maramures în utilizarea aplicatiilor
informatice din cadrul sistemului informatic suport.</t>
  </si>
  <si>
    <t>1. Elaborarea documentelor dezvoltarii pe perioada urmatoare a judetului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traditionala Consiliul Judetean Maramures, în perioada de implementare a
proiectului
3. Realizarea unui sistem informatic de tip portal informatic care sa asigure interfata on line pentru cetateni cu scopul reducerii
birocratiei si pentru furnizarea de informare /asistenta, formulare, primire solicitari, emitere documente, efectuarea plati
impozitelor si taxelor on line, inclusiv sistem informatic de gestiune a informatiilor geospatiale (GIS) în perioada de implementare
a proiectului.
4. Instruirea unui numar de 48 persoane – aparatul propriu al Consiliului Judetean Maramures în diverse teme legate de planificarea
strategica, urbanism si amenajarea teritoriului, politici publice, etc., în perioada de implementare a proiectului.</t>
  </si>
  <si>
    <t>Obiectivul general al proiectului
Îmbunatatirea proceselor si implementarea de masuri de simplificare a procedurilor administrative pentru cetateni în domeniul sociomedical.
Obiectivele specifice ale proiectului
1. OS 1. Furnizarea instrumentelor software de interactiune cu cetateanul în domeniul social si socio-medical
2. OS 2. Retrodigitizarea arhivei Municipiului Baia Mare
3. OS 3. Cresterea capacitatii administrative si facilitarea importului de bune practici în domeniul social si socio-medical</t>
  </si>
  <si>
    <t>Obiectivul general al proiectului consta în: consolidarea capacitatii administrative a Municipiului Sighetu Marmatiei în vederea cresterii
integritatii, reducerea vulnerabilitatilor la coruptie, cresterea transparentei si eticii prin dezvoltarea si implementarea unor masuri de
prevenire a coruptiei, aplicarea unitara a mecanismelor, procedurilor si normelor de etica si integritate, precum si prin îmbunatatirea
cunostintelor salariattilor în ceea ce priveste prevenirea coruptiei.                                                                                                                                                                    Obiectivele specifice ale proiectului
1. O.S.1. Consolidarea integritatii, reducerea vulnerabilitatilor si a riscurilor de coruptie în cadrul institutiei prin implementarea de
masurile preventive anticoruptie, respectiv dezvoltarea de proceduri operationale anticoruptie si implementarea sistemului de
management anti-mita ISO 37001.
2. O.S.2. Cresterea eficientei masurilor preventive anticoruptie prin identificarea riscurilor si vulnerabilitatilor si realizarea unui sondaj
privind perceptia în rândul cetatenilor si al personalului din cadrul institutiei cu privire la fenomenul coruptiei.
3. O.S.3. Cresterea gradului de constientizare a publicului si societatii civile cu privire la impactul fenomenului coruptiei, prin
derularea unei campanii de constientizare a publicului cu privire la coruptie.
4. O.S.4. Îmbunatatirea cunostintelor si competentelor unui numar de 75 de persoane din cadrul Primariei Sighetu Marmatiei,
personal de conducere si executie si alesi locali, prin organizarea unui program de formare/instruire în domeniul eticii,
transparentei, integritatii si a bunelor practici cu privire la prevenirea coruptiei.</t>
  </si>
  <si>
    <t xml:space="preserve">Obiectivul general al proiectului consta in consolidarea capacitații instituționale si eficientizarea activitații la nivelul Municipiului Drobeta
Turnu Severin prin simplificarea procedurilor administrative si reducerea birocratiei pentru cetațeni, implementând masuri din perspectiva
back-office si front-office pentru serviciile publice furnizate si asigurarea unei planificari urbane integrate, prin conjugarea eforturilor de
planificare specifica de nivel local si sectorial, pentru asigurarea unui proces decizional strategic, astfel încât sa se asigure corespondența
cu nevoile si exigențele de finanțare pentru perioada de programare a fondurilor europene 2021-2027.
Obiectivele specifice ale proiectului
1. OS.1. Elaborarea Strategiei Integrate de Dezvoltare Urbana. 
2. OS.2. Elaborarea Planului de Mobilitate Urbana Durabila. 
3. OS.3. Extinderea cunostintelor si abilitatilor personalului din Primaria Municipiului Drobeta Turnu Severin pentru aplicarea
procedurilor de prioritizare a proiectelor, de monitorizare a implementarii planurilor de actiune, de evaluare a rezultatelor acestora,
pentru documentele strategice elaborate si de instruire pentru folosirea aplicatiei informatice implementate. 
4. OS.4. Implementarea unor masuri de simplificare pentru cetateni, in corespondenta cu Planul integrat pentru simplificarea
procedurilor administrative aplicabile cetatenilor din perspectiva front-office, dar si back-office prin achizitia si implementarea unei
platforme integrate (portal) care va furniza digital fluxurile de lucru de baza din cadrul institutiei, în scopul eficientizarii procesarii
documentelor, evitarii întreruperilor ce pot aparea în fluxurile informationale ale institutiei, reducând astfel întârzierile în procesul
decizional cu impact asupra activitatilor operative si va asigura accesul online la serviciile publice gestionate de Municipiul
Drobeta Turnu Severin. </t>
  </si>
  <si>
    <t>Obiectivul general al proiectului vizeaza implementarea unui sistem informatic smart-city de digitalizare a proceselor de administrare a
documentelor, simplificarea procedurilor administrative, comunicarea online cu alte sisteme de creare de documente de la alte institutii,
eficientizarea activitatilor de tip back-office si planificare strategica pe termen lung, in vederea imbunatatirii calitatii si eficientei serviciilor
furnizate de administratia publica a Municipiului Orsova, judetul Mehedinti, din regiunea mai putin dezvoltata Sud-Vest Oltenia.
Proiectul este corelat cu obiectivul specific al apelului de proiecte CP13/2019 (POCA/661/2/1) deoarece urmareste, pentru regiunea mai
putin dezvoltata Sud-Vest Oltenia, implementarea masurilor de planificare strategica pe termen lung prin elaborare SIDU pentru
urmatoarea perioada de programare; masuri de simplificare a birocratiei prin dezvoltarea unor module software specifice domeniilor
partajate ale autoritati publice locale (de exemplu: harta interactiva (GIS), asistenta sociala, Politie locala si ordine publica, stare civila,
etc), digitalizarea poceselor de administrare a documentelor, dar si instruirea pe teme specifice de interes.
Proiectul contribuie la realizarea obiectivului general POCA 2014-2020 si sustine Axa prioritara 2 POCA: „Administratie publica si sistem
judiciar accesibile si transparente”, Obiectivul Specific 2.1. prin dezvoltarea strategiei de dezvoltare Municipiului, coroborata cu
implementarea de masuri de reducere a birocratiei si simplificare pentru cetateni, în perioada de implementare a proiectului si pregatirea a
circa 60 de persoane pentru o administratie performanta si eficienta la nivel local. Pe termen lung acestea contribuie la crearea unei
administratii locale performante, capabile sa ofere servicii performante si sa genereze dezvoltare socio-economica la nivelul comunitatii.
Realizarea celor 3 obiective specifice mentionate în sectiunea ”Obiective specifice” vor conduce la îndeplinirea obiectivului general al
proiectului.
Activitatile prevazute in cadrul acestuia contribuie semnificativ la atingerea obiectivelor programului si ai indicatorilor de realizare si
rezultat, în conformitate cu specificatiile din Ghidul Solicitantului pentru CP 13/2019 si corelate cu ”Planul integrat pentru simplificarea
procedurilor adminsitrative aplicabile cetatenilor” si cu ”Ghidul pentru planificarea si fundamentarea procesului decizional din adminsitratia
publica locala”:
- Elaborarea Strategiei Integrate de Dezvoltare urbana 2021 - 2027 contribuie la atingerea indicatorului de rezultat 5S18 si a
indicatorului de realizare 5S57, prin Activitatea 3
- Dezvoltarea si implementarea sistem informatic smart-city de digitalizare a proceselor de administrare a documentelor , un
portal care ofera acces la servicii online gestionate partajat de catre UAT, din perspectiva back-office si front-office si comunicarea online
cu alte sisteme de creare de documente de la alte institutii, contribuie la atingerea indicatorului de rezultat 5S20 si a indicatorului de
realizare 5S59, prin Activitatea 4
- Participarea la activitati de instruire specifica si certificarea a 60 de persoane din diferite departamente, servicii, contribuie la
atingerea indicatorilor POCA - 5S23 indicator de rezultat si 5S62 indicatorul de realizare si rezultat POCA R5, prin realizarea Activitatii 5
Proiectul raspunde obiectivului general II 1.5. propus prin Strategia pentru consolidarea administratiei publice 2014 - 2020 (SCAP) ”
Consolidarea transparentei procesului decizional”, deoarece prin proiect se stimuleaza dezvoltarea de parteneriate între administratia
publica locala si companiile IT în vederea crearii unor aplicatii de date deschise (aplicatii informatice de tip front-office si back-office) prin
care se faciliteaza accesul la servicii online pentru o mai buna implementare a regulilor transparentei procesului decizional.</t>
  </si>
  <si>
    <t>Cresterea calitatii serviciilor publice furnizate de catre Primaria Municipiului Tîrgu Mures cetatenilor prin îmbunatatirea sistemului de management al calitatii si performantei în concordanta cu Planul de actiuni pentru implementarea etapizata a managementului calitatii în autoritati si institutii publice 2016-2020.
Obiectivele specifice ale proiectului
1. Cresterea transparentei institutionale si a proceselor decizionale din cadrul municipiului Tîrgu Mures cu 20%, prin introducerea unui sistem unitar de mangement: ISO 9001:2015-Managementul calitatii
2. Cresterea calitatii serviciilor publice cu 20%, prin instruirea unui numar de 102 angajati cu functii de conducere din cadrul municipiului Tîrgu Mures în domeniul managementului calitatii.
3. Consolidarea sistemului de management al calitatii la nivelul municipiului Tîrgu Mures cu cel putin 20% - organizare 1 Conferinta privind managementul calitatii în administratia publica.</t>
  </si>
  <si>
    <t>Consolidarea capacitatii Primariei Municipiului Sighisoara de a asigura calitatea si accesul la serviciile publice oferite exclusiv de primarie prin simplificarea procedurilor administratiei locale si reducerea birocratiei pentru cetateni</t>
  </si>
  <si>
    <t>Consolidarea capacitații Consiliului Judetean Mures de a asigura calitatea si accesul la serviciile publice oferite prin simplificarea
procedurilor administrative si reducerea birocratiei pentru cetațeni.</t>
  </si>
  <si>
    <t>Obiectivul general al proiectului/Scopul proiectului
Imbunatatirea procesului de planificare strategica si implementarea de masuri de simplificare a procedurilor administrative pentru cetateni
Obiectivele specifice ale proiectului
1. Imbunatatirea procesului de planificare strategica si alocare a resurselor in cadrul Municipiului Reghin si facilitarea importului de
bune practici la nivel strategic în domeniile socio-medical si urbanistic
2. Îmbunatatirea procesului de planificare strategica – Actualizarea SIDU si elaborarea strategiei de Smart City a Municipiului
Reghin
3. Simplificarea interactiunii cetatenilor cu administratia publica locala prin implementarea de instrumente informatice de eGuvernare
în domeniul social si urbanistic.
4. Retrodigitizarea documentelor din arhiva fizica a Municipiului Reghin</t>
  </si>
  <si>
    <t>Obiectivul general al proiectului consta in consolidarea capacitatii institutionale si eficientizarea activitatii la nivelul Municipiului Târnaveni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urbanismului.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utilizarea solutiilor informatice implementate in cadrul proiectului</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</si>
  <si>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calitatii CAF si ISO, aplicabile administratiei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</si>
  <si>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Obiectivul general al proiectului consta consolidarea capacitatii institutionale si eficientizarea activitatii la nivelul Municipiului Roman, prin simplificarea procedurilor administrative si reducerea birocratiei pentru cetateni, implementând masuri din perspectiva back-office (adaptarea procedurilor interne de lucru, digitalizarea arhivelor), si front-office pentru serviciile publice furnizate.                                                                                                                                                                                                                                                                                                                                                                                                     OS1. Implementarea unor masuri de simplificare pentru cetateni, în corespondenta cu Planul integrat pentru simplificarea
procedurilor administrative aplicabile cetatenilor, atât din perspectiva back-office (adaptarea procedurilor interne de lucru,
digitalizarea arhivelor), cât si front-office.                                                                                                                                                                                                                                          OS2. Dezvoltarea cunostintelor si abilitatilor personalului din cadrul Municipiului Roman, în vederea sprijinirii masurilor vizate de proiect. Este avuta în vedere formarea/instruirea, evaluarea/testarea si certificarea competentelor/cunostintelor dobândite pentru 50 persoane din cadrul grupului tinta, în ceea ce priveste utilizarea solutiilor informatice implementate în cadrul proiectului (R3).</t>
  </si>
  <si>
    <t>Obiectivul general al proiectului vizeaza consolidarea capacitatii institutionale si eficientizarea activitatii la nivelul Municipiului Roman prin
dezvoltarea capacitatii de planificare strategica si prin continuarea procesului de simplificare a procedurilor administrative si reducerea
birocratiei pentru cetateni, implementând masuri din perspectiva back-office si front-office pentru serviciile publice furnizate aferente
competentelor partajate ale administratiei publice locale.
Obiectivele specifice ale proiectului
1. Dezvoltarea capacitatii necesare in vederea fundamentarii deciziilor si planificarii strategice pe termen lung, prin implementarea
de masuri si instrumente pentru planificare strategica, inclusiv elaborarea Planului strategic institutional pentru perioada 2021-
2023 si a Planului de mobilitate urbana durabila.
2.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Roman aferente competentelor partajate ale
administratiei publice locale.
3. Promovarea modernizarii administratiei Municipiului Roman prin specializarea angajatilor institutiei pe teme specifice proiectului
(management strategic si managementul schimbarii din perspectiva e-guvernare) ceea ce va determina motivarea si mobilizarea
acestora in directia inovatiei si in oferirea de servicii publice de calitate catre cetateni.</t>
  </si>
  <si>
    <t xml:space="preserve">Obiectivul general al proiectului este: sprijinirea masurilor de prevenire a coruptiei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coruptiei si a indicatorilor de evaluare în
autoritatile si institutiile publice
3. OS3: Îmbunatatirea cunostintelor si a competentelor personalului din Primaria Municipiului Caracal în ceea ce
priveste prevenirea coruptiei.
</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</si>
  <si>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capacitatii manageriale caracteristice unei administratii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competente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</si>
  <si>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Obiectivul general al proiectului îl reprezinta eficientizarea activitatii administratiei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capacitatii de a realiza o planificare strategica a Judetului Prahova bazata pe prioritizarea actiunilor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</si>
  <si>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Obiectivul general al proiectului consta in consolidarea capacitatii institutionale si eficientizarea activitatii la nivelul Municipiului Câmpina
prin simplificarea procedurilor administrative si reducerea birocratiei pentru cetateni, implementând masuri din perspectiva back-office
(adaptarea procedurilor interne de lucru, digitalizarea arhivelor) si front-office pentru serviciile publice furnizate.</t>
  </si>
  <si>
    <t>Consolidarea capacitatii institutionale a Primariei Municipiului Ploiesti prin monitorizarea si evaluarea continua a calitatii si performantei
administratiei locale în vederea optimizarii proceselor administrative ale primariei si adoptarea unor masuri de crestere a implicarii
cetatenilor în procesul de dezvoltare urbana si a transparentei actului administrativ, imbunatatirea mecanismelor de control, prin
implementarea unui sistem informatic inovativ de tip portal.
1. 1. Implementarea unor mecanisme si proceduri standard - Plan strategic institutional 2020 – 2021, pentru a creste
eficienta actiunilor adimintrative la nivelul Municipiului Ploiesti.
2. 2. Optimizarea proceselor administrative ale primariei prin implementarea unui sistem informatic integrat de management
al calitatii si performantei care sa asigure gestiunea, monitorizarea si evaluarea continua a calitatii si performantei administratiei
Municipiului Ploiesti.
3. 3. Simplificarea furnizarii serviciilor catre cetateni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Îmbunatatirea abilitatilor si cunostintelor personalului municipiului Ploiesti în domeniul utilizarii sistemelor informatice
dezvoltate prin proiect si totodata îmbunatatirea competentelor profesionale a unui numar de 50 persoane din diferite niveluri
ierarhice (personal de conducere si de executie) din cadrul Municipiului Ploiesti pe teme specifice (ex. planificare strategica,
planificare bugetara, politici locale, fundamentare, elaborare, implementare, monitorizare si evaluare a deciziilor la nivelul
administratiei publice locale, etc)</t>
  </si>
  <si>
    <t>Obiectivul general al proiectului este formularea unei propuneri de politica publica prin realizarea Strategiei Integrate de Dezvoltare
Urbana pentru perioada 2021-2027 si actualizarea PMUD 2014-2030, corelata cu modernizarea sistemului informatic existent precum si
cresterea performantei personalului angajat si deservirea cetatenilor.
Obiectivele specifice ale proiectului
1. Obiectiv specific 1: Definirea politicii locale a municipiului Ploiesti cu concursul tuturor factorilor cu aport în dezvoltarea locala,
concretizata prin adoptarea a 2 documente strategice: Strategiei Integrate de Dezvoltare Urbana pentru perioada 2021-2027 si
PMUD 2014-2030, corelat cu SIDU.
Pentru realizarea obiectivului specific 1 se are in vedere activitatea A2.Elaborarea si implementarea de politici si strategii la nivel
local. Rezultatul 1 si Rezultatul 2 contribuie la atingerea acestui obiectiv.
2. Obiectiv specific 2: Implementarea de masuri de eficientizare a proceselor de lucru specifice domeniului asistentei sociale, atât
din perspectiva back office, cât si din perspectiva front office.
Pentru realizarea obiectivului specific 2 se are in vedere activitatea A3. Simplificarea Procedurilor Administrative si Reducerea
Birocratiei pentru Cetateni. Rezultatul 3 contribuie la atingerea acestui obiectiv.
3. Obiectiv specific 3: Dezvoltarea abilitatilor personalului din cadrul Primariei Municipiului Ploiesti si al institutiilor subordonate
Primariei Ploiesti prin asigurarea formarii a 20 persoane din grupul tinta în domeniul SMART CITY MANAGEMENT, inclusiv prin
abordarea temelor de dezvoltare durabila, egalitate de sanse, nediscriminare si egalitate de gen
Pentru realizarea obiectivului specific 3 se are in vedere activitatea A4. Dezvoltarea abilitatilor pe teme specifice. Rezultatul 4
contribuie la atingerea acestuia.</t>
  </si>
  <si>
    <t>Cresterea transparentei, eticii si integritatii la nivelul Judetului Prahova, prin implementarea unor mecanisme care sa faciliteze punerea in
aplicare a cadrului legal in domeniul eticii si integritatii, imbunatatirea cunostintelor si a competentelor personalului propriu si a unitatilor
administrativ teritoriale din judet, precum si implementarea de mecanisme de cooperare cu societatea civila.
Obiectivele specifice ale proiectului
1. OS1: Sustinerea dezvoltarii si implementarii de mecanisme care sa faciliteze punerea în aplicare a cadrului legal în domeniul eticii
si integritatii la nivelul Consiliului Judetean Prahova.
2. OS2: Cultivarea si dezvoltarea cunostintelor, competentelor si abilitatilor personalului propriu din cadrul Consiliului Judetean
Prahova, prin participarea la programe de formare pentru prevenirea coruptiei si programe de formare privind etica si integritatea,
ce vor aborda inclusiv teme privind devoltarea durabila, egalitatea de sanse, nediscriminarea si egalitatea de gen.
3. OS3: Sustinerea dezvoltarii si implementarii unor mecanisme de cooperare cu societatea civila si alte autoritati/institutii
publice,prin organizarea unor grupuri de lucru si a unui instrument de informare si constientizare a cetatenilor, in vederea
implementarii masurilor anticoruptie.</t>
  </si>
  <si>
    <t>Dezvoltarea unui management performant si facilitarea accesului la servicii de asistenta sociala de calitate in judetul Prahova, prin
reducerea birocratiei, cresterea eficientei, transparentei si integritatii serviciilor oferite beneficiarilor ca urmare a implementarii unui Sistem
Informatic Suport pentru Acces la Servicii Sociale (SASS).
Obiectivele specifice ale proiectului
1. OS1. Simplificarea procedurilor, introducerea de instrumente digitale, accesul rapid la informatii, reducerea birocratiei pentru
beneficiarii serviciilor de asistenta sociala din judetul Prahova prin implementarea sistemului informatic de Suport pentru Accesul
la Servicii Sociale (SASS), la nivelul Consiliului Judetean Prahova.
2. OS2. Dezvoltarea cunostintelor si abilitatilor profesionale pentru 60 de persoane din GT pentru operarea si administrarea SASS.
Formarea celor 60 de persoane va cuprinde un modul de dezvoltare durabila, egalitate de sanse, nediscriminare si egalitate de
gen.</t>
  </si>
  <si>
    <t>Scopul proiectului consta în optimizarea proceselor si cresterea eficientei serviciilor publice gestionate partajat de catre Primaria
Municipiului Câmpina, prin punerea la dispozitie de servicii administrative si guvernare locala utilizând mijloace electronice prin
implementarea unui sistem informatic integrat cu functii de e-administratie si e-guvernare, elaborarea unei Strategii Integrate de
Dezvoltare Urbana pentru Municipiul Câmpina, precum si implementarea si certificarea unui sistem de management al calitatii - ISO 9001.
Obiectivele specifice ale proiectului
1. Mecanisme si proceduri standard implementate la nivel local - dezvoltarea unei Strategii Integrate de Dezvoltare Urbana
2. Sprijinirea introducerii de instrumente, procese de management la nivel local prin implementarea unui sistem de management al
calitatii si certificarea acestuia (ISO 9001)
3. Proceduri simplificate pentru reducerea birocratiei pentru cetateni la nivel local prin digitalizarea serviciilor gestionate partajat de
catre Primaria Municipiului Câmpina cu ajutorul unui Sistem Informatic Integrat în domeniile: ordinea si siguranta publica;
prevenirea si gestionarea situatiilor de urgenta la nivel local.
4. Dezvoltarea gradului de cunostinte si abilitati ale personalului din Primaria Municipiului Câmpina, în vederea sprijinirii
masurilor/actiunilor vizate de proiect prin intermediul unor cursuri de formare pentru serviciile digitalizate în cadrul proiectului,
pentru implementarea si folosirea sistemului de management al calitatii etc.</t>
  </si>
  <si>
    <t>Obiectivul general: Cresterea gradului de constientizare a pericolului pe care-l reprezinta actul de corupție la nivelul administratiei publice locale.
Obiectivele specifice ale proiectului:
1. Cresterea gradului de constientizare si a nivelului de educatie anticorupție pentru personalul din cadrul Consiliului Județean Salaj si pentru alesi locali din județ.
2. Prevenirea si combaterea coruptiei în cadrul Consiliului Județean Salaj prin constituirea si consolidarea cadrului procedural
existent.
3. Cresterea gradului de constientizare publica prin organizare campanii de educatie anticoruptie la nivelul institutiilor si serviciilor publice aflate în subordinea Consiliului Județean Salaj si la nivelul unitaților administrativ-teritoriale din Județul Salaj.</t>
  </si>
  <si>
    <t>Obiectivul general al proiectului: 
Consolidarea capacitatii Consiliului Judetean Salaj de a asigura calitatea si accesul la serviciile publice oferite exclusiv de institutie catre cetateni prin simplificarea procedurilor administratiei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birocratiei existente
2. Reducerea la maxim a fluxului clasic pe hârtie pentru urmatoarele servicii oferite exclusiv de Consiliul Judetean Salaj pentru: 
       a) Obtinere informatii despre concesionare/închieirere/vânzare bunuri proprietate publica sau privata
       b) Obtinere Acord prealabil lucrari în zona drumurilor judetene
       c) Obtinere Acord privind efectuarea de lucrari în cladirile de patrimoniu judetean
       d) Solicitare sprijin financiar cazuri sociale
       e) Comunicarea privind începerea lucrarilor de construire/desfiintare
       f) Comunicarea privind încheierea executiei lucrarilor de construire/desfiintare
       g) Licenta de transport
3. Furnizarea unui canal îmbunatatit de comunicatie informationala pentru cetateni
4. Simplificarea fluxurilor interne prin eliminarea unor acte doveditoare eliberate deja de catre institutie
5. Elaborarea unui instrument de management si evaluare a performantei institutionale privind serviciile livrate prin înfiintarea
canalului de comunicatie nou reprezentat de portalul de servicii electronice
6. Îmbunatatirea accesului la informatii prin up-gradarea site-ului web al institutiei pentru a fi receptiv, intuitiv si accesibil persoanelor
cu dizabilitati
7. Elaborarea unui instrument extranet pentru confirmarea veridicitatii actelor emise de institutie
8. Cresterea eficientei serviciilor oferite prin instruirea a cel putin 70 de angajati din aparatul propriu al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</si>
  <si>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Calitatii si Performantei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</si>
  <si>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implementarea unitara a instrumentelor de planificare strategica si financiara care sa susțina fundamentarea deciziilor privind politicile
publice adoptate, prioritizarea investitiilor realizate în diverse sectoare cât si dezvoltarea institutionala.
Obiectivele specifice ale proiectului
1. Evaluarea gradului de implementare a Strategiei de dezvoltare a judetului Salaj pentru perioada 2015-2020, suport pentru
elaborarea noii strategii având ca temei orientarea pe rezultate si performanta - întarirea rolului monitorizarii si evaluarii sistemului
de indicatori;
2. Dezvoltarea capacitatii instituționale în elaborarea de criterii de prioritizare a investitiilor în diverse sectoare: infrastructura,
sanatate, educatie si asistenta sociala, pentru realizarea bugetului aferent anului 2021 si 2022.
3. Sustinereaunui management performant la nivelul Consiliului Judetean Salaj prin dezvoltarea capacitatii de planificare strategica
si de fundamentare a deciziilor pentru elaborarea Strategiei de Dezvoltare a Judetului Salaj pentru perioada 2021-2027.</t>
  </si>
  <si>
    <t>OBIECTIV GENERAL: Introducerea si extinderea de sisteme si standarde comune în administratia publica locala ce optimizeaza procesele orientate catre beneficiari în concordanta cu SCAP.
OS 1. Introducerea utilizarii de instrumente de management ale calitatii si performantei (ISO9001:2015) în cadrul Serviciului public Politia Locala Satu Mare, Centrul Cultural ”G.M.Zamfirescu”, Teatrul de Nord Satu Mare si Filarmonica "Dinu Lipatti" Satu Mare.
OS 2. Sprijin privind tranzitia de la instrumentul de management ale calitatii si performantei ISO9001:2008 la ISO9001:2015 în cadrul Primariei Municipiului Satu Mare si Directia de Evidenta a Persoanelor a municipiului Satu Mare.
OS 3. Dezvoltarea abilitatilor unui numar de 50 de angajati privind sistemul de management al calitații, din cadrul institutiilor publice locale implicate în derularea proiectului.</t>
  </si>
  <si>
    <t>Obiectivul general al proiectulu
Dezvoltarea si implementarea de masuri de simplificare privind serviciile furnizate catre cetatenii municipiului Satu Mare în scopul
reducerii birocratiei, respectiv sprijinirea Primariei municipiului Satu Mare pentru a implementa masuri de simplificare pentru cetateni în
corespondenta cu Planul integrat pentru simplificarea procedurilor administrative aplicabile cetatenilor. Prin realizarea obiectivului general vor fi îmbunatatite procedurile adminsitrative, respectiv se va facilita accesul la serviciile publice, prin digitalizarea acestora. Prin planul sau de activitati proiectul actioneaza în scopul utilizarii celor mai eficiente instrumente de lucru. Metodologia de implementare are în
vedere interdependentele dintre activitati, la nivelul diagramei Gantt, precum si interdependentele raportate la durata de implementare si la capacitatea resurselor alocate.
Obiectivele specifice ale proiectului
1. Digitalizare si implementare solutii soft în vederea simplicarii procedurilor catre cetateni prin migrarea serviciilor de tip ”analog”
(hârtie, apel telefonic, deplasare personala) pe platforme digitale: desktop (site) si mobile (app);
2. Dezvoltarea si extinderea sistemelor existente, interconectarea tuturor serviciilor într-o singura platforma de ”self-care” precum si
deschiderea mai larga catre cetateni, introducând servicii specifice pentru nevazatori / cetateni cu deficiente de vedere sau de alt
tip;
3. Digitalizarea proceselor de administrare a documentelor necesare prin interconectarea sistemelor de backoffice (sistem de
incasari, managementul documentelor) pentru a facilita functionarea platformei publice;</t>
  </si>
  <si>
    <t>Obiectivul general al proiectului consta in consolidarea capacitatii institutionale si eficientizarea activitatii la nivelul Municipiului Carei prin
planificare strategica si continuarea simplificarii procedurilor administrative si reducerea birocratiei pentru cetateni, implementând masuri
din perspectiva back-office (adaptarea procedurilor interne de lucru, digitalizarea arhivelor) si front-office pentru serviciile publice furnizate
aferente competentelor partajate ale administratiei publice locale.
Obiectivele specifice ale proiectului
1. OS1: Dezvoltarea capacitatii necesare in vederea fundamentarii deciziilor si planificarii strategice pe termen lung, prin elaborarea
Strategiei Integrate de Dezvoltare Urbana a Municipiului Carei 2021-2027 si a Planului de Mobilitate Urbana Durabila 2021-2027
2. OS2: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Carei din domeniul urbanismului si
asistentei sociale.
3. OS3: Dezvoltarea cunostintelor si abilitatilor personalului din cadrul Municipiului Carei, in vederea sprijinirii masurilor vizate de
proiect. Este avuta in vedere formarea/instruirea, evaluarea/testarea si certificarea competentelor/cunostintelor dobândite pentru
33 persoane din cadrul grupului tinta, in ceea ce priveste utilizarea solutiilor informatice implementate in cadrul proiectului.</t>
  </si>
  <si>
    <t>Obiectivul general al proiectului/Scopul proiectului
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</si>
  <si>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Obiectivul general al proiectului consta în consolidarea capacitatii administrative a Primariei Municipiului Carei, din Regiunea mai putin
dezvoltata Nord-Vest, prin implementarea si utilizarea a doua sisteme unitare de management al calitatii si performantei aplicabile
administratiei publice locale, respectiv ISO 9001:2015 si CAF 2020, precum si îmbunatatirea cunostintelor si a competentelor personalului.
Obiectivele specifice ale proiectului
1. O.S. 1 - Implementarea si utilizarea instrumentului de auto-evaluare de tip CAF 2020 (Cadrul comun de autoevaluare a modului
de functionare a institutiilor publice) la nivelul UAT Municipiul Carei pentru cresterea performantei în administratia publica locala si
îmbunatatirea serviciilor publice pentru comunitate.
2. O.S. 2 - Implementarea si certificarea sistemului de management al calitatii ISO 9001:2015 în UAT Municipiul Carei pentru o
administratie publica eficienta, transparenta si adaptata nevoilor comunitatii locale.
3. O.S. 3 - Dezvoltarea cunostintelor si abilitatilor unui numar de 20 de persoane (angajati si alesi locali) de la nivelul UAT Municipiul
Carei în vederea utilizarii unui management al calitatii si performantei la nivelul autoritatii publice locale.</t>
  </si>
  <si>
    <t>Introducerea de standarde si sisteme comune in administratia publica locala ce optimizeaza procesele catre beneficiari în concordanta cu
SCAP, elaborarea PMUD 2023-2030 în scopul obtinerii de finantari aferente perioadei 2021-2027. Obiectivul general al proiectului
contribuie la cresterea calitatii procesului decizional la nivelul administratiei publice locale a UAT Municipiul Satu Mare.
Obiectivele specifice ale proiectului
1. Elaborarea Planului de Mobilitate Urbana Durabila a Municipiului Satu Mare 2023-2030, având în vedere contextul pregatirii
noului cadru strategic multianual de programare 2021-2027, dar si în contextul noilor tendinte de dezvoltare a mobilitatii urbane .</t>
  </si>
  <si>
    <t>OBIECTIV GENERAL: Îmbunatatirea capacitatii administrative a Consiliului Judetean Sibiu de a creste integritatea si preveni coruptia, prin dezvoltarea si implementarea unui standard de integritate, prin dezvoltarea si implementarea unui mecanism de cooperare cu societatea civila si prin cresterea nivelului de educatie anticoruptie a personalului din cadrul institutiei.
Obiectivele specifice ale proiectului
1. OBIECTIV SPECIFIC 1: Dezvoltarea unui standard de integritate, ca mecanism aplicabil la nivelul CJ Sibiu, în corespondenta cu SNA 2016-2020 si raportat la SCAP, prin Elaborarea a minimum 5 politici si proceduri operationale/de sistem, cu indicatorii aferenti si prin dezvoltarea unui sistem de avertizare a iregularitatilor si a posibilelor fapte de coruptie la nivelul institutiei publice.
2. OBIECTIV SPECIFIC 2: Implementarea unui standard de integritate, mecanism aplicabil în cadrul CJ Sibiu în vederea cresterii integritatii si reducerii vulnerabilitatii la coruptie, implementat prin Hotarâre de CJ, cu ajutorul unui manual de implementare elaborat în cadrul proiectului.
3. OBIECTIV SPECIFIC 3: Dezvoltarea si implementarea unui mecanism de cooperare cu societatea civila pentru monitorizarea si evaluarea implementarii masurilor anticoruptie la nivelul CJ Sibiu, în scopul monitorizarii si evaluarii implementarii masurilor anticoruptie aplicabile la nivel de institutiei, în corelare cu Strategia Nationala Anticoruptie 2016-2020.
4. OBIECTIV SPECIFIC 4: Cresterea nivelului de educatie anticoruptie în rândul personalului de conducere si executie din cadrul institutiei CJ Sibiu, prin organizarea de cursuri de formare/ perfectionare în domeniul prevenirii coruptiei, eticii si integritatii.</t>
  </si>
  <si>
    <t>Obiectiv general:Dezvoltarea si implementarea unui Sistem de Management al Calitatii si Performantei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capacitatii institutionale.                 OBIECTIV SPECIFIC 1: Standardizarea proceselor de lucru la nivelul Consiliului Judetean Sibiu, asigurarea eficientizarii acestora
si corelarii între sistemul de management al performantei si calitatii cu sistemul de control intern managerial existent la nivelul
institutiei, în scopul optimizarii proceselor orientate catre beneficiari în concordanta cu SCAP si consolidarii capacitatii
institutionale a CJ Sibiu.
2. OBIECTIV SPECIFIC 2: Actualizarea si extinderea sistemului informatic de management al proceselor si documentelor la nivelul
Consiliului Judetean Sibiu, prin includerea de facilitati inovative, în vederea dezvoltarii si consolidarii unui Sistemul de
Management al Calitatii si Performantei unitar si eficient care va contribui la optimizarea proceselor orientate catre beneficiari în
concordanta cu SCAP.
3. OBIECTIV SPECIFIC 3: Îmbunatatirea cunostintelor si abilitatilor a 80 de persoane, reprezentând personalul din cadrul Consiliului
Judetean Sibiu privind implementarea, respectarea si actualizarea continua a standardelor de management al calitatii, prin
sesiunile de formare profesionala clasica si e-learning, actiuni de networking si schimb de bune practici, în vederea sprijinirii
masurilor si actiunilor prevazute de OS2.1 si implicit de proiect pentru optimizarea proceselor orientate catre beneficiari.</t>
  </si>
  <si>
    <t>Obiectivul general al proiectului este cresterea calitatii actului administrativ la nivelul Municipiului Sibiu, prin abordarea sistematica a doua
elemente cheie care asigura aceasta crestere de calitate.Obiectivele specifice ale proiectului
1. OBIECTIVUL SPECIFIC 1: Dezvoltarea sistemului de management al calitatii la Primaria Municipiului Sibiu pe baza autoevaluarii,
planificarii remediilor pentru cresterea calitatii si standardizarii proceselor si activitatilor, prin utilizarea de instumente standard
recomandate la nivel international (ISO9001:2015), european (CAF) si national („Planul de actiuni pentru implementarea etapizata
a managementului calitatii în autoritati si institutii publice 2016-2020”).
2. OBIECTIVUL SPECIFIC 2: Cresterea accesului online la serviciile publice gestionate de Primaria Municipiului Sibiu si institutiile
din subordinea sa, în vederea reducerii birocratiei pentru cetateni la (a) solicitarea si primirea în mod automatizat a unor
documente, certificate, autorizatii si avize, (b) efectuarea de plati pentru servicii publice, taxe si impozite locale si (c) cresterea
accesibilitatii registraturii prin dezvoltarea unui sistem non-stop de auto-înregistrare a documentelor depuse de cetateni.
3. OBIECTIVUL SPECIFIC 3: Îmbunatatirea proceselor de management al documentelor curente si arhivate prin extinderea solutiei
digitale de administrare a documentelor nou create si dezvoltarea arhivei electronice, în vederea eliminarii erorilor si scurtarii
timpului de asteptare pentru cetateni pentru orice eliberare a oricarui document sau raspuns
4. OBIECTIVUL SPECIFIC 4: Cresterea nivelului de competenta a personalului Primariei Municipiului Sibiu si a institutiilor
subordonate CL pentru cresterea calitatii serviciilor locale prin implementarea corecta a sistemelor de management al calitatii si
gestionarea eficienta a solutiilor informatice care permit reducerea birocratiei.a unor interfete prietenoase de interactiune cu cetatenii si scaderea poverii administrative la nivelul acestora, cât si prin scaderea
poverii administrative si a timpului de prelucrare a documentelor la nivelul autoritatii publice locale, ceea ce va scadea corelativ timpul de
asteptare al cetatenilor pentru furnizarea unui serviciu public si va elimina erori generate de gestionarea unui numar mare de documente
înregistrate exclusiv pe hârtie (pentru care mecanismele de verificare se bazeaza exclusiv pe atentia umana).</t>
  </si>
  <si>
    <t>Obiectivul general: Optimizarea proceselor orientate catre beneficiari în concordanta cu SCAP în cadrul administratiei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Judetean Sibiu, prin dezvoltarea de mecansisme de participare publica, prioritizare a investitiilor si prin desfasurarea unui
exercitiu amplu de planificare strategica si a politicilor publice permitând atât fundamentarea solida a tuturor investitiilor si
deciziilor în perioada 2020-2030, cât si cresterea nivelului de competenta la nivelul insitutiei printr-o învatare experientiala.
2. OBIECTIVUL SPECIFIC 2: Cresterea accesului online la serviciile publice gestionate de Consiliul Judetean Sibiu si institutiile din
subordinea sa în vederea reducerii birocratiei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competenta a personalului Consiliului Judetean Sibiu si a institutiilor
subordonate în vederea si pentru gestionarea eficienta a solutiilor informatice care permit simplificare si reducerea birocratiei
pentru cetateni.</t>
  </si>
  <si>
    <t>Obiectivul general al proiectului consta în dezvoltarea urbana durabila a Municipiului Sibiu prin asigurarea unei planificari strategice
coerente si integrate.
Obiectivele specifice ale proiectului
1. Îmbunatațirea planificarii strategice si a mobilitații la nivelul municipiului Sibiu prin elaborarea Strategiei Integrate de Dezvoltare
Urbana si actualizarea Planului de Mobilitate Urbana Durabila. Obiectivul specific este în corelare cu Activitatile 3 si 4, respectiv
cu Rezultatul de proiect 1.
2. Extinderea cunostințelor si abilitaților personalului din Municipiul Sibiu în domeniul planificarii strategice, a procedurilor de
prioritizare a proiectelor si de monitorizare a implementarii planurilor de actiune pentru documentele strategice elaborate.
Obiectivul specific este în corelare cu Activitatea 5 si cu Rezultatul de proiect 2.</t>
  </si>
  <si>
    <t>Cresterea capacitații administrative de la nivelul Consiliului județean Sibiu prin introducerea de sisteme informatice menite sa duca la
simplificarea proceselor interne, inclusiv în relația cu cetatenii județului, in concordanta cu SCAP
Obiectivele specifice ale proiectului
1. Gestionarea eficienta a datelor de la nivel judetean prin implementarea solutiei Geographical Information System, cu precadere în
vederea eficientizarii furnizarii de servicii urbanistice de calitate de catre Consiliul Judetean Sibiu</t>
  </si>
  <si>
    <t>Obiectivul general al proiectului propus spre finantare este consolidarea capacitatii institutionale a beneficiarului de a asigura calitatea si
accesul la serviciile publice oferite partajat de Primarie prin simplificarea procedurilor administratiei locale, reducerea birocratiei pentru
cetateni si eficientizarea activitatii personalului de specialitate si a alesilor locali.
Obiectivul general al proiectului este în concordanta cu obiectivul specific 2.1 al POCA, respectiv: "Introducerea de sisteme si standarde
comune în administratia publica locala ce optimizeaza procesele orientate catre beneficiari în concordanta cu SCAP".
Implementarea proiectului va contribui la atingerea obiectivului general II al SCAP: „Implementarea unui management performant în
administratia publica”, respectiv a Obiectivului specific II.1 – Cresterea coerentei, eficientei, predictibilitatii si transparentei procesului
decizional în administratia publica.
Proiectul va contribui la asigurarea de instrumente care sa contribuie la abordarea coerenta si coordonata a aspectelor referitoare la
procesul decizional, resursele umane, tehnologia informatiei, procesele interne, asigurarea calitatii si cercetarea si inovarea, ca premise
ale dezvoltarii viitoare, având un rol important în atingerea obiectivului specific II.1.4 – Cresterea calitatii procesului decizional la nivelul
administratiei publice locale, pentru a raspunde în mod fundamentat si coerent nevoilor comunitatii locale.
Obiectivele specifice ale proiectului
1. OS 2 Realizarea unor seturi de Proceduri simplificate pentru reducerea birocratiei pentru cetateni la nivel local corelate cu Planul
integrat de simplificare a procedurilor administrative pentru cetateni implementate
2. OS 2.4: Cresterea nivelului de Cunostinte si abilitati ale personalului UAT Medias, în vederea sprijinirii masurilor/actiunilor vizate
de acest obiectiv specific.</t>
  </si>
  <si>
    <t xml:space="preserve">1. Implementarea unor masuri de simplificare a procedurilor administrative pentru cetateni, în corespondenta cu Planul Integrat
pentru simplificarea procedurilor administrative aplicabile cetatenilor, atât din perspectiva back-office (adaptarea procedurilor
interne de lucru, digitalizarea arhivelor), cât si front-office.
2. Dezvoltarea cunostintelor si abilitatilor personalului din cadrul Primariei Municipiului Suceava, în vederea sprijinirii masurilor vizate
de proiect.
</t>
  </si>
  <si>
    <t>Obiectivul general al proiectului
Obiectivul general al proiectului consta in consolidarea capacitatii institutionale si eficientizarea activitatii la nivelul Municipiului Câmpulung Moldovenesc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necesare in vederea fundamentarii deciziilor si planificarii strategice pe termen lung, prin elaborarea
Strategiei Integrate de dezvoltare urbana a Municipiului Câmpulung Moldovenesc 2021-2027 in conformitate cu cadrul financiar
multianual 2021-2027, inclusiv Planul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competentele partajate, în cadrul Primariei Municipiului Câmpulung Moldovenesc.
3. OS3. Dezvoltarea cunostintelor si abilitatilor personalului din cadrul Municipiului Câmpulung Moldovenesc,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</si>
  <si>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Obiectivul general al proiectului consta in consolidarea capacitatii institutionale si eficientizarea activitatii la nivelul Municipiului Falticeni
prin planificare strategica, simplificarea procedurilor administrative si reducerea birocratiei pentru cetateni, implementând masuri din
perspectiva back-office (optimizarea procedurilor interne de lucru, digitalizarea arhivelor) si front-office pentru serviciile publice furnizate.
Obiectivele specifice ale proiectului
1. OS1. Dezvoltarea capacitatii necesare in vederea fundamentarii deciziilor si planificarii strategice pe termen lung, prin elaborarea
Planului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competentele partajate, în cadrul Primariei Municipiului Falticeni.
3. OS3. Dezvoltarea cunostintelor si abilitatilor personalului din cadrul Municipiului Falticeni,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</si>
  <si>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Obiectivul general al proiectului vizeaza consolidarea capacitatii administrative la nivelul UAT - Judetul Suceava, în vederea realizarii
obiectivelor de dezvoltare a judetului Suceava, în concordanta cu limitele strategice europene, nationale si regionale si crearea de masuri
de simplificare pentru cetateni in concordanta cu SCAP.
Proiectul propus spre finantare se incadreaza in Axa prioritara 2 – Administratie publica si sistem judiciar accesibile si transparente,
obiectivul specific 2.1 – Introducerea de sisteme si standarde comune in administratia publica locala ce optimizeaza procesele orientate
catre beneficiari in concordanta cu SCAP.</t>
  </si>
  <si>
    <t>Obiectivul general al proiectului consta in consolidarea capacitatii institutionale si eficientizarea activitatii la nivelul Municipiului Vatra
Dornei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necesare in vederea fundamentarii deciziilor si planificarii strategice pe termen lung, prin elaborarea
Strategiei Integrate de Dezvoltare Urbana a Municipiului Vatra Dornei 2021-2027 in conformitate cu cadrul financiar multianual
2021-2027.
2. OS2. Implementarea unor masuri de simplificare pentru cetateni conform Planului integrat pentru simplificarea procedurilor
administrative aplicabile cetatenilor din perspectiva front-office si back-office. În acest sens este avuta în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informatiilor disponibile prin aplicarea principiului
înregistrarii "o singura data" a datelor – conceptul de identitate electronica a cetateanului; spatiul privat virtual al cetateanului în
relatia cu primaria.
3. OS3. Dezvoltarea cunostintelor si abilitatilor personalului din cadrul Municipiului Vatra Dornei,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</si>
  <si>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Obiectivul general al proiectului consta in continuarea masurilor de consolidare a capacitatii institutionale si eficientizarea activitatii la
nivelul Primariei Municipiului Câmpulung Moldovenesc, prin introducerea utilizarii de instrumente de management al calitatii si
performantei în administratia publica locala, în concordanta cu Planul de actiuni pentru implementarea etapizata a managementului
calitatii în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implementând masuri din perspectiva back-office (adaptarea procedurilor interne delucru, digitalizarea arhivelor) si front-office pentru serviciile publice furnizate, aferente competentelor exclusive ale primariei.</t>
  </si>
  <si>
    <t>Obiectivul general al proiectului consta in continuarea masurilor de consolidare a capacitatii institutionale si eficientizarea activitatii la
nivelul Municipiului Vatra Dornei prin introducerea utilizarii de instrumente de management al calitatii si performantei în administratia
publica locala, în concordanta cu Planul de actiuni pentru implementarea etapizata a managementului calitatii în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implementând masuri din perspectiva back-office (adaptarea procedurilor interne de lucru) si front-office pentru serviciile
publice furnizate aferente competentelor exclusive ale primariei.
Obiectivele specifice ale proiectului
1. OS1. Introducerea utilizarii de instrumente de management al calitatii si performantei în administratia publica locala, în
concordanta cu Planul de actiuni pentru implementarea etapizata a managementului calitatii în autoritati si institutii publice 2016-
2020, respectiv CAF si BSC – aferente Rezultatului de program 2.
2. OS2.Extindere masuri de simplificare pentru cetateni conform Planului integrat pentru simplificarea procedurilor administrative
aplicabile cetatenilor din perspectiva front-office si back-office pentru serviciile publice furnizate aferente competentelor exclusive
ale primariei. În acest sens, este avuta în vedere achizitia si implementarea unor module informatice noi, care vor acoperi
necesitatile institutiei pentru servicii electronice complete vizând competentele exclusive ale primariei. Modulele informatice care
vor fi achizitionate vor viza atât zona de front-office, cât si zona de back-office si vor fi asigura interoperabilitatea si integrarea cu
celelalte sisteme informatice ale primariei . Solutiile pentru servicii electronice aferente competentelor exclusive ale primariei vor
respecta principiile: one stop shop pentru livrarea de servicii publice electronice; utilizarea inteligenta a informatiilor disponibile
prin aplicarea principiului înregistrarii "o singura data" a datelor – conceptul de identitate electronica a cetateanului; spatiul privat
virtual al cetateanului în relatia cu primaria – aferente Rezultatului de program 3 (competente exclusive).
3. OS3. Dezvoltarea cunostintelor si abilitatilor personalului din cadrul Municipiului Vatra Dornei, in vederea sprijinirii masurilor vizate
de proiect. Este avuta in vedere formarea/instruirea, evaluarea/testarea si certificarea competentelor/cunostintelor dobândite
pentru 90 de persoane (personal de conducere, de executie si alesi locali), din care 15 persoane pentru BSC si 45 de persoane
pentru CAF, precum si 30 de persoane din cadrul grupului tinta in ceea ce priveste utilizarea solutiilor informatice implementate in
cadrul proiectului – aferente Rezultatului de program 5.</t>
  </si>
  <si>
    <t>Obiectivul general al proiectului consta in continuarea masurilor de consolidare a capacitatii institutionale si eficientizarea activitatii la
nivelul Primariei Municipiului Falticeni, prin introducerea utilizarii de instrumente de management al calitatii si performantei în administratia publica locala, în concordanta cu Planul de actiuni pentru implementarea etapizata a managementului calitatii în autoritati si institutii publice 2016-2020, respectiv CAF (Cadrul Comun de Autoevaluare a modului de functtionarea instituttiilor publice) si BSC (Balanced
Scorecard – sistem de management strategic), si extinderea masurilor de simplificare a procedurilor administrative si reducerea birocratiei
pentru cetateni, implementând masuri din perspectiva back-office (adaptarea procedurilor interne de lucru, digitalizarea arhivelor) si frontoffice pentru serviciile publice furnizate, aferente competentelor exclusive ale primariei.
Obiectivele specifice ale proiectului
1. OS1. Introducerea utilizarii de instrumente de management al calitatii si performantei în administratia publica locala, în
concordanta cu Planul de actiuni pentru implementarea etapizata a managementului calitatii în autoritati si institutii publice 2016-
2020, respectiv CAF si BSC – aferente Rezultatului de program 2.
2. OS2. Extinderea masurilor de simplificare pentru cetateni conform Planului integrat pentru simplificarea procedurilor
administrative aplicabile cetatenilor din perspectiva front-office si back-office pentru serviciile publice furnizate aferente
competentelor exclusive ale primariei. În acest sens, este avuta în vedere achizitia si implementarea unor module informatice noi
care vor acoperi necesitatile institutiei pentru servicii electronice complete vizând competentele exclusive ale primariei. Modulele
informatice care vor fi achizitionate vor viza atât zona de front-office, cât si de back-office si vor fi asigura interoperabilitatea si
integrarea cu celelalte sisteme informatice ale primariei. Solutiile pentru servicii electronice aferente competentelor exclusive ale
primariei vor respecta principiile: one stop shop pentru livrarea de servicii publice electronice; utilizarea inteligenta a informatiilor
disponibile prin aplicarea principiului înregistrarii "o singura data" a datelor – conceptul de identitate electronica a cetateanului;
spatiul privat virtual al cetateanului în relatia cu primaria – aferente Rezultatului de program 3 (competente exclusive).
3. OS3. Dezvoltarea cunostintelor si abilitatilor personalului din cadrul Primariei Municipiului Falticeni, in vederea sprijinirii masurilor
vizate de proiect. Este avuta in vedere formarea/instruirea, evaluarea/ testarea si certificarea competentelor/cunostintelor
dobândite pentru 120 de persoane (personal de conducere, de executie si alesi locali), din care 30 de persoane pentru BSC si 60
de persoane pentru CAF, precum si 30 de persoane, din cadrul grupului tinta, in ceea ce priveste utilizarea solutiilor informatice
implementate in cadrul proiectului – aferente Rezultatului de program 5;</t>
  </si>
  <si>
    <t>Obiectiv general: 
Obiectivul general al proiectului este îmbunatatirea capacitatii institutionale si de planificare strategica a administratiei publice din județul Teleorman, în vederea cresterii calitatii deciziilor si a dezvoltarii mecanismelor de fundamentare a initiativelor de politici publice la nivel județean.
Obiective specifice:
1- Elaborarea Strategiei de dezvoltare durabila a judetului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capacitatii de implementare eficienta a celor doua documente strategice</t>
  </si>
  <si>
    <t>Consolidarea capacitatii institutionale si eficientizarea activitatii la nivelul UAT Turnu Magurele în ceea ce priveste exercitarea atributiilor
exclusive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t>
  </si>
  <si>
    <t>Obiectivul general al proiectului vizeaza consolidarea capacitatii institutionale si eficientizarea activitatii la nivelul Primariei Municipiului
Alexandria în ceea ce priveste exercitarea atributiilor prevazute de OUG 57/2019 privind Codul Administrativ, prin implementarea de
masuri pentru îmbunatatirea procesului decizional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</si>
  <si>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Obiectivul general al proiectului consta in optimizarea proceselor orientate catre beneficiari si eficientizarea activitatii la nivelul Municipiului Rosiorii de Vede, prin simplificarea procedurilor administrative si reducerea birocratiei pentru cetateni, implementând masuri din perspectiva back-office (adaptarea procedurilor interne de lucru, digitalizarea arhivelor) si front-office pentru serviciile publice furnizate
pentru competentele partajate ale UAT.
Obiectivele specifice ale proiectului
1. OS1. Dezvoltarea, implementarea si certificarea unui sistem de management al calitatii, structurat pe baza cerintelor standardului
international ISO 9001:2015, care optimizeaza procesele orientate catre beneficiari in concordanta cu SCAP.
2. OS2. Implementarea unor masuri de simplificare pentru cetateni conform Planului integrat pentru simplificarea procedurilor
administrative aplicabile cetatenilor din perspectiva front-office si back-office. In acest sens este avuta in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Platforma integrata pentru servicii electronice este bazata pe implementarea urmatoarelor principii: one stop shop pentru livrarea
de servicii publice electronice; utilizarea inteligenta informatiilor disponibile prin aplicarea principiului inregistrarii "o singura data" a
datelor – conceptul de identitate electronica a cetateanului; spatiul privat virtual al cetateanului in relatia cu primaria.
3. OS3. Dezvoltarea cunostintelor si abilitatilor personalului din cadrul Municipiului Rosiorii de Vede, in vederea sprijinirii masurilor
vizate de proiect. Este avuta in vedere formarea/instruirea, evaluarea/testarea si certificarea competentelor/cunostintelor
dobândite pentru 131</t>
  </si>
  <si>
    <t>Obiectivul General.
Dezvoltarea unui management performant la nivelul Municipiului Lugoj, în vederea cresterii calitații, eficienței, transparenței si integritații
serviciilor publice oferite cetațenilor, institutiilor administrației publice centrale si locale, operatorilor economici privați si organismelor
neguvernamentale cu care relaționeaza în spiritul dezvoltarii durabile, egalitații de sanse, securitații si sanatatii ocupaționale, prin
implementarea standardului ISO 9001/2015, precum si integrarea coroborata cu restul procedurilor din cadrul institutiei.
Obiectivele specifice ale proiectului
1. OS.1. Îmbunatatirea furnizarii serviciilor publice la nivelul Primariei Municipiului Lugoj prin implementarea Sistemului de Management al Calitatii;
2. OS.2. Dezvoltarea cunostintelor si abilitatilor profesionale grupului tinta prin participarea la cursuri;
3. OS.3. Cresterea transparentei actului public prin organizarea unor actiuni de diseminare a rezultatelor proiectului, cuprinzând si module de dezvoltare durabila si egalitate de sanse.</t>
  </si>
  <si>
    <t>Activitatile desfasurate, rezultatele si obiectivele proiectului conduc la îndeplinirea obiectivului general al acestuia, respectiv cresterea
nivelului de transparenta, etica si integritate în cadrul administratiei publice locale a Municipiului Timisoara, în conformitate cu obiectivul
specific 2.2 al POCA si obiectivul tematic 11, prioritatea de investitii 11i a Fondului Social European. 
Obiectivele specifice ale proiectului
1. Cresterea nivelului de cunoastere si asumare a legislatiei nationale si prevederilor europene în ceea ce priveste prevenirea si combaterea coruptiei si fenomenelor asociate.
2. Cresterea gradului de implicare a personalului administratiei publice locale si a cetatenilor în ceea ce priveste masurile adoptate la nivel national pentru combaterea coruptiei.
3. Aplicarea coerenta si sistematica a masurilor adoptate la nivel local, national si european în domeniul eticii si integritatii în sistemele publice.</t>
  </si>
  <si>
    <t>Cresterea capacitatii de planificare strategica si de fundamentare a deciziilor de dezvoltare economico-sociala si de mediu a judetului la
nivelul Consiliului Judetean Timis
Obiectivele specifice ale proiectului
1. Elaborarea Strategiei de Dezvoltare a Judetului Timis pentru perioada 2021-2027
2. Elaborarea Strategiei de Eficienta energetica pentru perioada 2021-2027</t>
  </si>
  <si>
    <t>Obiectivul general al proiectului
Cresterea calitatii si transparentei procesului administrativ la nivelul Municipiului Lugoj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de asistenta
sociala ale administratiei publice locale
Obiectivele specifice ale proiectului
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Lugoj din domeniul de interes asistenta sociala
2. Cresterea nivelului de pregatire, cunostinte si abilitati ale personalului din cadrul Primariei atat in domenii specifice, cat si in
utilizarea si administrarea sistemelor informatice</t>
  </si>
  <si>
    <t>Obiectivul general al proiectului este eficientizarea administratiei publice a Municipiului Timisoara, prin planificarea strategica si
implementarea mecanismului de digitalizare integrata a procesului participativ si decizional in relatia cu cetatenii.
Prin activitatile desfasurate, rezultatele proiectului conduc la indeplinirea obiectivului general al acestuia, si implicit la obiectivul specific 2.1
"Introducerea de sisteme si standarde comune în administratia publica locala ce optimizeaza procesele orientate catre beneficiari în
concordanta cu SCAP" respectiv debirocratizarea si simplificarea pentru cetateni si consolidarea capacitatii administratiei publice de a
asigura calitatea si accesul la serviciile publice.
Obiectivele specifice ale proiectului
1. Analiza nivelului de participare publica a cetatenilor din Municipiul Timisoara si elaborarea strategiei de eficientizare a participarii
publice pentru o guvernare deschisa.
2. Debirocratizarea si simplificarea interactiunilor cetatenilor si operatorilor economici cu Primaria Municipiului Timisoara prin
crearea unui portal virtual de interactiune.
3. Cresterea performantei aparatului de specialitate al Primariei Municipiului Timisoara, prin formarea angajatilor in ceea ce priveste
- modul de aplicare a recomandarilor din strategia de eficientizare a participarii publice, inclusiv comunicarea si relationarea cu
cetatenii
- folosirea instrumentelor digitale create în cadrul acestui proiect ( infrastructura de identitate digitala pentru informarea si
consultarea cetatenilor in relatia cu administratia locala).
4. Retrodigitalizarea arhivei Primariei Municipiului Timisoara, a cel putin 5000 unitati arhivistice (bibliorafturi).</t>
  </si>
  <si>
    <t>Obiectivul general/ Scopul Proiectului:
- Dezvoltarea unei platforme software de interoperabilitate pentru interactiunea digitala cu beneficiarii serviciilor/partenerii Consiliului
Judetean Timis având ca scop reducerea timpilor alocati proceselor specifice întreprinse cu acestia si oferirea unui mediu prietenos de
relationare
- Retrodigitizarea arhivelor din format letric în format digital
Obiectivele specifice ale proiectului
1. Dezvoltarea platformei digitale orientata catre beneficiarii externi ai institutiei
2. Retrodigitizarea a 180 ml de arhiva (aprox 900.000 pag)
Context</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</si>
  <si>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calitatii si performantei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</si>
  <si>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putin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anticoruptie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anticoruptie. Realizarea obiectivelor
specifice ale proiectului, va crea o administratie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coruptia, care sunt cauzele si efectele ei, cum se sanctioneaza.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</si>
  <si>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Obiectivul general al proiectului presupune consolidarea capacitatii administrative a Consiliului Judetean Tulcea prin cresterea integritatii
si reducerea vurnelabilitatilor la coruptieprin dezvoltarea si implementarea unui sistem de integritate care include standarde, politici si
proceduri de etica si integritate, precum si printr-un program de educatie si anticoruptie, contribuind astfel la dezvoltarea unei admistratii
locale si judetene eficiente
Obiectivele specifice ale proiectului
1. OS.1.Cresterea gradului de informare a publicului cu privire la impactul fenomenului de coruptie pentru 60 de cetateni.
2. OS.2.Cresterea gradului de educatie anticoruptie a personalului din cadrul autoritatii publice de locale pentru 60 de angajati.
3. OS.3. Imbunatatirea accesului beneficiarilor la serviciile publice – dezvoltarea de instrumente in vederea cresterii asumarii
responsabilitatii la nivelul autoritatii publice locale –realizarea unui Ghid de bune practici anticoruptie. Revizuirea procedurilor
interne in vederea accesului angajatilor la informatiile necesare.
4. OS.4 - Introducerea si certificarea standardului ISO 37001. reprezinta un standard de referinta care asigura un set de bune
practici recunoscute la nivel national si international.</t>
  </si>
  <si>
    <t>Consolidarea capacitatii institutionale si eficientizarea activitatii la nivelul UAT Comuna Greci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</si>
  <si>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Nufaru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</si>
  <si>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Văcăreni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</si>
  <si>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Luncavita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</si>
  <si>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Mihail Kogalniceanu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</si>
  <si>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Grindu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</si>
  <si>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Baia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</si>
  <si>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Maliuc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</si>
  <si>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Bestepe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</si>
  <si>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Slava Cercheza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</si>
  <si>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Obiectivul general al proiectului consta în consolidarea capacitatii institutionale si eficientizarea activitatii la nivelul UAT Comuna
Ceatalchioi,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Ceatalchioi,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Ceatalchioi, Jud. Tulcea, în vederea sprijinirii
masurilor vizate de proiect. Este avuta în vedere formarea/instruirea, evaluarea/testarea si certificarea
competentelor/cunostintelor dobândite pentru 9 persoane din cadrul grupului tinta, în ceea ce priveste utilizarea solutiilor
informatice implementate în cadrul proiectului si 5 persoane din cadrul grupului tinta instruite în domeniul planificarii strategice.</t>
  </si>
  <si>
    <t>Obiectivul general al proiectului consta în consolidarea capacitatii institutionale si eficientizarea activitatii la nivelul UAT Comuna Crisan,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Crisan,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Crisan, Jud. Tulcea, în vederea sprijinirii
masurilor vizate de proiect. Este avuta în vedere formarea/instruirea, evaluarea/testarea si certificarea
competentelor/cunostintelor dobândite pentru 20 persoane din cadrul grupului tinta, în ceea ce priveste utilizarea soluttiilor
informatice implementate în cadrul proiectului si 10 persoane din cadrul grupului tinta instruite în domeniul planificarii strategice.</t>
  </si>
  <si>
    <t>Obiectivul general al proiectului consta în consolidarea capacitatii institutionale si eficientizarea activitatii la nivelul UAT Comuna Chilia
Veche,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Chilia Veche,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Chilia Veche, Jud. Tulcea, în vederea sprijinirii
masurilor vizate de proiect. Este avuta în vedere formarea/instruirea, evaluarea/testarea si certificarea
competentelor/cunostintelor dobândite pentru 14 persoane din cadrul grupului tinta, în ceea ce priveste utilizarea solutiilor
informatice implementate în cadrul proiectului si 10 persoane din cadrul grupului tinta instruite în domeniul planificarii strategice.</t>
  </si>
  <si>
    <t>Obiectivul general al proiectului consta în consolidarea capacitatii institutionale si eficientizarea activitatii la nivelul UAT Comuna Sfântu
Gheorghe,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Strategiei de Dezvoltare Locala a UAT
Comuna Sfântu Gheorghe,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Sfântu Gheorghe, Jud. Tulcea, în vederea
sprijinirii masurilor vizate de proiect. Este avuta în vedere formarea/instruirea, evaluarea/testarea si certificarea
competentelor/cunostintelor dobândite pentru 15 persoane din cadrul grupului tinta, în ceea ce priveste utilizarea solutiilor
informatice implementate în cadrul proiectului si 10 persoane din cadrul grupului tinta instruite în domeniul planificarii strategice.</t>
  </si>
  <si>
    <t>Obiectivul general al proiectului consta in optimizarea proceselor orientate catre beneficiari si eficientizarea activitatii la nivelul Orasului
Babadag,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de fundamentare a deciziilor si planificarii strategice pe termen lung, prin elaborarea Strategiei de
Dezvoltare Turistica a Orasului Babadag 2023-2027, in conformitate cu cadrul financiar multianual 2021-2027.
2. OS2. Dezvoltarea, implementarea si certificarea unui sistem de management al calitatii, structurat pe baza cerintelor standardului
international ISO 9001:2015, care optimizeaza procesele orientate catre beneficiari in concordanta cu SCAP.
3. OS3. Implementarea unor masuri de simplificare pentru cetateni conform Planului integrat pentru simplificarea procedurilor
administrative aplicabile cetatenilor din perspectiva front-office si back-office. In acest sens este avuta in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informatiilor disponibile prin aplicarea principiului
inregistrarii "o singura data" a datelor – conceptul de identitate electronica a cetateanului; spatiul privat virtual al cetateanului in
relatia cu primaria.
4. OS4. Dezvoltarea cunostintelor si abilitatilor personalului din cadrul Orasului Babadag, in vederea sprijinirii masurilor vizate de
proiect. Este avuta in vedere formarea/instruirea, evaluarea/testarea si certificarea competentelor/cunostintelor dobândite pentru
67 de persoane, din cadrul grupului tinta, in ceea ce priveste utilizarea solutiilor informatice implementate in cadrul proiectului.</t>
  </si>
  <si>
    <t>Obiectivul general al proiectului consta în consolidarea capacitatii institutionale si eficientizarea activitatii la nivelul UAT Comuna Jurilovca,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Jurilovca, Jud. Tulcea pentru perioada 2023-2027
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Dezvoltarea cunostintelor si abilitatilor personalului din cadrul UAT Comuna Jurilovca, Jud. Tulcea, în vederea sprijinirii masurilor
vizate de proiect. Este avuta în vedere formarea/instruirea, evaluarea/testarea si certificarea competentelor/cunostintelor
dobândite pentru 15 persoane din cadrul grupului tinta, în ceea ce priveste utilizarea solutiilor informatice implementate în cadrul
proiectului si 10 persoane din cadrul grupului tinta instruite în domeniul planificarii strategice.</t>
  </si>
  <si>
    <t>Obiectivul general al proiectului consta în consolidarea capacitattii institutionale si eficientizarea activitatii la nivelul UAT Comuna Pardina,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Strategiei de Dezvoltare Locala a UAT
Comuna Pardina,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Pardina, Jud. Tulcea, în vederea sprijinirii
masurilor vizate de proiect. Este avuta în vedere formarea/instruirea, evaluarea/testarea si certificarea
competentelor/cunostintelor dobândite pentru 9 persoane din cadrul grupului tinta, în ceea ce priveste utilizarea solutiilor
informatice implementate în cadrul proiectului si 9 persoane din cadrul grupului tinta instruite în domeniul planificarii strategice</t>
  </si>
  <si>
    <t>Obiectivul general al proiectului consta în consolidarea capacitatii institutionale si eficientizarea activitatii la nivelul UAT Comuna
Mahmudia,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Mahmudia,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Mahmudia, Jud. Tulcea, în vederea sprijinirii
masurilor vizate de proiect. Este avuta în vedere formarea/instruirea, evaluarea/testarea si certificarea
competentelor/cunostintelor dobândite pentru 14 persoane din cadrul grupului tinta, în ceea ce priveste utilizarea solutiilor
informatice implementate în cadrul proiectului si 10 persoane din cadrul grupului tinta instruite în domeniul planificarii strategice.</t>
  </si>
  <si>
    <t>Consolidarea capacitatii institutionale si eficientizarea activitatii la nivelul UAT Comuna CA Rosetti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</si>
  <si>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Obiectivul general al proiectului consta in optimizarea proceselor orientate catre beneficiari si eficientizarea activitatii la nivelul Comunei
Sarichioi,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de fundamentare a deciziilor si planificarii strategice pe termen lung, prin elaborarea Strategiei de
Dezvoltare Turistica a Comunei Sarichioi 2023-2027, in conformitate cu cadrul financiar multianual 2021-2027.
2. OS2. Dezvoltarea, implementarea si certificarea unui sistem de management al calitatii, structurat pe baza cerintelor standardului
international ISO 9001:2015, care optimizeaza procesele orientate catre beneficiari in concordanta cu SCAP.
3. OS3. Implementarea unor masuri de simplificare pentru cetateni conform Planului integrat pentru simplificarea procedurilor
administrative aplicabile cetatenilor din perspectiva front-office si back-office. In acest sens este avuta in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informatiilor disponibile prin aplicarea principiului
inregistrarii "o singura data" a datelor – conceptul de identitate electronica a cetateanului; spatiul privat virtual al cetateanului in
relatia cu primaria.
4. OS4. Dezvoltarea cunostintelor si abilitatilor personalului din cadrul Comunei Sarichioi,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</si>
  <si>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Obiectivul general proiectului este introducerea de sisteme si standarde comune în administratia publica locala ce optimizeaza procesele
orientate catre beneficiari. Se urmareste digitalizarea serviciilor publice prin accesul online la unele serviciile gestionate partajat/exclusiv
de autoritatile locale (implementarea unei solutii de servicii online cu privire la ordinea si linistea publica, monitorizare obiective la nivelul
municipiului Tulcea, administrarea domeniului public si privat al municipiului etc.), elaborarea unui Plan de Mobilitate Urbana Durabila,
formarea personalului cu privire la implementarea PMUD dar si a personalului care se ocupa de implementarea instrumentelor privind
simplificarea procedurilor administrative în domeniul ordinii publice.
Scopul proiectului consta în optimizarea proceselor si cresterea eficientei serviciilor publice ale Primariei Municipiului Tulcea prin punerea
la dispozitie de servicii administrative si guvernare locala utilizând mijloace electronice, prin implementarea unor sisteme informatice
integrate cu functii de e-administratie si e-guvernare bazat cu elemente de geo spatialitate precum si elaborarea unui Plan de Mobilitate
Urbana Durabila pentru municipiul Tulcea.                                                                                                                                                                                                                                          Obiectivele specifice ale proiectului
1. Mecanisme si proceduri standard implementate la nivel local - Planificarea strategica si financiara prin implementarea unui plan
de mobilitate urbana durabila (PMUD).
2. Proceduri simplificate pentru reducerea birocratiei pentru cetateni la nivel local prin digitalizarea serviciilor oferite dar si a
proceselor interne ale Autoritatatii Publice cu ajutorul unui Sistem Informatic Integrat pentru activitatea Primariei Municipiului
Tulcea
3. Proceduri simplificate pentru reducerea birocratiei pentru cetateni la nivel local prin digitalizarea serviciilor oferite dar si a
proceselor interne ale Autoritatatii Publice cu ajutorul unui Sistem Informatic Integrat pentru activitatea Politiei Locale Tulcea
4. Mecanisme si proceduri standard implementate la nivel local - Planificarea strategica si financiara prin elaborarea de criterii de
prioritizarea a investitiilor în sectorul transportului urban prin elaborarea unui Studiu de Trafic
5. Mecanisme si proceduri standard implementate la nivel local - Planificarea strategica si financiara prin implementarea unei
Strategii de Smart City care sa raspunda nevoilor si exigentelor de finantare pentru perioada de programare a fondurilor europene
2021-2027
Context</t>
  </si>
  <si>
    <t>Consolidarea capacitatii institutionale si eficientizarea activitatii la nivelul UAT Judetul Tulcea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</si>
  <si>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Obiectivul general al proiectului/Scopul proiectului
Dezvoltarea unui set de strategii, care sa optimizeze procesul intern al Primariei Frecatei, contribuind astfel, la îmbunatatirea calitatii si
performantei serviciilor publice si implementarea unui sistem de digitalizare a fluxurilor de lucru din cadrul primariei si în raport cu cetatenii
comunei Frecatei.
Obiectivele specifice ale proiectului
1. OS1. Îmbunatatirea planificarii strategice a Comunei Frecatei, pe termen mediu si lung, prin elaborarea urmatoarelor documente
strategice:
- Strategia de dezvoltare si implementare de mecanisme de colaborare si consultare între actorii relevanti pe domenii specifice de
competenta pentru sustinerea dezvoltarii la nivel local;
- Strategia de digitalizare;
- Planul Strategic Institutional (PSI) al Comunei Frecatei, pe termen mediu (2023-2027).
2. OS2. Implementarea si certificarea sistemului de management al calitatii ISO 9001:2015 în UAT Comuna Frecatei pentru o
administratie publica locala consolidata si eficienta si îmbunatatirea serviciilor publice furnizate.
3. OS3. Digitalizarea procesului intern de management al Primariei Frecatei, simplificarea interactiunii cetatenilor cu administratia
publica locala si cresterea transparentei în luarea deciziilor prin implementarea de instrumente de dialog public.
4. OS4. Dezvoltarea abilitatilor si capacitatii profesionale de a presta activitati interne si publice de calitate, folosind instrumente
digitale pentru 50 de persoane din cadrul Primariei Frecatei, judetul Tulcea – 12 functionari publici, 25 angajati ca personal
contractual, 13 consilieri locali, în vederea întelegerii si comunicarii noilor servicii digitale implementate în administratia locala si a
strategiilor realizate.</t>
  </si>
  <si>
    <t>Scopul proiectului consta în optimizarea proceselor si cresterea eficientei serviciilor publice ale Primariei Orasului Isaccea, prin punerea la
dispozitie de servicii administrative si guvernare locala utilizând mijloace electronice prin implementarea unui sistem informatic integrat cu
functii de e-administratie si e-guvernare, elaborarea unei strategii de dezvoltare locala pentru orasul Isaccea, precum si implementarea si
certificarea unui sistem de management al calitatii - ISO 9001.
Obiectivele specifice ale proiectului
1. Mecanisme si proceduri standard implementate la nivel local - dezvoltarea unei Strategii de Dezvoltare Locala.
2. Sprijinirea introducerii de instrumente, procese de management la nivel local prin implementarea unui sistem de management al
calitatii si certificarea acestuia (ISO 9001)
3. Proceduri simplificate pentru reducerea birocratiei pentru cetateni la nivel local prin digitalizarea serviciilor oferite dar si a
proceselor interne ale Autoritatatii Publice cu ajutorul unui Sistem Informatic Integrat
4. Dezvoltarea gradului de cunostinte si abilitati ale personalului din Primaria Orasului Isaccea, în vederea sprijinirii
masurilor/actiunilor vizate de proiect prin intermediul unor cursuri de formare pentru managementul calitatii dar si pentru
implementarea SDL</t>
  </si>
  <si>
    <t>Dezvoltarea unui sistem unitar si sustenabil de management al calitatii la nivelul Consiliului Judetean Vâlcea si al altor 12 institutii publice din subordinea sa, în scopul optimizarii proceselor orientate catre beneficiari, în concordanta cu SCAP.
Obiectivele specifice ale proiectului
1. Implementarea Sistemului de Management al Calitatii, conform SR EN ISO 9001:2015, la nivelul a 12 institutii publice din
subordinea Consiliului Judetean Vâlcea.
2. Certificarea Sistemului de Management al Calitatii, conform SR EN ISO 9001:2015, la nivelul Consiliului Judetean Vâlcea si al
altor 12 institutii subordonate.
3. Consolidarea sistemului de management al calitatii la nivelul Consiliului Judetean Vâlcea, prin implementarea instrumentului de autoevaluare CAF.
4. Îmbunatatirea cunostintelor si abilitatilor personalului, din cadrul Consiliul Judetean Vâlcea si institutiile publice subordonate, prin participarea la programe si evenimente de formare profesionala în domeniul managementului calitatii.
5. Asigurarea sustenabilitatii sistemelor de management implementate si/sau certificate în cadrul proiectului, prin formarea si certificarea unui numar de 15 de specialisti în domeniul calitatii si a 15 auditori în domeniul calitatii, din rândul personalului angajat în aceste institutii, cu atributii în domeniul managementului calitatii.</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</si>
  <si>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performantei personalului angajat si deservirea online a cetatenilor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birocratiei pentru cetateni la nivel local corelate cu planul integrat de simplificare a procedurilor administrative
pentru cetateni - prin implementarea sistemului informatic modernizat pentru cresterea performantei personalului angajat si
deservirea online a cetatenilor si mediului de afaceri.
3. OS3: Dezvoltarea abilitatilor personalului din cadrul Primariei Municipiului Dragasani si al institutiilor subordonate Primariei
Dragasani prin asigurarea formarii profesionale a 60 persoane din grupul tinta în domeniile managementului strategic, al
instrumentelor si procedurilor pentru fundamentarea decizie si al competentelor de comunicare.
</t>
  </si>
  <si>
    <t xml:space="preserve">Obiectivul general al proiectului consta consolidarea capacitatii institutionale si eficientizarea activitatii la nivelul Municipiului Râmnicu Vâlcea, prin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Implementarea unor masuri de simplificare pentru cetateni, în corespondenta cu Planul integrat pentru simplificarea procedurilor administrative aplicabile cetatenilor, atât din perspectiva back-office (adaptarea procedurilor interne de lucru, digitalizarea arhivelor), cât si front-office. În acest sens sunt avute în vedere achizitia si implementarea unei platforme integrate pentru managementul fluxurilor de lucru si arhivarea electronica, respectiv a unei platforme integrate (portal web, aplicatie pentru dispozitive mobila) pentru servicii electronice complete (inclusiv plata electronica si semnatura electronica), a unui terminal interactiv de tip self-service pentru servicii electronice, si a unei solutii de raportare a indicatorilor aferenti serviciilor electronice. Platforma integrata pentru servicii electronice este bazata pe implementarea urmatoarelor principii: One Stop Shop pentru livrarea de servicii publice electronice; utilizarea inteligenta informatiilor disponibile prin aplicarea principiului înregistrarii "o singura data" a datelor – conceptul de identitate electronica a cetateanului; spatiul privat virtual al cetateanului în relatia cu primaria. </t>
  </si>
  <si>
    <t>Obiectivul general consta in consolidarea capacitatii institutionale, eficientizarea activitatii prin simplificarea procedurilor administrative si reducerea birocrației pentru cetațeni, implementând masuri din perspectiva back-office si front-office pentru serviciile publice furnizate în
domeniile de competenta partajata si implementarea unor mecanisme si proceduri standard la nivel local (elaborare PMUD si SIDU).
Obiectivele specifice ale proiectului
1. OS1. Implementarea unor mecanisme si proceduri standard la nivel local pentru fundamentarea deciziilor si planificarea
strategica pe termen lung prin elaborarea documentelor strategice ce vor sta la baza obtinerii finanțarilor din politica de coeziune aferenta perioadei 2021 - 2027, respectiv Strategia integrata de dezvoltare urbana si a Planului de Mobilitate Urbana Durabila.
2. OS 2. Implementarea unor masuri de simplificare pentru cetațeni, în corespondența cu Planul integrat pentru simplificarea
procedurilor administrative aplicabile cetatenilor, atât din perspectiva back-office (adaptarea procedurilor interne de lucru,
digitalizarea arhivelor), cât si front-office.
Extinderea portalului actual de servicii electronice cu urmatoarele componente front-office: servicii electronice vizând
competentele partajate exercitate de institutie, solutie de portal extranet pentru colaborare inter-institutionala în domeniul
competentelor partajate, solutie de publicare a datelor deschise (open data) relativ la serviciile publice partajate. Implementarea unor solutii back-office care asigura functionalitatile necesare pentru furnizarea de servicii electronice din domeniile în care institutia exercita competente partajate.</t>
  </si>
  <si>
    <t>Dezvoltarea capacitatii institutionale a Consiliului Judetean Vâlcea de a furniza servicii publice de calitate pentru cetateni, prin masuri concrete ce vizeaza îmbunatatirea procesului decizional si de planificare strategica, digitalizarea proceselor privind managementul documentelor si crearea de facilitati de acces online la servicii publice, în concordanta cu Strategia pentru Consolidarea Administratiei Publice 2014 -2020.
Obiectivele specifice ale proiectului
1. Consolidarea capacitatii de planificare strategica si de fundamentare a deciziilor la nivelul Consiliului Judetean Vâlcea, prin
dezvoltarea de mecanisme de participare publica si îmbunatatirea cunostintelor si abilitatilor personalului din aparatul propriu si alesilor locali.
2. Crearea unui cadru strategic de referinta pentru dezvoltarea judetului Vâlcea în perioada urmatoare de programare, prin
elaborarea si aprobarea a doua documente de planificare strategica.
3. Simplificarea procedurilor administrative si reducerea birocratiei pentru cetateni, în cadrul Consiliului Judetean Vâlcea, prin digitalizarea proceselor privind managementul documentelor si crearea de facilitati de acces online la servicii publice.</t>
  </si>
  <si>
    <t>Obiectivul general al proiectului este optimizarea procedurilor administrative prin modernizarea si completarea sistemului informatic
existent si îmbunatatirea competentelor functionarilor, pentru cresterea performantei personalului angajat si deservire a cetatenilor, în
ceea ce priveste urmatoarele competente partajate: ordine si siguranta publica, serviciul public comunitar pentru evidenta persoanelor si învatamântul preuniversitar de stat.
Obiectivele specifice ale proiectului
1. Obiectiv specific 1: Reducerea birocratiei pentru cetateni la nivel local corelate cu planul integrat de simplificare a procedurilor administrative pentru cetateni - prin implementarea sistemului informatic modernizat pentru cooperarea informationala cu institutiile subordonate, pentru cresterea performantei personalului angajat si deservirea online a cetatenilor si a mediului de afaceri, prin implementarea de masuri de eficientizare a proceselor de lucru specifice domeniului.
Pentru realizarea obiectivului specific 1 se are in vedere activitatea A3.2. Modernizarea sistemului informatic existent pentru
cooperarea informationala cu institutiile subordonate. Rezultatul 1 contribuie la atingerea acestui obiectiv.
2. Obiectiv specific 2: Dezvoltarea cunostintelor, competentelor si abilitatilor personalului din cadrul Primariei Dragasani si institutiilor subordonate (50 persoane), prin participarea la programe de instruire, inclusiv prin abordarea temelor de dezvoltare durabila, egalitate de sanse, nediscriminare si egalitate de gen, în vederea utilizarii si administrarii solutiilor informatice implementate. Pentru realizarea obiectivului specific 2 se are in vedere activitatea A3.2. Modernizarea sistemului informatic existent pentru cooperarea informationala cu institutiile subordonate (Instruirea utilizatorilor si administratorilor solutiilor informatice implementate). Rezultatul 2 contribuie la atingerea acestuia.
3. Obiectiv specific 3: Dezvoltarea abilitatilor personalului din cadrul Primariei Municipiului Dragasani si al institutiilor subordonate Primariei Dragasani, prin asigurarea formarii profesionale a 40 persoane din grupul tinta în competentelor de comunicare. Pentru realizarea obiectivului specific 3 se are in vedere activitatea A.4.1. Instruirea personalului de conducere si executie din Primaria Dragasani si din 4 institutii subordonate privind tehnici de comunicare si prezentare. Rezultatul 3 contribuie la atingerea acestuia.</t>
  </si>
  <si>
    <t>Obiectivul general al proiectului îl constituie cresterea transparentei, eticii si integritatii la nivelul Municipiului Râmnicu Vâlcea, prin
implementarea unor masuri de prevenire a corupttiei, cresterea nivelului de educatie anticoruptie a personalului si a cetatenilor, precum si prin aplicarea normelor, masurilor si procedurilor în materie de etica, integritate si anticoruptie reglementate la nivelul institutiilor publice.
Obiectivele specifice ale proiectului
1. O.S..1 Implementarea masurilor prevazute de Strategia Nationala Anticoruptie 2016 - 2020, respectiv elaborarea documentattiei
specifice metodologiei de identificare a riscurilor si vulnerabilitatilor la coruptie, precum si a procedurilor anticoruptie , certificare
ISO 37001 si elaborarea unui ghid de bune practici.
2. O.S. 2. Implementarea unor masuri prevazute în planul de integritate al Primariei Municipiului Râmnicu Vâlcea, respectiv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3. OS. 3 Cresterea gradului de informare si constientizare a cetatenilor - beneficiari de servicii publice- în vederea implementarii
masurilor anticoruptie.</t>
  </si>
  <si>
    <t>Cresterea nivelului de performanta la nivelul UAT Municipiul Dragasani, prin implementarea unui sistem de management structurat pe
baza cerintelor standardului international ISO 9001:2015 si sustinut prin dezvoltarea competentelor personalului institutiei.
Obiectivele specifice ale proiectului
1. OS 1 – Optimizarea proceselor orientate catre beneficiari în concordanta cu SCAP prin dezvoltarea, implementarea si certificarea
unui sistem de management al calitatii pe parcursul a 16 luni.
2. OS 2 – Îmbunatatirea abilitatilor personalului din cadrul Primariei Municipiului prin:
• formarea profesionala a 20 de persoane din grupul tinta, pentru implementarea Sistemului de Management al Calitatii.
• dezvoltarea unui Ghid de buna practica privind integrarea SMC cu SCIM în cadrul UAT pe parcursul a 16 luni de proiect.</t>
  </si>
  <si>
    <t>OG Dezvoltarea capacitatii de formulare a politicilor publice de catre Consiliul Judetean Vaslui pentru dezvoltarea economica si sociala a judetului, prin implementarea unui proces participativ de planificare strategica.OS 1. Cresterea capacitatii de fundamentare a deciziilor referitoare la dezvoltarea economico-sociala a judetului Vaslui prin
elaborarea participativa si adoptarea unei strategii de dezvoltare durabila pentru perioada 2021-2027.
2. OS2. Cresterea competentelor a minim 50 de persoane cheie, de la nivelul aparatului de specialitate al institutiei Consiliului Judetean Vaslui, pentru elaborarea si implementarea politicilor publice locale pâna la finalizarea proiectului.</t>
  </si>
  <si>
    <t xml:space="preserve">Obiectivul general al proiectului: Consolidarea capacitatii institutionale a Primariei Municipiului Vaslui prin implementarea de masuri de simplificare administrativa si optimizare a furnizarii serviciilor catre cetateni.
Obiectivele specifice ale proiectului
1. Optimizarea activitatilor interne ale functionarilor, prin implementarea unei platforme integrate de management al activitatilor si al înregistrarilor, inclusiv prin digitalizarea si gestiunea electronica a arhivei primariei Vaslui
2. Implementarea unei platforme de tip portal pentru servicii care sa fie furnizate online catre cetateni
3. Îmbunatatirea abilitatilor si cunostintelor personalului municipiului Vaslui pentru utilizarea sistemelor informatice dezvoltate prin proiect si pentru gestionarea documentelor electronice
</t>
  </si>
  <si>
    <t>Obiectivul general al proiectului/Scopul proiectului
Obiective proiect
Întocmirea documentatiilor de planificarea strategica pe termen lung la nivelul UAT Municipiul Vaslui
Obiectivele specifice ale proiectului
1. OS 1: Realizarea Planului Strategic Institutional al Muncipiului Vaslui aferent anilor 2021-2022;
2. OS 2: Realizarea Strategiei integrate de dezvoltare urbana a Municipiului Vaslui 2021-2027;
3. OS 3: Realizarea Planului de Mobilitate Urbana Durabila al Municipiului Vaslui pentru perioada 2021-2027;</t>
  </si>
  <si>
    <t>Obiectivul general al proiectului consta in consolidarea capacitatii institutionale si eficientizarea activitatii la nivelul Municipiului Husi, prin
simplificarea procedurilor administrative si reducerea birocratiei pentru cetateni, implementând noi masuri din perspectiva back-office
(adaptarea procedurilor interne de lucru) si front-office pentru serviciile publice aferente competentelor partajate ale UAT.
Obiectivele specifice ale proiectului
1. OS1. Implementarea unor masuri de simplificare pentru cetateni conform Planului integrat pentru simplificarea procedurilor
administrative aplicabile cetatenilor din perspectiva front-office si back-office vizând competentele partajate ale Primariei. În acest
sens este avuta în vedere achizitia si implementarea de noi solutii integrate pentru oferirea de servicii electronice - atat solutii
front-office (servicii electronice furnizate direct cetatenilor), cât si back-office (solutii care faciliteaza exercitarea competentelor
partajate vizate de prezentul proiect). Solutiile integrate pentru servicii electronice se vor baza pe implementarea urmatoarelor
principii: one stop shop pentru livrarea de servicii publice electronice; utilizarea inteligenta a informatiilor disponibile prin aplicarea
principiului înregistrarii "o singura data" a datelor – conceptul de identitate electronica a cetateanului; spatiul privat virtual al
cetateanului în relatia cu primaria.
2. OS2. Dezvoltarea cunostintelor si abilitatilor personalului din cadrul Municipiului Husi, in vederea sprijinirii masurilor vizate de
proiect. Este avuta in vedere formarea/instruirea, evaluarea/testarea si certificarea competentelor/cunostintelor dobândite pentru
78 de persoane, din cadrul grupului tinta, in ceea ce priveste utilizarea solutiilor informatice implementate in cadrul proiectului.</t>
  </si>
  <si>
    <t>Obiectivul general al proiectului vizeaza consolidarea capacitatii institutionale si eficientizarea activitatii la nivelul Consiliului Judetean
Vaslui în ceea ce priveste exercitarea atributiilor prevazute de OUG 57/2019 privind Codul Administrativ si competentele exclusive, prin
implementarea de masuri pentru imbunatattirea procesului decizional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cat si din perspectiva front office.
Obiectivele specifice ale proiectului
1. Optimizarea procedurilor administrative interne în raport cu beneficiarii serviciilor publice, in scopul reducerii birocratiei, prin
implementarea unui ecosistem digital integrat si dezvoltarea abilitatilor personalului prin participarea la programe de instruire în
vederea utilizarii si administrarii solutiilor informatice implementate.</t>
  </si>
  <si>
    <t>Obiectivul general al proiectului consta in Consolidarea capacitatii institutionale a Primariei Municipiului Vaslui prin implementarea unor
solutii de simplificare a procedurilor administrative si de reducere a birocratiei pentru cetateni pentru accesul la servicii electronice
partajate.
Obiectivele specifice ale proiectului
1. Cresterea accesibilitatii, reducerea timpului si simplificarea modalitatii de solicitare a unor servicii publice partajate din domeniul
asistentei sociale, al sprijinirii tinerilor în domeniul locuirii (gestionarea si valorificarea patrimoniului de locuinte ANL) si respectiv al
ordinii si sigurantei publice, prin masuri de optimizare a interactiunii front-office: implementarea în cadrul portalului web a unor
servicii electronice, ca alternativa la modalitatea traditionala de solicitare/furnizare a serviciilor publice.
2. Optimizarea comunicarii interne, digitalizarea fluxului de documente si reducerea timpului de furnizare a unor servicii publice
partajate din domeniul asistentei sociale, al sprijinirii tinerilor în domeniul locuirii (gestionarea si valorificarea patrimoniului de
locuinte ANL) si respectiv al ordinii si sigurantei publice, prin masuri de optimizare a activitatilor back-office: implementarea unor
aplicatii software specializate pentru managementul intern al activitatilor specifice de asistenta sociala, managementul
patrimoniului de locuinte ANL si respectiv managementul activitatilor de ordine si siguranta publica.
3. Îmbunatatirea abilitatilor si cunostintelor personalului municipiului Vaslui pentru utilizarea sistemelor informatice implementate prin
proiect si pentru gestionarea fluxurilor electronice de activitati si documente.</t>
  </si>
  <si>
    <t>Consolidarea capacitatii institutionale a Primariei Municipiului Focsani prin introducerea de instrumente de planificare strategica, sisteme si standarde de management al calitatii si performantei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activitatilor interne ale functionarilor, prin implementarea unei platforme integrate de management al activitatilor si al înregistrarilor, inclusiv prin digitalizarea si gestiunea electronica a arhivei primariei Focsani, precum si implementarea unei platforme de tip portal pentru servicii care sa fie furnizate online catre cetațeni
5. Îmbunatațirea abilitaților si cunostintelor personalului municipiului Focsani în domeniul managementului strategic, al
managementului calitații/performanței, pentru utilizarea sistemelor informatice dezvoltate prin proiect si pentru gestionarea
documentelor electronice</t>
  </si>
  <si>
    <t>Obiectivul general al proiectului este reprezentat de dezvoltarea unui plan strategic coerent, conceput sa asigure o viziune sustenabila de
dezvoltare a mobilitatii urbane durabile în Municipiul Focsani, prin elaborarea Planului de Mobilitate Urbana Durabila, astfel încât acestea
sa raspunda nevoilor si exigențelor de finantare pentru perioada de programare a fondurilor europene 2021-2027.                                                               Obiectivele specifice ale proiectului
1. Elaborarea Planului de Mobilitate Urbana Durabila. Obiectivul specific este în corelare cu Activitatea 3, respectiv cu Rezultatul de
proiect 1.
2. Extinderea cunostințelor si abilitaților personalului din Municipiul Focsani în vederea cunoasterii condiționalitaților specifice pentru
perioada de finantare 2021-2027, a arhitecturii programelor operaționale si a oportunitaților de finanțare, a procedurilor de
prioritizare a proiectelor, de monitorizare a implementarii PMUD si de evaluare a rezultatelor acestuia. Obiectivul specific este în
corelare cu Activitatea 4 si cu Rezultatul de proiect 2.</t>
  </si>
  <si>
    <t>Dezvoltarea si consolidarea capacitatii administrative a Municipiului Focsani prin eficientizarea activitatilor de prevenire si combatere a
corupției în administratia publica locala, promovarea eticii si integritații pentru îmbunatațirea performanțelor în activitate, îmbunatațirea
cunostințelor si a competențelor personalului si alesilor locali.
Obiectivele specifice ale proiectului
1. 1. Cresterea gradului de implementare a masurilor de prevenire a corupției si a indicatorilor de evaluare.
2. Cresterea gradului de constientizare a efectelor coruptiei la nivelul personalului din administrația publica locala cât si în
rândul cetațenilor.
3. Îmbunatațirea cunostintelor si a competențelor personalului si alesilor locali în ceea ce priveste masurile anticoruptie.</t>
  </si>
  <si>
    <t>Imbunatatirea implementarii masurilor de prevenire a coruptiei, cresterea eticii si a integritatii in UAT Municipiul Adjud, judetul Vrancea,
regiunea mai putin dezvoltata Sud-Est, prin realizarea de mecanisme si proceduri anticoruptie, in paralel cu consolidarea cunostintelor
personalului privind prevenirea coruptiei si cresterea gradului de constientizare a efectelor coruptiei in randul acestora si al cetatenilor,
contribuind, astfel, la atingerea obiectivului specific al POCA CP 15.
Obiectivele specifice ale proiectului
1. OS 1 Consolidatea integritatii, reducerea vulnerabilitatilor si a riscurilor de coruptie in cadrul institutiei prin analiza, elaborarea,
revizuirea si simplificarea procedurilor operationale administrative in materie de etica si integritate.
2. OS 2 Cresterea eficientei masurilor preventive anticoruptie prin efectarea de sondaje privind perceptia în rândul cetatenilor si al
personalului din cadrul administratiei publice.
3. OS 3 Cresterea gradului de constientizare a publicului si societatii civile cu privire la impactul fenomenului coruptiei, prin derularea
unei campanii de constientizare publica si promovarea bunelor practici anticoruptie;
4. OS 4 Imbunatatirea cunostintelor si competentelor unui numar de 70 de persoane din cadrul UAT Municipiul Adjud, personal de
conducere si executie si alesi locali din primarie privind masurile de prevenire a coruptiei, transparentei, eticii si integritatii.</t>
  </si>
  <si>
    <t xml:space="preserve">Consolidarea capacitatii administrative a UAT Judetul Vrancea, din regiunea mai putin dezvoltata Sud-Est, pentru sustinerea unui
management calitativ si performant prin implementarea si utilizarea sistemului unitar de managenent al calitatii si performantei CAF, în
concordanta cu ”Planul de actiuni pentru implementarea etapizata a managementului calitatii în autoritati si institutii publice 2016-2020”.
Obiectivele specifice ale proiectului
1. OS1: Implementarea si utilizarea instrumentului de management al calitatii si performantei CAF (Cadrul comun de autoevaluare a
modului de functionare a institutiilor publice) la nivelul UAT Judetul Vrancea pentru sustinerea schimbarii in vederea obtinerii de
performanta, de îmbunatatire a modului de realizare a activitatilor si de prestare a serviciilor publice.
2. OS2: Imbunatatirea competentelor profesionale si certificarea unui numar de 45 persoane din cadrul UAT Judetul Vrancea.
Formarea/instruirea specifica in vederea implementarii sistemului/instrumentului de management CAF se va realiza ca parte a
procesului de implementare al acestui sistem.
</t>
  </si>
  <si>
    <t>Obiectivul general al proiectului este dezvoltarea unui management performant si facilitarea accesului la servicii de asistenta sociala de
calitate in Municipiul Focsani, prin reducerea birocratiei, cresterea eficientei, transparentei si integritatii serviciilor oferite cetatenilor ca
urmare a implementarii unui Sistem Informatic pentru Accesul la Servicii Sociale (SIASS).
Obiectivele specifice ale proiectului
1. OS1: Simplificarea procedurilor, introducerea de instrumente digitale pentru furnizarea de servicii electronice, accesul rapid la
informatii si reducerea birocratiei pentru beneficiarii serviciilor de asistenta sociala din Municipiul Focsani prin implementarea
Sistemului Informatic pentru Accesul la Servicii Sociale(SIASS).
2. OS2. Dezvoltarea cunostintelor si abilitatilor profesionale pentru 50 de persoane din GT pentru operarea si administrarea SIASS.
Formarea celor 50 de persoane va cuprinde un modul de dezvoltare durabila, egalitate de sanse, nediscriminare si egalitate de
gen.</t>
  </si>
  <si>
    <t>Obiectivul proiectului vizeaza consolidarea capacitatii institutionale si eficientizarea activitatii la nivelul UAT Municipiul Adjud în ceea ce
priveste exercitarea atributiilor prevazute de OUG 57/2019 privind Codul Administrativ prin implementarea de masuri pentru îmbunatatirea
procesului decizional si a planificarii strategice si de digitalizare menite sa ajute la cresterea performantei institutiei, stabilirea unor criterii
de performanta, standardizarea modului de lucru si a activitatilor specifice, implementarea unor instrumente de monitorizare si evaluare a
rezultatelelor/indicatorilor în etape intermediare/finale, la cresterea gradului de interoperabilitate a sistemelor informatice si interconectarea cu ceilaltti actori care opereaza sisteme informatice compatibile, atât din perspectiva back-office, cât si din perspectiva front office.
Obiectivele specifice ale proiectului
1. Crearea de mecanisme, instrumente si proceduri standard pentru fundamentarea deciziilor si planificarea strategica pe termen
mediu si lung în Municipiul Adjud, prin elaborarea Planului Anual de Lucru al Consiliului Local si a Strategiei de management si
dezvoltare a institutiei Primaria Municipiului Adjud si proiectarea unui proces de management eficient, care sa corespunda
nevoilor institutiei.
2. Implementarea sistemelor de management al performantei - Balanced Scorecard (BSC) si calitatii - Common Assesment
Framework CAF care sa permita Municipiului Adjud sa implementeze si sa monitorizeze implementarea obiectivelor strategice
3.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</si>
  <si>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calitatii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</si>
  <si>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transparente si integritati sporite la nivelul sistemului judiciar în vederea îmbunatatirii accesului si a calitatii serviciilor furnizate la nivelul
acestuia, corespunzator Axei prioritare 2: Administratie publica si sistem judiciar accesibile si transparente.
Obiectivele specifice ale proiectului
1. OS1. Cresterea accesului la justitie a 200 de cetateni din mediul rural care au nevoie de informare, educare si consiliere in
domeniul accesului la servicii oferite de sistemul juridic, prin derularea unei campanii de informare/educatie juridica, prin utilizarea
unor metode inovative si cu ajutorul tehnologiei, in cadrul caravanei “Justitie pentru sate”.
2. OS2. Accelerarea dezvoltarii si diversificarii paletei de servicii de informare, educare si consiliere juridica adecvate nevoilor
cetateanului, prin cooperare cu autoritati ale administratiei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solutionare a litigiilor prin crearea si
dezvoltarea unui “Portalului interactiv de metode alternative de solutionare a litigiilor pentru mediul rural”, pentru promovarea si
consolidarea cu ajutorul tehnologiei a metodelor alternative de solutionare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</si>
  <si>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informatiilor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solutionare a litigiilor. Acest obiectiv urmeaza a fi implementat prin Activitatea A4.
4. 2. Transpunerea intr-un limbaj uzual a informatiilor juridice de maxim interes pentruy cetatenii din mediul rural. Acest obiectiv
urmeaza a fi implementat prin Activitatea A3</t>
  </si>
  <si>
    <t>Obiectivul general al proiectului este acela de a consolida capacitatea Federatiei Zonelor Metropolitane si Aglomerarilor Urbane din
Romania de a se implica in formularea si promovarea dezvoltarii la nivel local de tip urban si metropolitan la nivelul a cinci municipii
resedinta de judet din Romania.
Obiectivele specifice ale proiectului
1. Instruirea unui grup format din 28 de persoane în domeniul planificarii strategice si managementului de proiect, care va contribui
la introducerea de sisteme si standarde comune în administratia publica locala ce optimizeaza procesele orientate catre
beneficiari în concordanta cu SCAP, prin pregatirea persoanelor cu responsabilitati în domeniu, pentru dezvoltarea competentelor
specifice dezvoltarii de tip metropolitan.
2. Elaborarea unui GHID privind dezvoltarea de tip metropolitan, axat pe principalele dimensiuni ale acesteia (planificare teritoriala,
transport public, incluziune sociala, dezvoltare economica).
3. Organizarea a 4 ateliere digitale privind dezvoltarea metropolitana.</t>
  </si>
  <si>
    <t>Obiectivul general este cresterea capacitatii organizatiilor non-guvernamentale si partenerilor sociali din municipiul Iasi de a se implica in
formularea, dezvoltarea si implementarea conceptului de smart health ca prioritate verticala a politicii locale de smart city
Obiectivele specifice ale proiectului
1. Obiectivul specific 1 - Dezvoltarea unui mecanism colaborativ si participativ de lucru in domeniul politicilor publice locale de smart
health intre autoritatea publica locala, reprezentanti ai organizatiilor neguvernamentale/parteneri sociali din municipiul Iasi, PDL
IASI SMART HEALTH CITY, pana in anul 2022
2. Obiectivul specific 2 - Imbunatatirea nivelului de informare pentru 50 de reprezentanti ai organizatiilor neguvernamentale, ai
partenerilor sociali si institutiilor publice locale din municipiul Iasi cu privire la instrumentele, aplicatiile si beneficiile domeniului
smart health, in contextul strategiilor si proiectelor locale, pana in anul 2022
3. Obiectivul specific 3 - Cresterea gradului de implicare a comunitatii locale in identificarea de propuneri in domeniul smart health,
prin colectarea a cel putin 15 propuneri de initiative, pana in anul 2022</t>
  </si>
  <si>
    <t>Obiectivul general al proiectului ACTIV-D este dezvoltarea unor standarde comune pentru administratiile publice din teritoriul metropolitan
Brasov referitoare la analiza, evaluarea si luarea deciziilor asociate politicilor publice de mobilitate durabila în vederea asigurarii unei
implementari unitare si coerente a politicilor si proiectelor de mobilitate urbana.                                                                                                                                             Scopul proiectului este dezvoltarea si consolidarea capacitatii AMDDTPBv de a-si asuma rolul de facilitare a dialogului dintre autoritatile
publice si comunitatea locala în sectorul mobilitatii urbane durabile.                                                                                                                                                                           Obiectivele specifice ale proiectului
1. OS1 - Dezvoltarea abilitatilor si competentelor transversale cu caracter inovativ care pot facilita / optimiza dialogul între actorii
relevanti în domeniul mobilitatii cu efecte directe asupra nivelului de implicare în elaborarea, implementarea, monitorizarea si
evaluarea politicilor publice la nivel local.                                                                                                                                                                     2. OS2 - Elaborarea unui set de standarde de analiza, evaluare si luare a deciziei în domeniul mobilitatii urbane durabile pe baza de
date si input-uri relevante, într-o maniera colaborativa- participativa.</t>
  </si>
  <si>
    <t>Proiectul îsi propune evaluarea si consolidarea capacitatii de dezvoltare a ecosistemului de bioeconomie inteligenta în judetul Covasna
pentru o dezvoltare sustenabila prin implicarea comunitatilor locale, actorilor economici si a administratiei publice locale.
Obiectivele specifice ale proiectului
1. Promovarea dezvoltarii la nivel local prin cresterea implicarii partenerilor sociali în procesele de elaborare si implementare a
strategiilor nationale/regionale în domeniul bioeconomiei.
2. Stabilirea în comun a unor proceduri de derulare a mecanismelor de consultare a autoritatilor si institutiilor publice cu ONG-urile,
partenerii sociali precum si a cetatenilor în elaborarea politicilor la nivel local cu impact asupra dezvoltarii bioeconomiei
inteligente.
3. Cresterea gradului de cunoastere si constientizare a importantei domeniului bioeconomiei prin activitati de formare profesionala
pentru membrii societatii civile si parteneri sociali si prin organizarea unei campanii de informare la nivel judetean</t>
  </si>
  <si>
    <t>Cresterea implicarii asociatiei ASTRICO Nord-Est în elaborarea si promovarea unui cadru de dezvoltare al economiei locale în vederea
facilitarii unei tranzitii rapide si eficiente catre o economie competitiva bazata pe inovare sociala si grad ridicat de pregatire al fortei de
munca
Obiectivele specifice ale proiectului
1. Determinarea situatiei actuale legate de competitivitatea la nivel local prin elaborarea unei analize diagnostic
2. Crearea unui mecanism institutionalizat de colaborare la nivel local între mediul de afaceri, autoritati publice locale si societatea
civila pentru armonizarea politicilor, strategiilor si actiunilor în domeniul formarii profesionale cu cerintele specifice pietei muncii
în orasul Piatra Neamt.
3. Cresterea capacitatii Asociatiei ASTRICO Nord-Est prin obtinerea de competente în domeniile planificarii strategice, politicilor
publice si comunicarii organizationale în vederea unei mai bune implicari în politicile de dezvoltare locala</t>
  </si>
  <si>
    <t>Consolidarea capacitatii ONG-urilor si partenerilor sociali de a se implica în formularea si promovarea dezvoltarii la nivel local, prin
introducerea de sisteme si standarde comune în administratia publica locala ce optimizeaza procesele orientate catre beneficiari în
concordanta cu SCAP.
Obiectivele specifice ale proiectului
1. OS1 - Cresterea gradului de implicare civica a cetatenilor din Orasul Miercurea Sibiului in procesul de elaborarea, monitorizarea
si evaluarea politicilor si strategiilor adoptate la nivel local
2. OS2 - Dezvoltarea capacitatii de participare publica in randul ONG-urilor si partenerilor sociali din Orasul Miercurea Sibiului, prin
dezvoltarea a min 7 parteneriate între ONG-uri/parteneri sociali si autoritati locale, functionale cel putin 6 luni dupa finalizarea
proiectului
3. OS3 - Cresterea gradului de colaborare intre ONG-uri, parteneri sociali si personalul autoritatilor publice din Orasul Miercurea
Sibiului, prin implementarea unui mecanism de consultare a autoritatilor si institutiilor publice cu ONG-urile, partenerii sociali si
implicarea cetatenilor în elaborarea, monitorizarea si evaluarea politicilor si strategiilor adoptate la nivel local</t>
  </si>
  <si>
    <t>Obiectivul general al proiectului consta in dezvoltarea de proceduri si mecanisme pentru sustinerea si promovarea dezvoltarii la nivel local
si de interactiune cu autoritatile si institutiile administratiei publice, precum si in dezvoltarea capacitatii partenerilor sociali si a ONG-urilor
prin instruirea reprezentantilor structurilor asociative, ale autoritatilor administratiei publice locale, precum si instruirea alesilor locali             Obiectivele specifice ale proiectului
1. OS 1. Cresterea gradului de monitorizare si evaluare a proceselor decizionale, prin elaborarea unei metodologii si a unui raport
de evaluare a politicilor publice care cuprinde si un set de indicatori de monitorizare a acestora, in cadrul administratiei publice
locale.
2. OS 2. Imbunatatirea, stimularea si consolidarea dialogului social si a interactiunii intre ong-uri/actori sociali relevanti si autoritatile
publice, prin organizarea unui numar de 3 workshopuri, in vederea cresterii implicarii acestora in formularea si imbunatatirea
politicilor publice in domeniul administratiei publice locale.
3. OS 3. Cresterea capacitatii a minim 5 ONG-uri de profil si a unui numar de minim 2 parteneri sociali si autoritati publice locale, de
a se implica în formularea si promovarea de propuneri alternative la politicile publice tinand cont de egalitate de sanse, dezvoltare
durabila si responsabilitate sociala.
4. OS 4. Dezvoltarea capacitatii a 40 de persoane (25 reprezentanti ONG-uri si/sau parteneri sociali, 15 reprezentanti ai
autoritatilor/institutiilor publice) voluntari din ONG-uri si actori sociali, dar si angajati UAT si alesi locali, in formularea de propuneri
alternative la politicile publice initiate de Guvern prin instruire specifica.
5. OS 5. Sporirea vizibilitatii si promovarea instrumentelor de monitorizare si evaluare independenta a politicilor si strategiilor la nivel
local.
6. OS 6. Sprijinirea de initiative de dezvoltare a responsabilitatii civice, de implicare a comunitatilor locale în viata publica si de
participare la procesele decizionale, de promovare a egalitati de sanse si nediscriminarii, precum si a dezvoltarii durabile.</t>
  </si>
  <si>
    <t>Obiectivul general al proiectului “O sansa pentru fiecare” consta în cresterea capacitatii organizationale a SNCRR Filiala Arad de a se
implica în formularea unui standard comun de pregatire si interventie la nivelul comunitatii si totodata dezvoltarea la nivel local a unei
retele de voluntari in Municipiul Arad, ce vin in sprijinul comunitatii in situatie de criza. Prin activitatile propuse, SNCRR Filiala Arad isi va
extinde aria de interventie si va multiplica activitatile cu impact pozitiv in comunitate, precum si initiative care îsi propun cresterea implicarii cetatenilor în comunitate si în procesul de luare a deciziilor.
Scopul proiectului vizeaza un instrument eficient si sustensabil la nivelul comunitatii tinand cont de faptul ca „Voluntariatul ajuta oamenii sa
fie mai activi în rolul lor de membri ai societatii si sa se preocupe de calitatea vietii comunitatii. Implicarea civica duce la cresterea
sentimentelor de apartenenta si solidaritate, dar si la cresterea gradului de implicare a autoritatilor publice locale sau centrale în sustinerea si dezvoltarea comunitatilor.” (extrase din Ghidul privind optimizarea parteneriatului dintre autoritatile publice si mediul asociativ pentru voluntariat „Promotorii Voluntariatului în România”, Program aflat sub patronajul Guvernului României prin Secretariatul General al Guvernului).
Obiectivele specifice ale proiectului
1. OS1. Cresterea capacitatii organizationale a SNCRR Filiala Arad prin construirea unui dialog sustenabil cu societatea civila si
administratia publica;
2. OS2. Cresterea gradului de constientizare a rolului societatii civile in comunitate prin elaborarea unui instrument/ghid de bune
practici privind interventia in situatie de urgenta
3. OS3. Cresterea gradului de pregatire profesionala in domeniul primului ajutor, in vederea asigurarii unui grad ridicat de interventie
in comunitate;
4. OS4. Cresterea premiselor de colaborare ale comunitatii si participarea/implicarea acesteia în procesul de luare a deciziilor;
5. OS5. Dezvoltarea retelei de voluntari in Municipiul Arad prin incheierea a minim 50 de contracte de voluntariat;
6. OS6. Cresterea gradului de constientizare privind egalitatea de sanse si nediscriminarea in in comunitate precum si a protectiei
mediului prin promovarea obiectivelor de dezvoltare durabila</t>
  </si>
  <si>
    <t>Consolidarea capacitatii organizatiilor non-guvernamentale si cetatenilor din Comuna Aricestii Rahtivani, Judetul Prahova, de a se implica
în formularea si promovarea dezvoltarii la nivel local.
Obiectivele specifice ale proiectului
1. Cresterea capacitatii Asociatiei Centrul de Resurse Apollo in vederea atragerii si formarii in dezvoltare comunitara a minim 12
tineri voluntari din Comuna Aricestii Rahtivani, pe perioada proiectului si a minim 6 luni de la finalizarea acestuia
2. Cresterea gradului de participare publica in randul a 100 cetateni din Comuna Aricestii Rahtivani, pe perioada proiectului si a
minim 6 luni de la finalizarea acestuia
3. Cresterea gradului de informare in dezvoltare comunitara si participare publica pentru minim 100 cetateni/membri ONG din
Comuna Aricestii Rahtivani pe perioada proiectului si a minim 6 luni de la finalizarea acestuia</t>
  </si>
  <si>
    <t>Obiectivul general al proiectului este de a consolida capacitatea organizatiilor non-guvernamentale de si pentru tineret de a se implica în
formularea si promovarea dezvoltarii la nivel local în domeniul tineretului (adresata tinerilor) la nivelul judetului Hunedoara si Sibiu.
Obiectivele specifice ale proiectului
1. Dezvoltarea a cel putin 20 parteneriate pentru dezvoltare locala în domeniul tineretului între UAT-uri si ONG-uri la nivelul judetului
Hunedoara si Sibiu pâna la finalul proiectului
2. Participarea a cel putin 100 de persoane (voluntari, membri, colaboratori, angajati) din cadrul ONG-urilor si partenerilor sociali
precum si din reprezentanti (alesi/functionari publici) ai autoritatilor publice în activitatile educationale (de formare) desfasurate în
cadrul proiectului
3. Participarea a cel putin 40 de persoane (voluntari, membri, colaboratori, angajati) din cadrul ONG-urilor si partenerilor sociali
precum si din reprezentanti (alesi/functionari publici) ai autoritatilor publice în activitatile de mentorat desfasurate în cadrul
proiectului.
4. Realizarea a cel putin unei cercetari privind nevoile tinerilor si a unei cercetari calitative de identificare a cooperarilor dintre ONGurilor
de/pentru tineret si autoritatile publice la nivelul judetului Sibiu si Hunedoara.
5. Promovarea cooperarii între autoritatile publice si ONG-urile de/pentru tineret la nivelul judetului Timis, prin dezvoltarea unui ghid
de bune practici care s-au desfasurat/se desfasoara la nivelul judetului Hunedoara si Sibiu</t>
  </si>
  <si>
    <t>Obiectivul general al proiectului consta in dezvoltarea de proceduri si mecanisme pentru sustinerea si promovarea dezvoltarii la nivel local
si de interactiune cu autoritatile si institutiile administratiei publice, precum si in dezvoltarea capacitatii partenerilor sociali si a
ONG-urilor prin instruirea reprezentantilor structurilor  asociative, ale autoritatilor administratiei publice locale, precum si instruirea alesilor locali.                                                                                                                                                                                                                                                                                                         OS 1. Cresterea gradului de monitorizare si evaluare a proceselor decizionale, prin elaborarea unei metodologii si a unui raport
de evaluare a politicilor publice care cuprinde si un set de indicatori de monitorizare a acestora, in cadrul administratiei publice
locale.
OS 2. Imbunatatirea, stimularea si consolidarea dialogului social si a interactiunii intre ong-uri/actori sociali relevanti si autoritatile
publice , prin organizarea unui numar de 3 workshopuri , in vederea cresterii implicarii acestora in formularea si imbunatatirea
politicilor publice in domeniul administratiei publice locale.
 OS 3. Cresterea capacitatii a minim 5 ONG-uri de profil si a unui numar de minim 2 parteneri sociali si autoritati publice locale, de
a se implica în formularea si promovarea de propuneri alternative la politicile publice tinand cont de egalitate de sanse, dezvoltare
durabila si responsabilitate sociala.
 OS 4. Dezvoltarea capacitatii a 40 de persoane (25 reprezentanti ONG-uri si/sau parteneri sociali, 15 reprezentanti ai
autoritatilor/institutiilor publice) voluntari din ONG-uri si actori sociali, dar si angajati UAT si alesi locali, in formularea de propuneri
alternative la politicile publice initiate de Guvern prin instruire specifica.
OS 5. Sporirea vizibilitatii si promovarea instrumentelor de monitorizare si evaluare independenta a politicilor si strategiilor la
nivel local.
 OS 6. Sprijinirea de initiative de dezvoltare a responsabilitatii civice, de implicare a comunitatilor locale în viata publica si de
participare la procesele decizionale, de promovare a egalitati de sanse si nediscriminarii, precum si a dezvoltarii durabile.</t>
  </si>
  <si>
    <t>Obiectivul general al proiectului este consolidarea capacitatii ASOCIA?IEI INEDITRAVEL de a se implica în formularea si promovarea
dezvoltarii la nivel local în comuna Vladesti, prin actiuni de consolidare a capacitatii interne, prin îmbunatatirea capacitatii de a-si extinde
aria de interventie si de a multiplica activitatile cu impact pozitiv, precum si prin initiative care îsi propun cresterea implicarii cetatenilor în
comunitate si în procesul de luare a deciziilor la nivel local.
Obiectivele specifice ale proiectului
1. Dezvoltarea proceselor partcipative la nivelul comunei Vladesti pornind de la nevoile comunitatii locale
2. Dezvoltarea unui instrument sub forma unei platforme online, pentru sustinerea si promovarea dezvoltarii la nivel local si de
interactiune cu autoritatile si institutiile administratiei publice
3. Implementarea unui mecanism de consultare a autoritatilor si institutiilor publice cu ONG-urile si cetatenii în vederea selectarii
prioritatilor de dezvoltare la nivel local
4. Crearea unui mecanism online independent de monitorizare a implementarii Strategiei de dezvoltare locala a comunei Vladesti
5. Promovarea unor actiuni de consolidare a dialogului social si civic sub forma întâlnirilor cetatenesti si a platformei online
6. Aplicarea lectiilor invatate din exemplele de buna practica identificate pe parcursul vizitei de studiu
7. Sustinerea unor activitati întreprinse în comun, a participari la retele tematice europene referitoare la promovarea unei cetatenii
active
8. Dezvoltarea capacitatii interne a Asociatiei INEDITRAVELsi a capacitatii locale prin instruiri in ceea ce priveste mecanismele
participarii cetatenesti, metode si instrumente moderne de implicare cetateneasca in procesul de luare a deciziilor, precum si
aspecte legislative in domeniu</t>
  </si>
  <si>
    <t>Consolidarea capacitatii ONG-urilor si partenerilor sociali din Ploiesti de a evalua nevoile femeilor însarcinate si familiilor din care fac
parte, precum si a tinerelor si tinerilor care devin parinti în adolescenta (pâna la vârsta de 18 ani) în contextul pandemiei/ post-pandemic.
În acord cu scopul cererii de propuneri de proiecte, proiectul dezvolta mecanisme de monitorizare, evaluare, consultare, dialog social si
responsabilizare pe teme ca: depistarea precoce a sarcinii, monitorizarea sarcinii, îngrijirile pre si post natale, preventia nasterilor
premature, nasterea în siguranta, monitorizarea sarcinilor la risc ca urmare a infectiei SARS-COV-2 si a altor probleme de sanatate sau
socio-economice, vaccinarea în contextul pandemic, alaptarea si îngrijirea nou-nascutului etc. Proiectul raspunde scopului propus prin
ghidul solicitantilor întrucât dezvolta mecanisme de consulare cu cetatenii si cu organizatiile neguvernamentale si formuleaza un raport de
politici publice în domeniul sanatatii materne.
Obiectivele specifice ale proiectului
1. Dezvoltarea si implementarea, în urmatorul an, a doua instrumente de consultare publica în domeniul sanatatii materne prin
intermediul carora 100 de persoane sa participe în procesul de fundamentare si luare a deciziilor de politica publica
2. Dezvoltarea capacitatii de colaborare inter-institutionala prin formarea, în urmatorul an, a 15 persoane în domeniul participarii
publice pentru sanatatea materna</t>
  </si>
  <si>
    <t>Obiectivul general al proiectului este consolidarea capacitatii organizatiilor non-guvermanetale si a partenerilor sociali de a se implica în
formularea si promovarea la nivel local printr-un program integrat de crestere a nivelului de cunoastere cu privire la reducerea risipei
alimentare, prin 6 parteneriate de dezvoltare locala pentru 300 persoane în judetul Olt si o platforma online educationala, în termen de 14
luni
Obiectivele specifice ale proiectului
1. O1. Dezvoltarea a trei instrumente care sa sprijine administratia publica locala în elaborarea si implementarea de politici publice
în domeniul compostului si al combaterii risipei alimentare prin realizarea si diseminarea lui 1 ghid privind indicatorii de realizare
a legii compostului si reducerii risipei alimentare,1 ghid privind dezvoltarea durabila pentru operatorii economici din domeniul
turismului si 1 ghid privind dezvoltarea durabila pentru pentru populatia comunitatii, pana in noiembrie 2022.
2. O2. Realizarea unei campanii integrate de dezvoltare a capacitatii prin parteneriat cu doua componente: formularea si
promovarea dezvoltarii la nivel local prin dezvoltarea de mecanisme, procedure, instrumente de consolidare a dialogului social si
civic, organizand o 1 masa rotunda pe tema legii compostului si 1 expozitie tehnologica, ale caror rezultate se vor integra in
documentele de la O1 si 12 sesiuni de informare la nivelul populatiei comunitatii locale ai fiecarui partener de dezvoltare locala
(230 persoane), pe o perioada de 6 luni
3. O3. Cresterea capacitatii FPIMM si AST de a se implica in formularea si promovarea dezvoltarii la nivel local prin realizarea unor
programe pentru personalul propriu de formare/instruire de 5 zile finalizate cu certificate in protectia mediului pentru 14 persoane.
4. O4: Cresterea capacitatii FPIMM si AST de a se implica in formularea si promovarea dezvoltarii la nivel local prin realizarea unor
programe de formare de 5 zile implementate in parteneriat cu autoritati publice pentru 84 participanti certificati in protectia
mediului (alesi locali, personal din autoritatile si institutiile publice si cetateni)
5. O5: Implicarea in formularea si promovarea dezvoltarii la nivel local prin implementarea in partenereriat de initiative de
dezvoltare a responsabilitatii civice, de implicare a comunitatilor locale in viata publica si de participare la procesele decizionale,
de promovare a egalitati de sanse si nediscriminarii, privind a dezvoltarea durabila in mediul online prin implementarea si
diseminarea unei platforme (website) educationala pe tema reducerii risipei alimentare, in termen de 7 luni.</t>
  </si>
  <si>
    <t xml:space="preserve">Strategiei de Dezvoltare Locala a Municipiului Moreni 2021 – 2028.
Obiectivele specifice ale proiectului
1. Cresterea capacitatii ONG-urilor de a se implica în formularea si promovarea dezvoltarii la nivel local.
2. Imbunatatirea colaborarii dintre administratia publica locala si ONGuri în vederea implementarii si monitorizarii strategiei de
dezvoltare locala a municipiului Moreni 2021 - 2028
3. Îmbunatatirea comunicarii si transparentei decizionale si a participarii la luarea deciziilor în municipiul Moreni si zonele adiacente
</t>
  </si>
  <si>
    <t>Consolidarea capacitatii CCINA Constanta si a partenerilor sociali de a se implica în promovarea si implementarea unor activitati pentru
dezvoltarea locala a UAT Tuzla prin valorificarea oportunitatilor existente la nivel local în domeniul turismului, agriculturii si a
interculturalitatii.                                                                                                                                                                                                                                                                                                     OS 1: Dezvoltarea unui mecanism de sustinere si promovare a dezvoltarii locale a UAT Tuzla prin crearea si consolidarea unei
platforme de E-dezvoltare focalizata pe valorificarea oportunitatilor locale din domeniul turismului, al agriculturii si al
interculturalitatii
OS2: Dezvoltarea capacitatii CCINA Constanta de a dialoga si interactiona cu autoritatile si institutiile administratiei publice în
perspectiva dezvoltarii de proceduri si mecanisme pentru pentru sustinerea si promovarea dezvoltarii locale a UAT Tuzla
OS 3: Dezvoltarea unei proceduri de asigurare a sustenabilitatii activitatilor, de masurare a impactului acestora în rândul
cetatenilor UAT Tuzla si cresterea gradului de interactiune a acestora cu institutiile si autoritatile administratiei locale.</t>
  </si>
  <si>
    <t>Obiectivul general al proiectului vizeaza dezvoltarea capacitatii CNIPMMR de a se implica în formularea si promovarea dezvoltarii la nivel
local în aria sa de activitate si expertiza, respectiv reprezentarea unitara si eficace a IMM-urilor, prin dezvoltarea unor politici publice prin
care sa se asigure promovarea exporturilor si atragerea de investitii pentru IMM-uri.
Obiectivele specifice ale proiectului
1. OS1. Dezvoltarea de proceduri, mecanisme pentru sustinerea si promovarea dezvoltarii la nivel local si de interactiune cu
autoritatile si institutiile administratiei publice axate pe promovarea exporturilor si atragerea de investitii în cadrul IMM-urilor.                             2. OS2. Sustinerea capacitatii CNIPMMR si a altor parteneri sociali de a se implica în formularea si promovarea dezvoltarii la nivel
local in domeniul promovarea exporturilor si atragerea de investitii prin derularea unor activitati de formare specifice acestui
domeniu.</t>
  </si>
  <si>
    <t>Cresterea participarii civice si consilidarea capacitatii organizatiilor neguvernamentale de a contribui la dezvoltarea durabila a judetului
Mehedinti atât în faza de fundamentare si elaborare a politicilor si prioritatilor, cât si în faza de implementare, monitorizare si evaluare a
acestora. Proiectul raspunde scopului apelului de propuneri de proiecte întrucât vizeaza consolidarea capacitatilor ONGurile partenere si a
celorlalti actori neguvernamentali ce vor fi implicati în activitati de a participa la formularea si promovarea unor prioritati de dezvoltare
durabila a judetului Mehedinti în acord cu cele 17 obiective de dezvoltare durabila a României. Consolidarea capacitatii se realizeaza prin
multiplicarea initiativelor si implicarea cetatenilor în procesul decizional. Proiectul raspunde si obiectivului specific 2.1. al POCA pentru ca
dezvolta mecanise de monitorizare, implicare/consultare si formare continua.
Obiectivele specifice ale proiectului
1. Dezvoltarea si implementarea a trei de instrumente de responsabilizare (grup civic, rapoarte, platforma) în cadrul relatiei de
cooperare dintre autoritatile administratiei publice locale din judetul Mehedinti si organizatiile neguvernamentale/cetateni în
urmatoarele 14 luni.
2. Implicarea a 300 de cetateni în procesul de stabilire a prioritatilor pentru dezvoltarea durabila la judetului Mehedinti în urmatoarele
14 luni.
3. Dezvoltarea cunostintelor în domeniul dezvoltarii durabile a 50 de persoane în urmatoarele 14 luni</t>
  </si>
  <si>
    <t>Obiectivul general al proiectului “Fii implicat in Colonesti!” consta în cresterea capacitatii organizationale a SNCRR Filiala Bacau de a se
implica în formularea unui standard comun la nivelul comunitatii si totodata dezvoltarea la nivel local a unei retele de voluntari in Comuna
Colonesti, ce vin in sprijinul comunitatii in situatie de criza. Prin activitatile propuse, SNCRR Filiala Bacau isi va extinde aria de interventie
si va multiplica activitatile cu impact pozitiv in comunitate, precum si initiative care îsi propun cresterea implicarii cetatenilor în comunitate
si în procesul de luare a deciziilor.
Obiectivele specifice ale proiectului
1. OS1. Cresterea capacitatii organizationale a SNCRR Filiala Bacau prin construirea unui dialog sustenabil cu societatea civila si
administratia publica;
2. OS2. Cresterea gradului de constientizare a rolului societatii civile in comunitate prin elaborarea unui instrument/ghid de bune
practici privind interventia in situatie de urgenta
3. OS3. Cresterea gradului de pregatire profesionala in domeniul primului ajutor, in vederea asigurarii unui grad ridicat de interventie
in comunitate;
4. OS4. Cresterea premiselor de colaborare ale comunitatii si participarea/implicarea acesteia în procesul de luare a deciziilor;
5. OS5. Dezvoltarea retelei de voluntari in Comuna Colonesti prin incheierea a minim 45 de contracte de voluntariat;
6. OS6. Cresterea gradului de constientizare privind egalitatea de sanse si nediscriminarea in in comunitate precum si a protectiei
mediului prin promovarea obiectivelor de dezvoltare durabila</t>
  </si>
  <si>
    <t xml:space="preserve">Obiectivul proiectului consta în sustinerea Asociatiei de a-si îmbunatati capacitatea de a se implica activ în promovarea dezvoltarii unitare
la nivel local a zonei periurbane Sibiu, zona din care fac parte Comunele Selimbar, Sura Mare, Sura Mica si Rosia prin dezvoltarea unor
instrumente digitale care sa faciliteze implicarea si cooperarea cetatenilor, a agentilor economici, a producatorilor locali, a autoritatilor
locale în dezvoltarea comunitatii si sa asigure transparenta informatiilor de interes public.                                                                                                                      OS1: Implicare activa în promovarea dezvoltarii unitare la nivel local a zonei periurbane Sibiu prin dezvoltarea unui instrument
digital sub forma unei platforme/portal www.zonametropolitana.ro cu diferite functionalitati, la nivel de asociatie, care sa cuprinda
elemente/module ce faciliteaza interactiunea dintre cetateni, alti actori locali si autoritatile publice si care contribuie la cresterea
implicarii acestora in comunitate, în procesul de luare al deciziilor si consolidarea parteneriatului pentru dezvoltare locala - PDL
între cele 4 autoritati locale si Asociatia de Dezvoltare Intercomunitara Zona Metropolitana Sibiu.                                                                                                   OS2: Instruirea unui numar de 6 persoane din cadrul ONG-ului si voluntarii cu care lucreaza, pentru consolidarea capacitatii
interne a Asociatiei Metropolitane Sibiu si instruirea a 4 persoane din cele 4 autoritari locale din cadrul PDL în tematici de
implicare în viata publica locala, precum: animatori comunitari, bugetare participativa, responsabilitate sociala si civica,
instrumente de consolidare a dialogului social si civic, etc                                                                   </t>
  </si>
  <si>
    <t>Consolidarea capacitatii Asociatiei Aladin Deva de a se implica în formularea politicilor locale privind prevenirea parasirii timpurii a scolii, în special în rândul grupurilor dezavantajate de populatie, prin constituirea mai multor parteneriate locale cu autoritati publice de la nivelul
judetului Hunedoara si prin îmbunatatirea capacitatii de interventie a asociatiei, prin formarea/ certificarea membrilor acesteia.
Obiectivele specifice ale proiectului
1. Constituirea a minim patru parteneriate între Asociatia Aladin Deva si autoritati publice locale din judetul Hunedoara, valabile
minim 6 luni dupa încheierea proiectului, în cadrul carora va fi elaborata o strategie locala de prevenire a parasirii timpurii a scolii,
precum si instrumente/ mecanisme specifice de monitorizare si evaluare a acesteia pe termen lung, la nivelul judetului
Hunedoara.
2. Îmbunatatirea capacitatii de interventie a membrilor Asociatiei Aladin Deva, prin participarea unui numar de 15 persoane la cursuri
de formare specifice, finalizate cu certificarea cunostintelor/ competentelor dobândite de acestia pe parcursul activitatilor de
instruire.</t>
  </si>
  <si>
    <t>Obiectivul general al proiectului “Scoala pentru viitor” consta in cresterea capacitatii organizationale a SNCRR Filiala Caras Severin de a
se implica în formularea si promovarea dezvoltarii la nivel local prin dezvoltarea retelei de voluntari in localitatea Toplet ce vin in sprijinul
comunitatii cu scopul de a preveni si reduce fenomenul de abandon scolar. Prin activitatile propuse, SNCRR Filiala Caras Severin isi va
extinde aria de interventie si va multiplica activitatile cu impact pozitiv in comunitate, precum si initiative care îsi propun cresterea implicarii cetatenilor în comunitate si în procesul de luare a deciziilor.                                                                                                                                                                      1. OS1. Cresterea capacitatii organizationale a SNCRR Filiala Caras Severin prin construirea unui dialog sustenabil cu societatea
civila si administratia publica din judet;
2. OS2. Cresterea gradului de constientizare a rolului societatii civile in comunitate;
3. OS3. Cresterea gradului de pregatire profesionala in domeniul primului ajutor in vederea asigurarii unui grad ridicat de interventie
in comunitate, cresterea spiritului civic si mai ales crearea unui cadru prietenos pentru copii in vederea prevenirii abandonului
scolar si reducerii acestuia;
4. OS4. Cresterea premiselor de colaborare ale comunitatii si participarea/implicarea acesteia în procesul de luare a deciziilor;
5. OS5. Crearea si dezvoltarea retelei de voluntari in localitatea Toplet;
6. OS6. Consolidarea parteneriatului intre societatea civila si administratia publica prin actiuni constante de implicare reciproca in
viata comunitatii;
7. OS7. Cresterea gradului de constientizare privind egalitatea de sanse si nediscriminarea in in comunitate precum si a importantei
protejarii mediului prin participarea activa a cetatenilor la dezvoltarea durabila;</t>
  </si>
  <si>
    <t>Proiectul îsi propune sa dezvolte mecanisme, proceduri, instrumente de consolidare a responsabilitatii civice referitoare la modificarile si
evolutiile generate de digitalizarea unor activitati esentiale (educatie scolara, procese administrative, activitati sociale), în contextul
restrictiilor generate de pandemia de Covid-19.
Proiectul va pune accent pe actiuni de combatere a dezinformarii din spatiul online prin intensificarea dialogului civic si derularea unor
interventii sistematice de educatie digitala (”information and digital literacy”) proiectate pentru trei categorii de grup tinta: cadre didactice din licee si scoli gimnaziale (100), personal din ONG-urilor – voluntari si angajati (20) si functionari ai administratiei locale - primarii, consilii
judetene (30).
Obiectivele specifice ale proiectului
1. Dezvoltarea unor instrumente colaborative pentru consolidarea capacitatii digitale si a rezilientei informationale a ONG-urilor si
partenerilor sociali din Municipiul Campulung, in context pandemic si post-pandemic;
2. Echiparea profesorilor din ciclul preuniversitar cu instrumente inovative si competente specifice menite a-i sprijini in gestionarea
proceselor didactice online, inclusiv prin imbunatatirea capacitatii acestora de a-i indruma pe elevi sa adopte un comportament
digital responsabil;
3. Sprijinirea Primariei Municipiului Campulung in dezvoltarea unei strategii locale de redresare si consolidare sociala, in contextul
provocarilor asociate cu pandemia de Covid-19.</t>
  </si>
  <si>
    <t>Obiectivul general al proiectului “Fii pregatit!” consta în cresterea capacitatii organizationale a SNCRR Filiala Iasi de a se implica în
formularea unui standard comun de interventie in situatie de urgenta la nivelul comunitatii si totodata dezvoltarea la nivel local a unei
retele de voluntari in Comuna Plugari, ce vin in sprijinul comunitatii in situatie de criza. Prin activitatile propuse, SNCRR Filiala Iasi isi va
extinde aria de interventie si va multiplica activitatile cu impact pozitiv in comunitate, precum si initiative care îsi propun cresterea implicarii cetatenilor în comunitate si în procesul de luare a deciziilor.                                                                                                                                                                          1. OS1. Cresterea capacitatii organizationale a SNCRR Filiala Iasi prin construirea unui dialog sustenabil cu societatea civila si
administratia publica;
2. OS2. Cresterea gradului de constientizare a rolului societatii civile in comunitate prin elaborarea unui instrument/ghid de bune
practici privind interventia in situatie de urgenta
3. OS3. Cresterea gradului de pregatire in domeniul primului ajutor, in vederea asigurarii unui grad ridicat de interventie in
comunitate;
4. OS4. Cresterea premiselor de colaborare ale comunitatii si participarea/implicarea acesteia în procesul de luare a deciziilor;
5. OS5. Dezvoltarea retelei de voluntari in Comuna Plugari prin incheierea a minim 50 de contracte de voluntariat ;
6. OS6. Cresterea gradului de constientizare privind egalitatea de sanse si nediscriminarea in in comunitate precum si a protectiei
mediului prin promovarea obiectivelor de dezvoltare durabila</t>
  </si>
  <si>
    <t>Obiectivul general al proiectului este dezvoltarea unui set unitar de instrumente pentru consolidarea capacitatii administratiei publice prin
implicarea organizatiilor neguvernamentale in formularea si dezvoltarea la nivel local.
Prin implementarea acestui proiect se doreste asigurarea unei viziuni unitare asupra modului de elaborare, implementare, monitorizare a
politiciilor si strategiilor la nivel local.                                                                                                                                                                                                                                                    1. OS 1 – Intocmirea unei metodologii de evaluare si monitorizare a capacitatii administrative a unitatilor administrativ-teritoriale
2. OS 2 – Intocmirea unei metodologii in vederea sustinerii si promovarii dezvoltarii la nivel local, in special in relatia dintre
autoritatile si institutiile administratiei publice
3. OS 3 – Intocmirea unei metodologii ce are ca scop inlesnirea relatiei dintre autoritatea publica locala cu ONG-uri de profil, institutii
de invatamant acreditate, dar si cu cetatenii, in vederea elaborarii de politici si strategii la nivel local
4. OS 4 – Crearea unei platforme pentru dialogul social si civic
5. OS 5 - Formarea unui numar de 50 de persoane în sfera administratiei publice
6. OS 6 – Organizarea a 3 workshop-uri in vederea dezvoltarii responsabilitatii civice, de implicare a comunitatilor locale in viata
publica</t>
  </si>
  <si>
    <t>Obiectivul general al proiectului este dezvoltarea unui set unitar de instrumente pentru consolidarea capacitatii administratiei publice prin
implicarea organizatiilor neguvernamentale in formularea si dezvoltarea la nivel local.
Prin implementarea acestui proiect se doreste asigurarea unei viziuni unitare asupra modului de elaborare, implementare, monitorizare a
politiciilor si strategiilor la nivel local.                                                                                                                                                                                                                                                     1. OS 1 – Intocmirea unei metodologii de evaluare si monitorizare a capacitatii administrative a unitatilor administrativ-teritoriale
2. OS 2 – Intocmirea unei metodologii in vederea sustinerii si promovarii dezvoltarii la nivel local, in special in relatia dintre
autoritatile si institutiile administratiei publice
3. OS 3 – Intocmirea unei metodologii ce are ca scop inlesnirea relatiei dintre autoritatea publica locala cu ONG-uri de profil, institutii
de invatamant acreditate, dar si cu cetatenii, in vederea elaborarii de politici si strategii la nivel local
4. OS 4 – Crearea unei platforme pentru dialogul social si civic
5. OS 5 - Formarea unui numar de 50 de persoane în sfera administratiei publice
6. OS 6 – Organizarea a 3 workshop-uri in vederea dezvoltarii responsabilitatii civice, de implicare a comunitatilor locale in viata
publica</t>
  </si>
  <si>
    <t>Obiectivul general al proiectului - Capacitate crescuta a minim 30 ONG-urilor atestate ca intreprinderi sociale in baza Legii nr.219/2015 si
a unui partener sociali de a se implica în formularea si promovarea dezvoltarii la nivel local in regiunile Vest, Nord-Vest si Nord-Est
Obiectivele specifice ale proiectului
1. Dezvoltarea si introducerea de sisteme si standarde comune în administratia publica ce optimizeaza procesele decizionale
orientate catre cetateni si mediul de afaceri în concordanta cu SCAP prin implicarea ONG-urilor si partenerilor sociali
2. Formarea a 50 de persoane din 30 de ONG-uri atestate ca intreprinderi sociale si un partener social vor participa la sesiunile de
training si la dezbaterile publice pe marginea formularii si promovarii obiectivelor si strategiilor de dezvoltare locala.
3. 20 persoane din cadrul autoritatilor publice locale in a caror raza teritoriala functioneaza intreprinderi sociale cu rol de sustinere a
intreprinderilor sociale si 10 reprezentanti ai compartimentelor de economie sociala din cadrul AJOFM-urilor din cele 3 regiuni de
implementare, cu rol de certificare si reglementare a intreprinderilor sociale vor participa alaturi de reprezentantii ONG-urilor
atestate ca intreprinderi sociale la mesele rotunde/workshopurile organizate ca activitati intreprinse in comun in cadrul retelei
tematice</t>
  </si>
  <si>
    <t>Obiectiv General: întarirea capacitatilor institutionale, de valorizare a resurselor locale si combaterea discriminarii catre o societate mai
echilibrata si sustenabila în Comuna Ticusu.
Obiectivele specifice ale proiectului
1. Consolidarea relatiile interinstitutionale dintre Asociatia Bun Venit Transilvania si Primaria Comunei Ticusu: prin semnarea unui
parteneriat de dezvoltare locala, pentru a consolida, astfel, capacitatea instalata de interventie teritoriala integrata.
2. Întarirea capacitatii institutionale ale Asociatiei Bun Venit Transilvania si a Primaria Comunei Ticusu: prin consolidarea
cunostiintelor / capacitatilor (capacities) tehnice a resurselor umane din cadrul acestor institutii, precum si prin sensibilizarea
functionarilor publici si ai factorilor de decizie politica, pe probleme precum mediu, dezvoltare durabila si egalitate de sanse, în
raport cu aspecte precum genul, etnia, religia, vârsta si conditia sociala.
3. Contribuirea la valorificarea resurselor locale ale teritoriului: astfel încât aceste resurse sa fie integrate în mod activ în procesul de
dezvoltare economica si sociala prin punerea la dispozitia populatiei mecanisme de învatare a tehnicilor si metodelor, care sa le
permita sa le utilizeze. resurse locale ca intrari si instrumente pentru a depasi saracia si excluziunea.
4. Contribuirea la reducerea excluziunii digitale: contribuind la transmiterea de cunostinte catre populatie, acestia vor putea lupta
împotriva excluziunii digitale, într-o lume din ce în ce mai interconectata.
5. Promovarea, consolidarea si îmbunatatirea sentimentului de apartenenta la teritoriu al comunitatii: prin introducerea
metodologiilor si practicilor de reinterpretare a teritoriului, a frumusetii acestuia si a adevaratului sau potential.
6. Contribuirea la procesul de construire a unei societati mai durabile, corecte si integrate: în care limbajul artistic poate fi folosit si
ca instrument de comunicare si interpretare a lumii, cu respect deplin pentru mediu si sanse egale pentru toti.</t>
  </si>
  <si>
    <t>Dezvoltarea unui mecanism pentru sustinerea si promovarea dezvoltarii la nivel local in domeniul bugetarii participative, ca premisa pentru
imbunatatirea proceselor decizionale si consolidarea relatiei intre comunitatea locala si administratia publica locala din judetul Vrancea.
Obiectivele specifice ale proiectului
1. Obiectiv specific 1. Cresterea competentelor de advocay in domeniul bugetarii participative pentru 90 de participanti (reprezentati
ai ONG-urilor si partenerilor sociali) de la nivel local.                                                                                                                                                                                                                2. Obiectiv Specific 2. Initierea si punerea in functiune a unui mecanism de dialog social pentru sustinerea si promovarea dezvoltarii
la nivel local in domeniul bugetarii participative.</t>
  </si>
  <si>
    <t>Obiectivul general al proiectului este consolidarea capacitatii organizatiilor non-guvermanetale si a partenerilor sociali de a se implica în
formularea si promovarea la nivel local printr-un program integrat de promovare a corelarii politicilor publice locale cu principiile dezvoltarii
durabile in turism, printr-un parteneriat de dezvoltare locala, realizand 3 instrumente de sprijin sustinute de o campanie de consultare
publica cu impact la 300 persoane si formarea a 112 persoane ca expert de dezvoltare durabila, în termen de 14 luni.                                                        1. O1. Dezvoltarea si diseminarea a trei instrumente care sa sprijine administratia publica locala în elaborarea si implementarea de
politici publice în domeniul dezvoltarii durabile privind sectorul turismului (manual orientativ de implementare la nivel local a
activitatilor de monitorizare a indicatorilor dezvoltarii durabile in turism, un ghid pentru agentii economici si un ghid pentru
comunitate privind dezvoltarea durabila in turism), pana in noiembrie 2022
2. O2. Cresterea gradului de informare a comunitatiilor cu privire la dezvoltarea durabila in domeniul turismului si la modalitati de
sustinere a implicarii active pentru 25 persoane prin realizarea unui grup de lucru cu vizibilitate online privind dezvoltarea durabila
in turism la nivelul politicilor locale (cuprinzand temele –ODD si indicatorii de dezvoltare durabila, turism sustenabil, egalitatea de
sanse si nediscriminarea, politici locale privind dezvoltarea durabila in turism, protectia mediului)
3. O3. Cresterea capacitatii ONG-urilor si a partenerilor sociali de a se implica în formularea si promovarea dezvoltarii la nivel local
pentru 30 ONG-uri si parteneri sociali prin realizarea unei campanii de consultare a acestora din regiunile de implementare (3
regiuni) si vizibilitate online privind indicatorii de dezvoltare durabila in turism (o masa rotunda si un chestionar online)
4. O4. Cresterea capacitatii AST si a Asociatiei EURO&lt;26 de a se implica in formularea si promovarea dezvoltarii la nivel local prin
realizarea unor programe pentru personalul propriu de formare/instruire de 5 zile finalizate cu certificare in expert de dezvoltare
durabila pentru 14 persoane.
5. O5: Cresterea capacitatii AST si a Asociatiei EURO&lt;26 de a se implica in formularea si promovarea dezvoltarii la nivel local prin
realizarea unor programe de formare/instruire de 5 zile implementate in parteneriat cu autoritati publice pentru 84 participanti
certificati in expert de dezvoltare durabila (alesi locali, personal din autoritatile si institutiile publice si cetateni).
6. O6: Implicarea in formularea si promovarea dezvoltarii sustenabile la nivel local prin implementarea in partenereriat de initiative
de dezvoltare a responsabilitatii civice, de implicare a comunitatilor locale in viata publica si de participare la procesele
decizionale, de promovare a egalitati de sanse si nediscriminarii, privind a turismul sustenabil in mediul online prin implementarea
si diseminarea unei platforme (website) cu instrument de colectare de date privind indicatorii dezvoltarii durabile in turism, in
termen de 8 luni.
Ne propunem atingerea a doua directii: cresterea constientizarii cu privire la standardizarea si monitorizarea indicatorilor in turism
si oferirea posibilitatii catre ONG-uri si partenerii sociali de raportarea a proiectelor cu impact asupra indicatorilor din turism, cu un
minim de 300 vizualizari pana la finalizarea proiectului.</t>
  </si>
  <si>
    <t>Obiectivul general al proiectului este de a dezvolta si consolida capacitatea ONG-urilor si partenerilor sociali de a se implica in sprijinirea si
dezvoltarea de initiative de dezvoltare a responsabilitatii civice, de implicare a comunitatii locale în viata publica si de participare la
procesele decizionale, avand la baza promovarea principiilor egalitatii de sanse si nediscriminarii, precum si a dezvoltarii durabile.                       1. OS 1 Crearea Monitorului societatii civile cu responsabilitate la nivelul comunitatii Lehliu-Gara si judetului Calarasi, in vederea
implicarii acesteia in sprijinirea si dezvoltarea de initiative de dezvoltare locala
2. OS 2 Constituirea si operationalizarea unui Comitet de responsabilitate civica si implicare locala, care sa reuneasca reprezentanti
ai tuturor actorilor sociali relevanti (societate civila, cetateni, reprezentanti ai autoritatilor locale)
3. OS 3 Crearea unui comitet consultativ local care sa asigure dezvoltarea de mecanisme, proceduri, instrumente de consolidare a
dialogului social si civic
4. OS 4 Dezvoltarea unui instrument de monitorizare si evaluare independenta a politicilor si strategiilor la nivel local
5. OS 5 Dezvoltarea capacitatii partenerilor sociali si a ONG-urilor prin instruiri in domeniul responsabilitatii civice si bunei
guvernante</t>
  </si>
  <si>
    <t>OBIECTIVUL GENERAL (SCOPUL) PROIECTULUI ESTE CRESTEREA CAPACITATII ONG-URILOR SI PARTENERILOR SOCIALI DE
A SE IMPLICA IN FORMULAREA SI PROMOVAREA DEZVOLTARII LA NIVELUL UAT PLOIESTI.                                                                                                                                          OS1. Implicarea partenerilor sociali, ONG-urilor si cetatenilor in formularea si promovarea dezvoltarii la nivelul UAT Ploiesti prin
dezvoltarea si implementarea unui mecanism de consultare timp de 14 luni.                                                                                                                                                        OS2. Dezvoltarea capacitatii partenerilor sociali si ONG-urilor de a se implica in formularea si promovarea dezvoltarii la nivelul
UAT Ploiesti timp de 10 luni prin instruire practica, formare continua a 70 de pers din cadrul ONG-urilor si partenerilor sociali care
vor fi certificati si 2 activitati intreprinse in comun cu autoritati locale si participarea lor la activitatile retelelor nationale si europene.</t>
  </si>
  <si>
    <t>Obiectivul general al proiectului este dezvoltarea unui set unitar de instrumente pentru consolidarea capacitatii administratiei publice prin
implicarea organizatiilor neguvernamentale in formularea si dezvoltarea la nivel local.                                                                                                                                   1. OS 1 – Intocmirea unei metodologii de evaluare si monitorizare a capacitatii administrative a unitatilor administrativ-teritoriale
2. OS 2 – Intocmirea unei metodologii in vederea sustinerii si promovarii dezvoltarii la nivel local, in special in relatia dintre
autoritatile si institutiile administratiei publice
3. OS 3 – Intocmirea unei metodologii ce are ca scop inlesnirea relatiei dintre autoritatea publica locala cu ONG-uri de profil, institutii
de invatamant acreditate, dar si cu cetatenii, in vederea elaborarii de politici si strategii la nivel local
4. OS 4 – Crearea unei platforme pentru dialogul social si civic
5. OS 5 - Formarea unui numar de 50 de persoane în sfera administratiei publice
6. OS 6 – Organizarea a 3 workshop-uri in vederea dezvoltarii responsabilitatii civice, de implicare a comunitatilor locale in viata
publica
7. OS 7 - 12 luni de management si informare si publicitate</t>
  </si>
  <si>
    <t>Dezvoltarea de mecanisme, proceduri si instrumente care sa consolideze dialogul social si civic.
Obiectivele specifice ale proiectului
1. OS 1. - Dezvoltarea unui set de indicatori de monitorizare a dialogului social si civic
2. OS 2. - Dezvoltarea si implementarea unui instrument de consolidare a dialogului social si civic în toate domeniile de interes,
domeniul administratiei publice, domeniul muncii, dezvoltarii locale.</t>
  </si>
  <si>
    <t>Consolidarea capacitatii Fundatiei Zamolxes în vederea atragerii de membri si voluntari pentru cresterea implicarii cetatenilor în
dezvoltarea comunitatii locale a Municipiului Câmpina, oferind tuturor vârstelor si grupurilor sociale oportunitatea de a se implica în actiuni
voluntare, initiative care contribuie la promovarea si respectarea valorilor democratice si a drepturilor omului.
Obiectivele specifice ale proiectului
1. OS1: Realizarea unui parteneriat de dezvoltare locala între Fundatia Zamolxes si Unitatea Administrativa Teritoriala a Municipiului
Câmpina pe o perioada de 14 luni în perioada de implementare a proiectului si înca 6 luni dupa finalizarea proiectului.
2. OS2: Îmbunatatirea competentelor profesionale a 100 de voluntari ai Fundatiei Zamolxes privind cetatenia activa.
3. OS3: Elaborarea unor instrumente de comunicare si consultare a comunitatii locale cu privire la initiative de dezvoltare locala a
Municipiului Câmpina.
4. OS4: Derularea unei Campanii privind dezvoltarea cetateniei active în Municipiul Câmpina pe toata perioada de implementare a
proiectului.</t>
  </si>
  <si>
    <t>Consolidarea capacitatii Asocitiei de Dezvoltare Intercomunitara Zona Metropolitana Drobeta Turnu Severin în vederea atragerii de
membri si voluntari pentru cresterea implicarii cetatenilor în dezvlotarea comunitatii locala a Zonei Metropolitane Drobeta Turnul Severin,
oferind tuturor vârstelor si grupurilor sociale oportunitatea de a se implica în actiuni voluntare, initiative care contribuie la promovarea si
respectarea valorilor democratice si a dreptului omului.
Obiectivele specifice ale proiectului
1. OS1: Realizarea unui parteneriat de dezvolotarea locala între A.D.I. Zona Metropolitana Drobeta Turnu Severin si UAT Dorbeta-
Turnu Severin, Consiliul Judetean Mehedinti, UAT Orsova, UAT Simian, UAT Breznita , UAT Malovat, UAT Izvorul Birzii UAT
Prunisor, Fundatia Zamolxes pe o perioada de 14 luni în perioada de implementare a proiectului si înca 6 luni dupa finalizarea
proiectului.
2. OS2: Elaborarea unor instrumente de comunicare si consultare a comunitatii locale cu privire la initiative de dezvoltare locala a
Zonei Metropolitane Drobeta Turnu Severin</t>
  </si>
  <si>
    <t>Scopul proiectului este dezvoltarea procesului de consultare multi-actori si a capacitatii ecosistemului institutional si uman relevant pentru
Învatamântul Profesional si Tehnic (ÎPT) din Municipiile Piatra Neamt si Resita de a dialoga eficient, propune politici publice si a gasi solutii
pentru o mai buna integrare socio-profesionala a tinerilor absolventi ÎPT.
Obiectivele specifice ale proiectului
1. Dezvoltarea dialogului institutional de la nivelul Municipiilor Piatra Neamt si Resita prin evaluarea dialogului multi-actori si a
capacitatii ONG-urilor si a actorilor locali relevanti (parteneri sociali, licee ÎPT, AJOFM, ISJ) de a fi parte din procesele decizionale
locale si prin publicarea unei analize în acest sens.
2. Dezvoltarea capacitatii a 16 reprezentanti ai ONG-urilor active în domeniul tineretului si/sau ocuparii si a Camerelor de Comert si
Industrie din Piatra Neamt si Resita de a se implica în parteneriate multi-actori, de a propune politici publice si de a implementa
proiecte pentru ocuparea tinerilor din ÎPT.
3. Dezvoltarea capacitatii a 20 reprezentanti ai partenerilor sociali din Piatra Neamt si Resita de a se implica în parteneriate multiactori,
de a propune politici publice si de a implementa proiecte pentru ocuparea tinerilor din ÎPT.
4. Îmbunatatirea capacitatii autoritatilor publice locale din Piatra Neamt si Resita în domeniul politicilor, finantarilor si bunelor practici
în materie de ocuparea tinerilor ÎPT prin organizarea a doua sesiuni de formare dedicate unui numar de minim 10 angajati ai
acestora.
5. Consolidarea dialogului social care fundamenteaza oferta educationala (calificari, competente) în domeniul ÎPT, în strânsa
legatura cu cererea pe piata muncii în Piatra Neamt si Resita prin configurarea si pilotarea unei metodologii de consultare a
partenerilor sociali pentru identificarea nevoilor de noi calificari si competente pe piata muncii.
6. Sprijinirea dezvoltarii la nivel local prin crearea si pilotarea unui mecanism sustenabil de consultare, parteneriat si dialog între
autoritatea publica si actorii locali relevanti pentru ocuparea si formarea tinerilor din învatamântul ÎPT.
7. Informarea si comunicarea proiectului în cele doua comunitati locale si pe plan national cu scopul cresterii nivelului de întelegere
si sustinere a publicului pentru revitalizarea învatamântului ÎPT si a ocuparii tinerilor din ÎPT dn Piatra Neamt si Resita.</t>
  </si>
  <si>
    <t>Obiectivul general al proiectului consta in implicarea activa a ONG-urilor si a cetatenilor pentru dezvoltarea localitatilor Simian si Hinova
din judetul Mehedinti, punandu-se accentul pe principiile dezvoltarii durabile si pe o mai buna relationare a societatii civile cu institutiile
publice din cele doua localitati.
Obiectivele specifice ale proiectului
1. Os. 1 Parteneriate între ONG-uri/parteneri sociali si autoritati locale, care sunt functionale la 6 luni dupa finalizarea proiectelor,
parteneriat ce va conduce la dezvoltarea locala prin activitatile propuse pe proiect. Astfel se va tine cont de specificul activitatilor
din zona respectiva si vor fi realizate: analize asupra necesitatilor investitionale din localitate, ghid de bune practici in practicarea
unei agriculturi ce respecta principiile dezvoltarii durabile, pentru protejarea mediului inconjurator, procedura relationala cu
societatea civila, manual de bune practici ai a unui indrumar care vizeaza dezvoltarea de mecanisme si instrumente de
consolidare a dialogului social si civic, pagina web in vedere eficientizarii comunicarii UAT-urilor cu societatea civila.
2. Os. 2 Pentru o mai buna pregatire profesionala si o mai buna relationare cu societatea civila se vor realiza cursuri de formare
profesionala la care vor participa anagajati ai UAT-urilor Simian si Hinova, acestia fiind evaluati si certificati la finalizarea cursurilor
de formare.</t>
  </si>
  <si>
    <t>Obiectivul general al proiectului “Competente civice in Vrancea” consta în cresterea capacitatii organizationale a SNCRR Filiala Vrancea
de a se implica în formularea unui instrument comun de interventie in situatie de criza/urgenta la nivelul comunitatilor Adjud si Pufesti si
totodata dezvoltarea de abilitati si competente in randul voluntarilor, ce vin in sprijinul comunitatii in situatie de criza/urgenta. Prin
activitatile propuse, SNCRR Filiala Vrancea isi va extinde aria de interventie si va multiplica activitatile cu impact pozitiv in comunitate,
precum si initiative care îsi propun cresterea implicarii cetatenilor în comunitate, dezvoltarea spiritului civic precum si crearea premiselor
de participare în procesul de luare a deciziilor la nivelul comunitatii.
Obiectivele specifice ale proiectului
1. OS1.Cresterea capacitatii organizationale a SNCRR Filiala Vrancea prin construirea unui dialog sustenabil cu societatea civila si
administratia publica;
2. OS2. Cresterea gradului de constientizare a rolului societatii civile in comunitate prin elaborarea unui instrument comun privind
interventia in situatie de urgenta
3. OS3. Dobandirea de abilitati civice in randul comunitatilor, in vederea asigurarii unui grad ridicat de interventie in comunitate;
4. OS4. Cresterea premiselor de colaborare ale comunitatii si participarea/implicarea acesteia în procesul de luare a deciziilor;
5. OS5.Dezvoltarea retelei de voluntari in Adjud si Pufesti prin incheierea a minim 50 de contracte de voluntariat (30 de contracte de
voluntariat in Adjud si 20 de contracte de voluntariat in Pufesti);
6. OS6. Cresterea gradului de constientizare privind egalitatea de sanse si nediscriminarea in comunitate precum si a protectiei
mediului prin promovarea obiectivelor de dezvoltare durabila</t>
  </si>
  <si>
    <t>Obiectivul general al proiectului vizeaza consolidarea capacitatii ONG-urilor, partenerilor sociali si actorilor relevanti în domeniul
criminalitatii, la nivelul judetului Mures, de a se implica în formularea si promovarea dezvoltarii locale, prin optimizarea masurilor de
prevenire a criminalitatii si crestere a sigurantei publice.
Obiectivele specifice ale proiectului
1. Cresterea capacitatii a 6 ONG-uri, 2 organizatii sindicale de învatamânt din judetul Mures de a se implica în formularea si
promovarea dezvoltarii locale prin organizarea de instruiri în politici publice, advocacy, egalitate de sanse si dezvoltare durabila
2. Consolidarea dialogului social dintre 6 ONG-uri, 2 organizatii sindicale de învatamânt, comunitatea locala si autoritatile publice
relevante în domeniul prevenirii criminalitatii, prin crearea unei platforme de dialog social, organizarea a 15 întâlniri de lucru
tematice
3. Încheierea unui parteneriat între 6 ONG-uri, 2 organizatii sindicale de învatamânt si autoritatile publice în vederea sustinerii si
promovarii dezvoltarii la nivel local în domeniul prevenirii criminalitatii din judetul Mures, prin semnarea unui protocol de
colaborare si dialog social
4. Dezvoltarea capacitatii a 14 persoane, angajati si membrii din ONG-uri si sindicate din învatamânt de a se implica în formularea
de propuneri alternative la politicile publice actuale, prin instruire specifica.
5. Cresterea gradului de constientizare si implicare civica a 500 de persoane din judetul Mures, prin organizarea unei consultari
publice, 5 campanii de constientizare si elaborarea unei proceduri de implementare a programului educatie pentru siguranta</t>
  </si>
  <si>
    <t xml:space="preserve">Obiectivul general al proiectului este reprezentat de cresterea capacitatii Patronatului Tinerilor Intreprinzatori din Romania de a se implica
in formularea si promovarea dezvoltarii la nivel local in aria sa de activitate si expertiza, respectiv sustinerea antreprenoriatului in general
si a tinerilor intreprinzatori in special.
Obiectivele specifice ale proiectului
1. Obiectivul specific 1:
Cresterea capacitatii PTIR de a se implica in dezvoltarea mediului de afaceri si promovarea antreprenoriatului la nivel local prin
derularea unui program de formare specifica pentru reprezentantii sai. In cadrul proiectului, 30 de reprezentanti ai PTIR vor urma
un program de formare in “Buna guvernanta si dialog social”.
2. Obiectivul specific 2:
Dezvoltarea unui mecanism pentru sustinerea si promovarea dezvoltarii mediului de afaceri la nivel local. In vederea atingerii
acestui obiectiv, va fi realizata o strategie de dezvoltare a mediului de afaceri la nivel local, strategie fundamentata si bazata pe
nevoile reale ale mediului de afaceri la nivelul Municipiului Ploiesti. 
3. Obiectivul specific 3:
Dezvoltarea unui mecanism de consultare a autoritatilor si institutiilor publice cu partenerii sociali si ONG-urile relevante în
elaborarea politicilor si strategiilor pentru dezvoltarea mediului de afaceri la nivel local. </t>
  </si>
  <si>
    <t>Scopul asociatiei APOCL este de a formula si implementa politici publice locale si de a contribui la satisfacerea nevoii de sanatate a
populatiei. Împreuna cu partenerii nostri evaluam contextul familial, social, economic si cultural în care se manifesta problemele pacientilor din judetul Calarasi astfel ca putem stabili nevoile de îngrijire prin elaborarea de strategii bazate pe mentinerea standardelor de calitate, adecvate societatii moderne prin parteneriat public-privat.                                                                                                                                                                             O1- Elaborarea unui Plan de actiune comun pentru evaluarea si dezvoltarea serviciilor locale pentru ingirjirea pacientilor
oncologici în judetul Calarasi prin implicarea pacientilor/asociatiilor de pacienti si reprezentantilor societatii civile în probleme de
calitate în sanatate, pentru cresterea gradului de satisfactie a pacientilor si a populatiei judetului Calarasi fata de serviciile de
sanatate
2. O2- Dezvoltarea aptitudinilor si capacitatii a 75 de persoane din randul a:13 ONG-uri, parteneri sociali si angajati ai institutiilor
publice de a implementa instrumente de evaluare si îmbunatatire a serviciilor medicale prin parteneriat public-privat în judetul
Calarasi;
3. O3 - Promovarea bunelor practici în implementarea standardelor comune în administratia publica locala, furnizorii de servicii
medicale si sector civil, pentru optimizarea procesele orientate catre beneficiari/pacientii oncologici.</t>
  </si>
  <si>
    <t>Dezvoltarea si implementarea de parteneriate si mecanisme de cooperare intre autoritatile publice, ONG-uri si institutii de învatamânt
preuniversitar pentru elaborarea de politici si strategii privind educatia noilor generatii de tineri precum si dezvoltarea capaciatilor
membrilor ONG-urilor si ai reprezentantilor comunitatii locale prin instruiri si participari la retele tematice.                                                                               1. OS1. Dezvoltarea si implementarea a 3 parteneriate locale APL-ONG-Institutii de învatamânt preuniversitar pentru elaboarea unei
politici locale educationale pentru tineri si a unui plan de masuri privind educatia preuniversitara si tineretul la nivel local
2. OS2. Instruirea si certificarea a 60 de membri ai grupului tinta din ONG-uri, APL si partenerilor sociali din educatie in vederea
intariririi competentelor pentru dezvoltare locala
3. OS3. Organizarea si desfasurarea a 6 dezbateri publice pe teme de egalitate de sanse, nediscriminare si dezvoltare umana
durabila în rândul tinerilor</t>
  </si>
  <si>
    <t>Obiectivul general al proiectului consta în promovarea dezvoltarii sistemului de educatie în judetul Giurgiu prin dezvoltarea parteneriatului
la nivel local, cresterea transparentei, consultarii si monitorizarii politicilor si strategiilor în domeniu, precum si prin implicarea cetatenilor si organizatiilor acestora în comunitate si în procesul de luare a deciziilor. Proiectul contribuie la atingerea scopului apelului de proiecte
întrucât creste capacitatea a 50 de organizatii neguvernamentale, inclusiv partenerii de proiect, de a se implica în formularea si
promovarea dezvoltarii educatiei la nivelul judetului Giurgiu. Capacitatea organizatiilor este consolidata prin participarea reprezentantilor
acestora în mecanisme de consultare (grupurile de lucru si dezbaterile publice) si în programe de formare în domeniul politicilor publice
pentru educatie.
Obiectivele specifice ale proiectului
1. 1. Implicarea prin mecanisme noi de consultare si transparenta a cel putin 500 de persoane, cetateni, experti, elevi si organizatii
neguvernamentale, în procesul de monitorizare si actualizare a strategiei de dezvoltare a educatiei în judetul Giurgiu în
urmatoarele 14 luni.</t>
  </si>
  <si>
    <t>Crearea unui mecanism de democratie participativa pentru dezvoltarea locala prin implicarea ONG-urilor, personaluiui din administratia
publica locala si membrilor comunitatii prin instruirea si profesionalizarea de resurse umane ale organismelor implicate din ONG,
administratia locala, populatia generala.
Obiectivele specifice ale proiectului
1. Cresterea competentelor profesionale pentru un numar de 61 beneficiari - gruptinta, membrii ai World Vision România, ai
administratiei publice locale si cetateni ai comunitatilor implicate.
2. Crearea a 2 Birouri pentru Dezvoltare Locala în Comunitatile Muntenii de Jos, Lipovat din Judetul Vaslui, în cadrul Parteneriatului
pentru Dezvoltare Locala.
3. Implicarea societatiii civile în deciziile ce privesc dezvoltarea comunitara, printr-o campanie de constientizare si aplicare a
principiilor democratiei participative: „O idee pentru viitor”.
4. Crearea unui HUB Informational sub forma unui mecanism pentru sustinerea si promovarea dezvoltarii la nivel local si de
interactiune în trinomul Autoritati Publice – ONG – cetateni .</t>
  </si>
  <si>
    <t>OBIECTIVUL GENERAL (SCOPUL) PROIECTULUI ESTE CRESTEREA CAPACITATII ONG-URILOR SI PARTENERILOR SOCIALI DE
A SE IMPLICA IN FORMULAREA SI PROMOVAREA DEZVOLTARII LA NIVELUL UAT CIULNITA.                                                                                                                                          OS1. Implicarea partenerilor sociali, ONG-urilor si cetatenilor in formularea si promovarea dezvoltarii la nivelul UAT Ciulnita prin
dezvoltarea si implementarea unui mecanism de consultare timp de 14 luni.                                                                                                                                                             OS2. Dezvoltarea capacitatii partenerilor sociali si ONG-urilor de a se implica in formularea si promovarea dezvoltarii la nivelul
UAT Ciulnita timp de 8 luni prin instruire practica, formare continua a 56 de pers din cadrul ONG-urilor si partenerilor sociali care
vor fi certificati si 2 activitati intreprinse in comun cu autoritati locale si participarea lor la activitatile retelelor nationale si europene.</t>
  </si>
  <si>
    <t>Sprijinirea de initiative de dezvoltare a responsabilitatii civice, de implicare a comunitatilor locale în viata publica si de participare la
procesele decizionale, de promovare a egalitatii de sanse si nedescriminarii si dezvoltarii durabile.
Obiectivele specifice ale proiectului
1. Os 1.- Dezvoltarea unui set de initiative de dezvoltare a responsabilitatii civice si de implicare a comunitatii locale la procesele
decizionale
2. Os 2. - Dezvoltarea si implementarea unui set de initiative de promovare a egalitatii de sanse, nediscriminare si a dezvoltarii
durabile.</t>
  </si>
  <si>
    <t>Obiectivul general vizeaza cresterea calitatii administratiei publice locale din comuna Stulpicani prin introducerea unor standarde comune
care asigura optimizarea proceselor orientate catre beneficiari, proiectul fiind realizat in deplina concordanta cu SCAP.                                                      OS.1. Cresterea capacitatii societatii civile de a se implica in formularea si promovarea dezvoltarii la nivel local prin includerea in
cursuri de formare profesionala a 40 de cetateni (reprezentanti ai ong-urilor, parteneri sociale, alesi locali), din comuna Stulpicani.                              OS.2. Cresterea calitatii administratiei publice in comuna Stulpicani prin dezvoltarea unui mecanism comun de consultare si
integrare a cetatenilor in procesul decizional, mecanism care va integra un set de proceduri standard specifice, un instrument IT
de tip platforma online precum si minim 5 parteneriate care vor functiona cel putin 6 luni de la finalizarea proiectului.</t>
  </si>
  <si>
    <t>Obiectivul general al proiectului este implementarea pe termen mediu a unui sistem de e-consultare pentru luarea deciziilor publice de
interes local printr-un parteneriat societate civila-administratie publica care sustine în mod direct interesele si initiativele cetatenilor din
judetul Giurgiu.
Obiectivele specifice ale proiectului
1. Dezvoltarea unui sistem de e-consultare publica care va fi functional în cadrul parteneriatului de dezvoltare locala în municipiul
Giurgiu.
2. Întarirea capacitatii societatii civile locale si a administratiei publice locale de a se implica în dezvoltarea la nivel local prin activitati
de formare în domeniul utilizarii noilor tehnologii informationale în procesele decizionale si participarea civica, promovarea
egalitatii de sanse si nediscriminarii si dezvoltare durabila.
3. Identificarea, dezbaterea si supunerea la vot prin sistemul de e-consultare a doua probleme de interes public si de impact asupra
unui numar semnificativ de cetateni ai municipiului Giurgiu.</t>
  </si>
  <si>
    <t>Cresterea capacitatii ONG-urilor si partenerilor sociali din Petrila si Vulcan de a se implica în formularea si promovarea dezvoltarii la nivel
local
Obiectivele specifice ale proiectului
1. Elaborarea unei metodologii de evaluare a nevoilor de implicare în formularea si promovarea dezvoltarii la nivel local a ONG-urilor
si partenerilor sociali la nivelul oraselor Petrila si Vulcan. Identificarea solutiilor pentru cresterea capacitatii ONG-urilor si a
partenerilor sociali în formularea si promovarea dezvoltarii la nivel local (raport)
2. Organizare grupuri civice formate din ONG-uri (inclusiv reprezentanti ai structurilor asociative ale autoritatilor administratiei
publice locale, ai camerelor de comert) si reprezentanti ai partenerilor sociali (patronate si sindicate), pentru monitorizarea si
evaluarea strategiilor de dezvoltare locala. Organizare dezbateri publice privind strategiile de dezvoltare durabila a oraselor
Petrila si Vulcan. Organizare sesiuni de instruire privind principiile dezvoltarii durabile, metode si instrumente de monitorizare a
legiferarii locale si advocacy (dialog si reprezentare institutionala)
3. Dezvoltarea unui manual ce va cuprinde instrumente de monitorizare si evaluare independenta a politicilor si strategiilor la nivel
local, proceduri de interactiune cu autoritatile si institutiile administratiei publice. Monitorizarea implementarii obiectivelor de
dezvoltare durabila si implicarea în procesul de elaborare a rapoartelor tematice de monitorizare
4. Elaborarea unei cercetari (studiu) al nivelului de transparenta institutionala la nivelul oraselor Petrila si Vulcan. Instrumentalizarea
barometrului comparativ al perceptiei grupurilor civice privind dezvoltarea durabila</t>
  </si>
  <si>
    <t>Obiectivul general al proiectului este dezvoltarea unui set unitar de instrumente pentru consolidarea capacitatii administratiei publice prin
implicarea organizatiilor neguvernamentale in formularea si dezvoltarea la nivel local.                                                                                                                                1. OS 1 – Intocmirea unei metodologii de evaluare si monitorizare a capacitatii administrative a unitatilor administrativ-teritoriale
2. OS 2 – Intocmirea unei metodologii in vederea sustinerii si promovarii dezvoltarii la nivel local, in special in relatia dintre
autoritatile si institutiile administratiei publice
3. OS 3 – Intocmirea unei metodologii ce are ca scop inlesnirea relatiei dintre autoritatea publica locala cu ONG-uri de profil, institutii
de invatamant acreditate, dar si cu cetatenii, in vederea elaborarii de politici si strategii la nivel local
4. OS 4 – Crearea unei platforme pentru dialogul social si civic
5. OS 5 - Formarea unui numar de 50 de persoane în sfera administratiei publice
6. OS 6 – Organizarea a 3 workshop-uri in vederea dezvoltarii responsabilitatii civice, de implicare a comunitatilor locale in viata
publica
7. OS 7 - 12 luni de management si informare si publicitate</t>
  </si>
  <si>
    <t>Consolidarea capacitatii FSLI de implicare in formularea si promovarea dezvoltarii locale, prin extinderea ariei de interventie,
imbunatatirea culturii dialogului social si a cunostintelor GT, alinierea la principiile europene, promovarea cetateniei active, utilizarea
eficienta a instrumentelor si mecanismelor de instruire/consultare/diseminare care sa contribuie la atingerea Obiectivului specific 2.1.
POCA.
Obiectivele specifice ale proiectului
1. OS1 - identificarea, filtrarea si stabilirea masurilor necesare care vor fi concretizate intr-un Ghid de Bune Practici pentru ONG-uri
si partenerii sociali privind implicarea acestora în formularea si promovarea de politici publice si promovarea dezvoltarii locale
durabile.
2. OS2 - instruirea si formarea adecvata a personalului tinta (angajat, voluntar sau membru) din ONG-uri, parteneri sociali si din
cadrul autoritatilor locale pentru dezvoltarea capacitatii organizationale pentru implicare in dezvoltarea locala si perfectionarea
abilitatilor si competentelor persoanelor din grupul tinta de a identifica, formula si expune problemele de interes public local.
3. OS3. - Crearea de mecanisme pentru sustinerea si promovarea dezvoltarii la nivel local prin dialog social si civic: cadru general
de functionare a unui Consiliu Consultativ Cetatenesc de Dezvoltare Locala (CCC-DL), retea locala de parteneri sociali, ONG-uri
si alti actori ai societatii civile si acorduri de tip PDL.</t>
  </si>
  <si>
    <t>Consolidarea capacitatii ARPR de a se implica în formularea si promovarea dezvoltarii locale, prin extinderea ariei de interventie,
imbunatatirea culturii dialogului social si a cunostintelor GT, alinierea la principiile europene, promovarea cetateniei active, utilizarea
eficienta a instrumentelor si mecanismelor de instruire/consultare/diseminare care sa contribuie la atingerea Obiectivului specific 2.1.
POCA.                                                                                                                                                                                                                                                                                                                              OS1 - dentificarea, filtrarea si stabilirea masurilor necesare care vor fi concretizate intr-un Ghid de bune practici pentru ONG-uri si
partenerii sociali privind implicarea acestora în formularea si promovarea de politici publice si promovarea dezvoltarii locale
durabile, cu un capitol special destinat implicarii in probleme protectia mediului prin colectarea selectiva a deseurilor.                                                      OS2 - Instruirea si formarea adecvata a personalului din ONG-uri, parteneri sociali si din cadrul autoritatilor locale pentru
dezvoltarea capacitatii organizationale pentru implicare in dezvoltarea locala si perfectionarea abilitatilor si competentelor
persoanelor din grupul tinta de a identifica, formula si expune problemele de interes public local, respectiv: formarea unui numar
de minim 60 de persoane, prin cursuri, seminarii si workshopuri:                                                                                                                                                                                       OS3 - Crearea de mecanisme pentru sustinerea si promovarea dezvoltarii la nivel local prin dialog social si civic: 1 cadru general
de functionare a unui Consiliu Consultativ Cetatenesc de Dezvoltare Locala (CCC-DL), 1 Retea locala de parteneri sociali, ONGuri
si alti actori ai societatii civile; minim 5 acorduri de tip PDL.</t>
  </si>
  <si>
    <t>OG: Cresterea capacitatii la nivelul comunitatii locale Brasov de a dezvolta si utiliza finantarea participativa (crowdfunding-ul) ca
mecanism alternativ de finantare pentru proiectele inovative din comunitate (inclusiv pentru proiectele propuse prin mecanismul de
bugetare participativa).                                                                                                                                                                                                                                                                                      1. OS1. Crearea unui mecanism inovator de finantare participativa pentru proiectele inovative din comunitati
2. OS2. Dezvoltarea capacitatii a 105 reprezentanti ai ONG-urilor, personal din autoritatile si institutiile publice locale, alesi locali,
cetateni care actioneaza in aria de implementare a Mun. Brasov, din care 25 din randul ONG-urilor, de a utiliza mecanisme de
finantare alternativa si scheme de match-funding pentru finantarea proiectelor inovative</t>
  </si>
  <si>
    <t>Cresterea capacitatii ONG-urilor si a partenerilor sociali de a se implica in formularea si promovarea politicilor de dezvoltare a mediului de afaceri local al orasului Comanesti, judet Bacau, intr-un orizont de timp de 14 luni
Obiectivele specifice ale proiectului
1. Dezvoltarea unui parteneriat durabil si activ la 6 luni de la finalizarea proiectului intre autoritati locale, ONG-uri si parteneri sociali
pentru formularea si promovarea de propuneri pentru dezvoltarea mediului de afaceri local al orasului Comanesti, judet Bacau
2. Cresterea capacitatii unui numar de 34 de persoane (reprezentanti ai ONG-urilor si partenerilor sociali) de a se implica in
formularea si promovarea de propuneri pentru dezvoltarea mediului de afaceri local al orasului Comanesti, judet Bacau, prin
dezvoltarea de competente de educatie financiara si planificare strategica
3. Dezvoltarea Strategiei de dezvoltare locala a orasului Comanesti, judet Bacau, a planului de actiune asociat incluzand un
mecanism de consultare a autoritatilor si institutiilor publice cu ONG-urile, partenerii sociali, precum si a cetatenilor în elaborarea
politicilor si strategiilor la nivel local pentru formularea de propuneri alternative la politicile locale
4. Derularea campaniei de advocacy ca mecanism pentru sustinerea si promovarea dezvoltarii mediului de afaceri local al orasului
Comanesti, judet Bacau, si pentru inaintarea propunerilor alternative la politicile publice locale curente</t>
  </si>
  <si>
    <t>Obiectivul general al proiectul este: Cresterea capacitatii Asociatiei Magurele Science Park de a elabora si fundamenta mecanisme pentru
sustinerea si promovarea dezvoltarii la nivel local si de interactiune cu autoritatile si institutiile administratiei publice, prin inovare si
adaptabilitate fata de nevoile ecosistemului de cercetare - dezvoltare – inovare (CDI).
Obiectivele specifice ale proiectului
1. OBS1. Imbunatatirea capacitatii reprezentantior asociatiei MSP de a propune instrumente pentru dezvoltarea locala a
ecosistemului CDI prin derularea unui program de formare a 10 persoane in 3 luni;
OBS2. Crearea unei comunitati cu actori relevanti ai ecosistemului de CDI si 4 evenimente pentru implicarea acestora in
dezvoltarea locala prin inovare;
OBS3. Derularea unei campanii publice de informare si promovare la nivelul Regiunii BI in vederea educarii actorilor de a se
implica in procesele de consultare publica privind mecanismele de inovare pentru dezvoltarea locala durabila.</t>
  </si>
  <si>
    <t>Obiectivul acestui proiect este acela de a consolida capacitatea organizatiilor non-guvernamentale din localitatea Mogosoaia si din judetul
Ilfov de a se implica in formularea si promovarea dezvoltarii la nivel local. In acest sens, proiectul isi propune sa puna bazele unui
Parteneriat pentru Dezvoltare Locala, functional la 6 luni dupa finalizarea proiectului, intre Autoritatea Publica locala Mogosoaia, ONG-uri
si parteneri sociali din zona, si sa dezvolte capacitatea unui numar de 30 de persoane, reprezentanti ai acestora prin instruiri in domeniul
monitorizarii strategiilor si politicilor locale si de participare la procese decizionale, de promovare a egalitatii de sanse si nediscriminari.         OS 1 Dezvoltarea unui parteneriat între ONG-uri /parteneri sociali si UAT Mogosoaia, functional la 6 luni dupa finalizarea
proiectelor                                                                                                                                                                                                                                                                                                                OS 2 Dezvoltarea de proceduri si mecanisme pentru sustinerea si promovarea dezvoltarii la nivelul localitatii si de interactiune
dintre autoritatile si institutiile administratiei publice cu comunitatea locala in perioada 2021-2027;                                                                                           OS 3 Dezvoltarea capacitatii partenerilor sociali si a ONG-urilor prin instruiri in domeniul monitorizarii strategiilor si politicilor locale
si de participare la procesele decizionale, de promovare a egalitati de sanse si nediscriminarii, precum si a dezvoltarii durabile;</t>
  </si>
  <si>
    <t>Consolidarea capacitatii organizatiilor non-guvernamentale si parteneri sociali de a se implica în formularea si promovarea dezvoltarii la
nivel local, prin elaborarea si implementarea de mecanisme si instrumente de interactiune cu autoritati publice locale, precum si prin
instruire specializata si retea de cooperare la nivel local.
Obiectivele specifice ale proiectului
1. Obiectiv specific 1: Întarirea capacitatii de colaborare si participare activa a organizatiilor non-guvernamentale si partenerilor
sociali, prin dezvoltarea unui mecanism de consultare la nivelul Primariei Branesti si elaborarea a patru propuneri de politici
publice in domeniile: educatie, cultura, sanatate, mediu
2. Obiectiv specific 2: Dezvoltarea capacitatii interne a minimum 30 de ONG-urilor si parteneri sociali prin participarea la sesiuni de
instruire specifice, precum si prin intermediul unei retele tematice de cooperare la nivel local.
3. Obiectiv specific 3: Îmbunatatirea capacitatii ONG-urilor si parteneri sociali de a-si extinde aria de interventie, prin elaborarea si
testarea de instrumente de monitorizare si evaluare independenta a politicilor publice aplicate la nivel local.</t>
  </si>
  <si>
    <t>Obiectivul general al proiectului vizeaza dezvoltarea capacitatii CNIPMMR de a se implica în formularea si promovarea dezvoltarii la nivel
local în aria sa de activitate si expertiza, respectiv reprezentarea unitara si eficace a IMM-urilor, prin dezvoltarea unor politici publice prin
care sa se asigure promovarea exporturilor si atragerea de investitii pentru IMM-uri.
Obiectivele specifice ale proiectului
OS1. Dezvoltarea de proceduri, mecanisme pentru sustinerea si promovarea dezvoltarii la nivel local si de interactiune cu
autoritatile si institutiile administratiei publice axate pe promovarea exporturilor si atragerea de investitii în cadrul IMM-urilor.                          OS2. Sustinerea capacitatii CNIPMMR si a altor parteneri sociali de a se implica în formularea si promovarea dezvoltarii la nivel
local in domeniul promovarea exporturilor si atragerea de investitii prin derularea unor activitati de formare specifice acestui
domeniu.</t>
  </si>
  <si>
    <t>Consolidarea capacitatii a cele putin 20 de organizatii non-guvernamentale din Municipiul Bucuresti de a participa la dezvoltarea incluziva
si durabila a capitalei prin economie sociala, solidara si circulara, prin introducerea de standarde si sisteme comune ONG si APL pentru
dezvoltarea de politici publice incluzive si prin interventie pilot, la nivelul Sectorului 3.                                                                                                                                                      Cresterea capacitatii a 20 de ONG-uri sociale si de mediu din Bucuresti de a se implica în promovarea dezvoltarii incluzive si
durabile a capitalei si a Sectorului 3, cu precadere prin economie sociala, solidara si circulara – la nivel strategic si practic,
operational, de implementare si monitorizare a politicilor publice prin formarea si certificarea a 40 de reprezentanti ONG in
"dezvoltare locala durabila" si "dezvoltare locala incluziva".                                                                                                                                                                                                   Imbunatatirea colaborarii si partneriatului dintre administratia publica locala si ONGuri în domeniile social, economie sociala,
ocupare si insertie-socio-profesionala a grupurilor dezavantajate, mediu si managementul inteligent al deseurilor – economie
circulara prin sustinerea dezvoltarii a 10 parteneriate relevante intre ONG si APL, din care cel putin 5 vor fi active la 6 luni de la
finalizarea proiectului.                                                                                                                                                                                                                                                                                             Îmbunatatirea comunicarii si transparentei decizionale si a participarii cetatenesti la luarea deciziilor în Municipiul Bucuresti si in
Sectorul 3 în domeniile dezvoltarii durabile si incluziunii sociale prin crearea platformei online “Bucurestiul social si solidar”, prin
facilitarea directa de dezvoltare de partenetiate (16 ateliere de lucru) si prin premierea parteneriatelor reale si de impact in cadrul
"Galei pareteneriatelor".</t>
  </si>
  <si>
    <t>Obiectivul principal al proiectului consta în cresterea capacitatii Centrului pentru Legislatie Nonprofit si a partenerilor acestuia de a se
implica în formularea si promovarea dezvoltarii politicilor din domeniul protectiei sociale la nivelul Sectorului 6 Bucuresti.
1. OS.1 Implementarea unui instrument de monitorizare si evaluare independenta a politicilor si strategiilor în domeniul protectiei
sociale la nivelul Sectorului 6 într-o perioada de 14 luni;
2. OS.2 Dezvoltarea unui mecanism de consultare a autoritatilor si institutiilor publice cu ONG-urile, partenerii sociali, institutiile de
învatamânt superior acreditate precum si a cetatenilor în elaborarea politicilor si strategiilor în domeniul protectiei sociale la nivelul
Sectorului 6 într-o perioada de 14 luni;
3. OS.3 Cresterea capacitatii a 10 reprezentanti ai ONG-urilor si 10 angajati ai Primariei Sector 6 de a monitoriza si evalua impactul
masurilor de politica publica în domeniul protectiei sociale într-o perioada de 10 luni;</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</si>
  <si>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conditionalitatilor ex-ante pentru Obiectivul Tematic 1 (OT1) al FESI, prevazute în cadrul Programului Operational
Competitivitate 2014-2020 prin realizarea mecanismului de orientare strategica, bazat pe descoperirerea antreprenoriala si
cresterea gradului de integrare a sistemului de CDI în economia nationala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</si>
  <si>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Obiectivul general al proiectului este crearea si dezvoltarea, la nivelul Asociatiei Comunelor din România, a unui mecanism alternativ functional, cu o abordare de jos în sus (bottom-up), de elaborare si monitorizare a politicilor publice ce vizeaza mediul rural din România, respectiv de consultare a membrilor privind politicile publice initiate de autoritatile si institutiile publice centrale - Platforma actiunilor comune transparente PACT - A.Co.R.</t>
  </si>
  <si>
    <t>Obiectivul general al proiectului se refera la adoptarea unei abordari moderne si inovatoare, axata pe facilitarea dezvoltarii socio-economice a tarii, prin intermediul unor servicii publice, investitii si reglementari de calitate.
Obiectivele specifice ale proiectului
1. OS.1. Simplificarea si sistematizarea fondului activ al legislatiei din domeniul resurselor minerale si societatilor cu capital de stat
în concordanta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Îmbunatatirea accesului la informatii publice în format reutilizabil.
2. OS.2. Elaborarea politicilor publice bazate pe dovezi prin:
- Implicarea stakeholderilor înca din etapele initiale ale procesului de formulare a politicilor publice si a reglementarilor;
- Promovarea strategiilor si politicilor adoptate prin intermediul unor campanii de comunicare;
- Crearea unui grup de experti la nivelul Ministerului Economiei.</t>
  </si>
  <si>
    <t xml:space="preserve">Obiectivul general al proiectului este consolidarea capacitatii institutionale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corelatie cu necesitatile mediului economic (A1, Rezultat de proiect 1: politica publica în domeniul de CDI  elaborata si aprobata;
2. implementarea unui cadru de lucru care sa sustina sistematizarea si simplificarea legislatiei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activitati de CDI, în scopul reducerii poverii administrative pentru mediul de afaceri si realizarea în cadrul MCI a unei proceduri simplificate privind recunoasterea activitatii de CDI din cadrul companiilor românesti,
4. dezvoltarea competentelor si abilitatilor profesionale ale personalului de conducere si executie din MCI  în cadrul unor module de instruire în urmatoarele domeniul: politici publice de CDI bazate pe dovezi, legislatia în domeniul cercetarii si reglementarile care vizeaza activitatile de CDI din mediul de afaceri românesc
</t>
  </si>
  <si>
    <t>Obiectivul general al proiectului/Scopul proiectului
Obiective proiect
Proiectul propus contribuie la dezvoltarea si introducerea de sisteme si standarde comune în administratia publica ce optimizeaza
procesele decizionale orientate catre cetateni si mediul de afaceri în concordanta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agentii economici din domeniul schimbarilor
climatice</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</si>
  <si>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legislatiei din domeniul apelor si realizarea unor proceduri simplificate pentru reducerea poverii
administrative pentru mediul de afaceri în domeniul silviculturii.
Obiectivele specifice ale proiectului
1. Implementarea unor sisteme unitare de management al calitatii si performantei la nivelul MAP.
Autoritati si institutii publice centrale care au implementat sistemele unitare de management al calitatii si performantei: 1 –
Ministerul Apelor si Padurilor (inclusiv structurile aflate în subordinea, sub autoritatea si în coordonarea ministerului)
Se vor elabora, revizui si implementa proceduri unitare pentru managementul calitatii în conformitate cu SR EN ISO 9001:2015 la
nivelul departamentelor din cadrul MAP si din cadrul structurilor aflate în subordinea, sub autoritatea si în coordonarea sa.
Se va implementa CAF, ca instrument al managementului calitatii complementar cu SR EN ISO 9001:2015.
De asemenea, sunt vizate activitati de promovare a sistemelor/instrumentelor de management al calitatii, cu accent pe valoarea
adaugata pe care acestea o pot genera, în vederea acordarii de sprijin pentru MAP (si autoritatilor aflate în subordinea, sub
autoritatea si în coordonarea ministerului).
2. Aplicarea sistemului de politici bazate pe dovezi în MAP prin realizarea unor politici publice în domeniul managementului apei si
domeniul silviculturii.
Autoritati si institutii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Autoritati si institutii publice centrale care au implementat masuri unitare de reducere a poverii administrative pentru mediul de
afaceri si pentru cetateni: 1 – Ministerul Apelor si Padurilor.
5. Competente crescute pentru personalul din MAP si din structurile aflate în subordinea, sub autoritatea sau în coordonarea sa, în
domeniul managementului calitatii, pentru sustinerea masurilor/actiunilor de sistematizare si simplificare a legislatiei în domeniul
managementului apei si pentru sustinerea masurilor/actiunilor de simplificare a procedurilor pentru mediul de afaceri în domeniul
silviculturii.
Personalul din autoritatile si institutiile publice centrale care a fost certificat la încetarea calitatii de participant la formare legata de
OS1.1.: 280 persoane.</t>
  </si>
  <si>
    <t>Obiectivul general urmarit prin proiect este acela de îmbunatatire a cunostintelor profesionale si abilitaților membrilor sistemului judiciar vizavi de acest proiect (judecatori, procurori, magistrați-asistenți si personal din cadrul instituțiilor sistemului judiciar asimilat judecatorilor si procurorilor), necesare desfasurarii activitatii în cadrul instantelor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institutiilor sistemului judiciar privind unificarea practicii judiciare.</t>
  </si>
  <si>
    <t xml:space="preserve">Obiectivul principal al proiectului este realizarea si implementarea unui sistem eficient si performant pentru „Consolidarea capacitații institutionale a Oficiului Național al Registrului Comerțului, a sistemului registrului comerțului si a sistemului de publicitate legala”.
</t>
  </si>
  <si>
    <t>Obiectivul general:
Cresterea capacitatii ONG-urilor de a se implica în formularea si promovarea de propuneri alternative la politicile publice initiate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responsabilitatii civice, de implicare a comunitatilor locale în viata publica si de participare la procesele
decizionale, de promovare a egalitatii de sanse, nediscriminarii si dezvoltarii durabile prin organizarea a 4 audieri publice
nationale pe marginea variantei consultative a celor 4 politici publice nationale in domeniul bugetarii pe baza de gen acceptate de
autoritatile responsabile.</t>
  </si>
  <si>
    <t>Cresterea capacitatii ONG-urilor de formulare de politici publice alternative în domeniile sanatate publica sau protectie sociala
Obiectivele specifice ale proiectului
1. Obiectiv specific 1. Elaborarea unui ghid de proceduri si instrumente pentru monitorizarea si evaluarea politicilor publice din
domeniul social sau medical
2. Obiectiv specific 2. Dezvoltarea cunostintelor si abilitatilor pentru 100 de persoane din cadrul ONG-urilor din domeniul domeniile
social sau medical în formularea de politici publice alternative si în monitorizarea independenta a politicilor guvernamentale
3. Obiectiv specific 3. Crearea unei retele informale de ONG-uri în domeniul politicilor publice sociale sau medicale
4. Obiectiv specific 4. Formularea de 5 propuneri de politici publice alternative în domeniul politicilor publice sociale sau medicale</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</si>
  <si>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cetateni si mediul ONG/parteneri sociali
</t>
  </si>
  <si>
    <t>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protectie,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protectie,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protectie,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</si>
  <si>
    <t>Obiectiv general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Obiective specifice                                                                                                                                                                                                                         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activitati în comun pe baza abilitatilor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viata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</si>
  <si>
    <t>Obiectivul general al proiectului/Scopul proiectului
Obiective proiect
Obiectivul general al proiectului este dezvoltarea capacitatii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national, pentru un numar de 50 de persoane.
3. OS 3 - Îmbunatațirea colaborarii si a dialogului dintre organizatiile non-guvernamentale si autoritațile publice, pentru dezvoltarea
capacitații acestora de a iniția parteneriate si de a colabora în procesul de elaborare a politicilor publice.</t>
  </si>
  <si>
    <t xml:space="preserve">Obiectivul general al proiectului:
Cresterea capacitatii ONG-urilor si a partenerilor sociali de a se implica în formularea si promovarea de propuneri alternative la politicile publice initiate de Guvern, în domeniul ocuparii tinerilor prin comunicare, colaborare si sprijin reciproc.
Obiectivele specifice ale proiectului:
1. Instruirea unui numar de 100 de persoane prin cursurile de Delegat Sindical- Cod COR 111411. Scopul instruirii este de a
consolidarea organizatiilor sindicale astfel încât acestea sa îsi îmbunatateasca capacitatea de a formula si promova propuneri de politici publice alternative la politicile publice initiate de Guvern în domeniu. Rolul cursului este de a creste interesul pentru recrutarea tinerilor în sindicate si pentru a le întelege mai bine nevoile.
2. Elaborarea unei Politici publice alternative la politicile publice initiate de Guvern în domeniul ocuparii tinerilor si al tranzitiei acestora de la scoala la viata active. Politica publica alternativa va încerca sa rezolve o serie de probleme identificate prin dezbateri si analiza asupra legislatiei în vigoare.
3. Realizarea unui mecanism de Monitorizare, dezvolatre de politici alternative la cele initiate de Guvern, colaborare, sustinere reciproca, Hub-ul Online al ONG-urilor si ai partenrilor sociali. Un rol important al acestei platforme este dezvoltarea responsabilitatii civice, de implicare a comunitatilor locale în viata publica si de participare la procesele decizionale, de promovare a egalitati de sanse si nediscriminarii, precum si a dezvoltarii durabile. Dezvolta capacitatea partenerilor sociali si a ONG prin activitati întreprinse în comun, participarea si dezvoltarea de retele tematice locale/nationale.
</t>
  </si>
  <si>
    <t xml:space="preserve">Obiectiv general: Dezvoltarea sectorului forestier în scopul cresterii contributiei acestuia la ridicarea nivelului calitatii vietii,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</si>
  <si>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cetatean si bazate pe dovezi, precum si alte tematici de interes aferente actiunilor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</si>
  <si>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privinta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transparente si integritati sporite la nivelul sistemului judiciar în vederea îmbunatatirii accesului si a calitatii serviciilor furnizate la nivelul acestuia, vizând atingerea obiectivelor POCA în materie.
Obiectivele specifice ale proiectului
1. 1.Obiectivul specific 1 (OS1) al Proiectului îl constituie realizarea unei campanii de informare, educație juridica si constientizare a cetatenilor, privind drepturile legislative ale acestora utilizând retelele de socializare si internetul.
2. 2.Obiectivul specific 2 (OS2) al Proiectului îl constituie realizarea unei campanii de informare, educație juridica si constientizare a cetatenilor,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cetatenilor, privind drepturile legislative ale acestora prin prezenta în teritoriu a unei echipe de Experti juridici ce vor facilita cetatenilor si, in special, elevilor si studentilor accesul la legislatie si justiție.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</si>
  <si>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capacitatii a 15 organizatii neguvernamentale si parteneri sociali de a se implica activ în formularea si promovarea unui set de propuneri de modificare a Legii 350/2005 privind regimul finantarilor nerambursabile din fonduri publice alocate pentru activitați nonprofit de interes general
2. OS.2 - Realizarea în mod participativ a unei propuneri de politica publica alternativa privind finantarea publica a activitaților nonprofit de intres general prin implicarea unui numar de 50 de reprezentanti ai organizatiilor neguvernamentale si partenerilor sociali împreuna cu 10 reprezentanti din autoritațile si instituțiile publice.</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</si>
  <si>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capacitatii institutionale a autoritatilor publice si a
partilor interesate si eficienta administratiei publice (OT 11) dar si a Obiectivelor specifice ale Axei prioritare 1,OS 1.1: Dezvoltarea si
introducerea de sisteme si standarde comune în administratia publica ce optimizeaza procesele decizionale orientate catre cetateni si
mediul de afaceri în concordanta cu SCAP precum si la realizarea obiectivelor si masurilor stabilite în cadrul Strategiei pentru
Consolidarea Administratiei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</si>
  <si>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 xml:space="preserve">
Obiective proiect
Proiectul este depus în cadrul Programului Operational Capacitatea Administrativa, Componenta 1 CP2/2017 - Cresterea capacita?ii
ONG-urilor si a partenerilor sociali de a formula politici publice alternative, Axa prioritara 1 Administratie publica si sistem judiciar eficiente,
Operatiunea Dezvoltarea si introducerea de sisteme si standarde comune în administra?ia publica ce optimizeaza procesele decizionale
orientate catre ceta?eni si mediul de afaceri în concordanta cu SCAP.
OG: Dezvoltarea capacitatii ONG-urilor de a formula si propune politici publice sensibile la egalitatea de gen si egalitatea de sanse prin
formarea a 160 de persoane din ONG-uri din domeniul egalitatii de sanse si de gen, drepturile omului si tineret, prin facilitarea accesului
acestora la cunostere privind inegalitatile de gen si privind mecanismele de dialog civic si sprijin pentru advocacy si prin desfasurarea unei
campanii de dialog civic si advocacy pentru politici privind egalitatea de gen la nivel national, la nivel national pe parcursul a 16 luni.
OG raspunde astfel problemelor identificate de parteneri în sectiunea „Justificare” si „Grup tinta”: 1/ deteriorarea continua a dialogului civic
si adoptarea politicilor publice fara consultare cu societatea civila si 2/ promovarea egalitatii de sanse între femei si barbati printr-o
abordare integratoare de gen în toate politicile publice initiate de Guvern.
Obiectivele specifice ale proiectului
1. OS1 Devoltarea capacitatii a 80 de ONG-uri de a formula si propune politici publice sensibile la egalitatea de gen si egalitatea de
sanse prin formarea a 160 de persoane din ONG si prin facilitarea accesului la mecanisme de dialog civic si sprijin pentru
advocacy, la nivel national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capacitatii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societatii civile în
consultarile publice si crestere calitatii interventiilor lor. Actiunile de mai sus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OS1 va fi atins prin implementarea SA1.1, SA1.2, SA2.1, SA2.2, SA2.3, SA5.1, SA7.1 si obtinerea rezultatelor de proiect R1, R3
si R4.
OS1 participa la atingerea IR 5S44-80, IR 5S45-160, ISR1.1-5, ISR2.1-1.
2. OS2 Consolidarea capacitatii a 11 ONG-uri din dom egalitatii de gen si de sanse pentru formularea si propunerea unei politici
publice alternative pentru egalitate de gen, prin cresterea accesului la cunostere privind inegalitatile de gen si desfasurarea unei
campanii de dialog civic si advocacy pentru politici privind egalitatea de gen la nivel national, pe parcursul a 16 luni.
Proiectul prevede realiz unei cercetari cantitative la nivel national (Barometrul de gen) privind perceptia românilor / româncelor cu
privire la egalitatea de gen. Concluziile cercetarii vor fi coroborate cu un studiu comparat România – tari ale UE asupra politicilor
publice aprobate sensibile la egalitatea de gen. Pe aceste informatii se va baza elaborarea propunerii alternative la politicile
publice sensibile la egalitatea de gen initiate de Guvern. La elaborarea / formularea, promovarea ei vor participa 11 ONG-uri care
activeaza în domeniul egalitatii de sanse si gen (cei 2 parteneri din proiect + alte 9 ONG-uri similar) ce vor delega 20 pers din
aparatul propriu pentru proiect (ref. cele 9 ONG-uri). La promovarea PPP vor participa si 30 pers delegate de autoritati publice
centrale relevante pentru egalitatea de gen. Campania de advocacy se va finaliza cu acceptarea PPP de catre o autoritate
relevanta. În etapele de elaborare, promovare, acceptare, se vor integra, respecta si promova principiile orizontale POCA si se
promova sursa de finantare si oportunitatile sale.
OS2 va fi atins prin SA3.1, SA3.2, SA4.1, SA4.2, SA4.3, SA5.1, SA7.1 si obtinerea rezultatelor de proiect R2, R3 si R4.
OS2 part la IR 5S6-11, ISR2.2-50, ISR2.3-1.</t>
  </si>
  <si>
    <t>Obiectivul general al proiectului este: Cresterea eficientei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capacitatii ONG-urilor si partenerilor sociali de a identifica în mod adecvat si pertinent nevoile de dezvoltare
regionala, obstacolele existente si solutiile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capacitatii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co-interesati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</si>
  <si>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tinta, în vederea dezvoltarii si introducerii de sisteme si
standarde comune pentru asigurarea unei educatii de calitate în învatamântul preuniversitar particular din România, în concordanta cu
SCAP</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</si>
  <si>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autoritati a 32 de reprezentanti ai ONG-urilor rome de la nivel national în termen de 16 luni
2. OS2. Dezvoltarea si promovarea de politica publica alternativa în domeniul Strategia de îmbunatatire a situatiei romilor de
reprezentanti ai 16 ONG-uri rome in termen de 16 luni</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</si>
  <si>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initiate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</si>
  <si>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Obiectivul general al proiectului este imbunatatirea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administratia publica ce optimizeaza procesele decizionale orientate catre cetateni si mediul de afaceri în
concordanta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directii propuse de proiect se desprind din documentul Strategia Europa 2020, ce reprezinta esenta politicii de
dezvoltare europena, agreata la nivel UE, si pe care România si-a asumat-o.</t>
  </si>
  <si>
    <t xml:space="preserve">
Obiectivul general al proiectului:
Optimizarea si eficientizarea actului administrativ, legislativ si decizional în administratia centrala si serviciile sale deconcentrate în domeniul patrimoniului cultural national
Obiectivele specifice ale proiectului:
1. Sistematizarea si simplificarea fondului legislativ activ din domeniul patrimoniului cultural national
2. Crearea cadrului strategic si operational pentru realizarea de politici bazate pe dovezi în domeniul patrimoniului imobil</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</si>
  <si>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solutionare a litigiilor (pentru dezvoltarea si diversificarea paletei de servicii de consiliere si asistenta juridica adecvate nevoilor cetatenilor), garantarea accesului la justiție, promovarea birourilor/serviciilor de consiliere juridica si informare a cetatenilor, accesibile înainte de a apela la  instanța, promovarea activitatii acestora, actiuni precum organizarea de campanii de informare, educatie juridica si
constientizare a populatiei, în special a grupurilor vulnerabile, cu privire la dreptul la asistenta judiciara si modalitatile concrete de
accesare a acestor servicii.
Obiectivele specifice ale proiectului:
1 Cresterea accesului la justitie al cetațenilor prin derularea de campanii de informare, educatie juridica si constientizare cu privire la promovarea si consolidarea metodelor alternative de solutionare a litigiilor (medierea, arbitrajul etc.) si la prevederile noilor coduri, drepturile cetatenilor, promovarea informatiilor privind institutiile din sistemul judiciar si serviciile oferite de acestea.
• Cresterea gradului de informare, educatie juridica si constientizare cu privire la prevederile noilor coduri, drepturile cetațenilor, promovarea informatiilor privind institutiile din sistemul judiciar si serviciile oferite de acestea
 2 Cresterea accesului la justitie prin asistenta juridica pusa pentru 240 de persoane.
3 Cresterea gradului de consolidare a metodelor alternative de solutionare a litigiilor prin actiuni de formare a 75 de practicieni ai dreptului.
</t>
  </si>
  <si>
    <t>Obiectivul general consta in dezvoltarea capacitatii ONG-urilor de a dezvolta politici publice alternative, în vederea optimizarii proceselor decizionale ale administratieipublice, orientate catre cetateni si mediul de afaceri. Obiective specifice: 1) Cresterea capacitatii de a dezvolta politici publice alternative pentru cele 5 ONG-uri (1 solicitant si 4 parteneri); 2)Dezvoltarea abilitatilor pentru cel putin 15 persoane (reprezentanti ONG) în realizarea de campanii de advocacy si dezvoltarea de politici publice alternative, pâna la finalul implementarii proiectului; 3) Dezvoltarea de politici publice alternatve în domeniul evaluarii si gestionarii calitatii aerului pâna la finalul implementarii proiectului.</t>
  </si>
  <si>
    <t>Obiectivul general al proiectului este corelat cu ,,OS 1.1 POCA : Dezvoltarea si introducerea de sisteme si standarde comune în
administratia publica ce optimizeaza procesele decizionale orientate catre cetateni si mediul de afaceri în concordanta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</si>
  <si>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Obiectivul general al proiectului consta în îmbunatatirea activitatii de identificare, sanctionare si de prevenire a cazurilor de
incompatibilitati, conflicte de interese si averi nejustificate la nivelul autoritatilor administratiei publice centrale si a Parlamentului.
Obiectivul general, ce este urmarit prin implementarea de activitati subsumate la 4 obiective specifice, are în vedere implementarea unui numar semnificativ dintre directiile de actiune aflate în sarcina ANI conform Strategiei Nationale Anticoruptie 2016-2020 (SNA), actiuni de punere în practica a obiectivului specific 5.2 al SNA: „Îmbunatatirea activitatii de identificare, sanctionare si de prevenire a cazurilor de bincompatibilitati, conflicte de interese si averi nejustificate” si care contribuie de asemenea si la atingerea benchmark-ului nr. 2 al Mecanismului de Cooperare si verificare.</t>
  </si>
  <si>
    <t>Obiectivul general al proiectului este de a sprijini ONG-urile participante pentru a formula si promova propuneri alternative la politicile
publice initiate de Guvern, în concordanta cu masurile stabilite în Strategia pentru Consolidarea Administratiei Publice 2014-2020 (SCAP),
prin obiectivul general II: Implementarea unui management performant în administratia publica, obiectivul specific II.1: Cresterea
coerentei, eficientei, predictibilitatii si transparentei procesului decizional în administratia publica, obiectivul specific subsecvent II.1.6.
Dezvoltarea capacitatii societatii civile, mediului academic si altor parteneri sociali relevanti (sindicate, patronate etc.) de a sustine si
promova reforma administratiei publice.</t>
  </si>
  <si>
    <t>Obiectivul general al proiectului este cresterea capacitatii organizatiilor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</si>
  <si>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Nationala de Sanatate 2014 – 2020”.</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</si>
  <si>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dispozitiilor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</si>
  <si>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Obiectivul general al proiectului consta în dezvoltarea capacitatii organizatiilor neguvernamentale de a formula si promova propuneri alternative la politicile publice initiate de Guvern si promovarea unor mecanisme care sa consolideze consultarea, trasparenta si standardizarea în administratia publica centrala.</t>
  </si>
  <si>
    <t>Obiectivul general:Cresterea capacitatii de dezvoltare strategica si de implicare a organizatiilor neguvernamentale, care activeaza în domeniul domeniu securitatii nationale, atât în regiunea mai dezvoltata (B-Il), cât si în cele 7 regiunile mai putin dezvoltate ale României, în a formula si promova propuneri alternative cu impact national, la politicile publice în aria cheie securitate, realizarea sarcinilor privind apararea nationala în conditiile unui razboi simetric, asimetric ori hibrid prin implicarea sporita a rezervistilor voluntari, protectia infrastructurii criticestrategice teritoriale si realizarea cooperarii cu autoritati/institutii publice pentru optimizarea proceselor decizionale orientate catre cetateni,în concordanta cu politicile si strategiile majore privind dezvoltarea României în viitorii ani si cu SCAP.                                                                                                                                    O1 - Dezvoltarea abilitatilor si competentelor practice a cel putin 100 reprezentanti ai ONG-urilor cu focus pe educatie si
securitate, în sprijinul interesului national, implicarea profesionala în dialogul social si în procesul decizional, pe diferite niveluri ierarhice, în domeniul asigurarii apararii nationale, protectiei infrastructurilor critice teritoriale si rezilientei acestora, cresteriicapacitatii de analiza si prognoza în plan socio-economic. Raspunde indicatorilor de realizare 5S44 si 5S45. 
 O2 - Facilitarea generarii si promovarea de catre ONG-uri cu focus pe educatie si securitate a unor propuneri alternative la
politicile publice, în aria cheie a realizarii apararii securitatii nationale si securitatii cibernetice, alaturi de alte forte ale sistemului national de aparare, în parteneriat cu autoritati/institutii publice, prin oferirea unui suport integrat.
3. OS3 - Gasirea de solutii alternative si complementare pentru generarea resursei umane specializate pentru situatii de dezastre naturale si antropice, pentru situatii care tin de securitatea nationala si de securitatea cibernetica.</t>
  </si>
  <si>
    <t>Obiectivul general al proiectului
Formulare si promovarea unui set de politici publice alternative în scopul cresterii competitivitatii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</si>
  <si>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Obiectiv general: Consolidarea capacitatii structurilor neguvernamentale de/pentru tineret si a autoritatilor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autoritatii publice centrale cu atributii în domeniul tineretului, prin formarea si exersarea competentelor acestora  pentru mai buna participare a acestor actori, la elaborarea si implementarea politicilor publice în domeniul tineretului, inclusiv a celor alternative</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</si>
  <si>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populatiei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</si>
  <si>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capacitatii Asociatiei CEDO in vederea formularii si promovarii unei propuneri alternative la politicile publice initiate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administratiei publice si de interactiune cu autoritatile si institutiile administratiei publice si dezvoltarea unui dialog social eficient, pe parcursul celor 16 luni de proiect;
OS5 - Sensibilizarea autoritatilor publice si responsabilizarea partenerilor sociali si ONG-urilor in vederea implicarii, pe toata
durata proiectului, in sustinerea si promovarea initiativelor de reforma a administratiei publice si acceptarea politicii publice
alternative formulate in proiect, prin derularea unei campanii de comunicare integrata la nivel national.</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</si>
  <si>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transparentei informatiilor referitoare la proiect si la rezultatele acestuia precum si stabilirea unui sistem eficient de comunicare interna între toate partile interesate implicate în gestionarea proiectului.
</t>
  </si>
  <si>
    <t xml:space="preserve">Ob. General al proiectului este „Dezvoltarea capacitatii Asocitiei Teatrul Vienez pentru Copii si a altor ONG-uri cu activitate în domeniul educatiei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</si>
  <si>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Obiectivul general al proiectului consta în consolidarea capacitatii Societatii Nationale de Cruce Rosie Filiala Dâmbovita de a formula si promova o alternativa cu impact national, la politica publica initiata de Guvern în domeniul prevenirii parasirii timpurii a scolii si în concordanta cu Strategia de Consolidare a Administratiei publice.
Obiective specifice:
Os.1. Cresterea capacitatii de elaborare participativa a instrumentelor de evaluare a politicilor publice prin consolidarea dialogului social si civic;
Os.2. Dezvoltarea capacitatii de promovare a initiativelor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comunitatilor prin promovarea alternativei la politica publica
Os.6. Sprijinirea societatii civile si responsabilizarea actorilor importanti în vederea încurajarii participarii copiilor la învatamântul obligatoriu.</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</si>
  <si>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populatiei printr-un numar de interventii strategic alese, pentru prevenirea si reducerea consecintelor unei situatii de risc; cresterea accesului la informatia de calitate, inclusiv în mediul online
</t>
  </si>
  <si>
    <t>Obiectivul general al proiectului este cresterea capacitatii a 20 de ONG-uri cu activitate relevanta în domeniul sanatatii la nivel national si a partenerilor sociali (organizatii sindicale), atât din regiunea mai dezvoltata (Bucuresti-Ilfov), cât si din regiunile mai putin dezvoltate pentru a formula si promova propuneri alternative la politicile publice de sanatate initiate de Guvern.</t>
  </si>
  <si>
    <t>Scopul proiectului este acela de a crea mecanisme si instrumente functionale care sa conduca la cresterea calitatii procesului decizional la nivelul administratiei publice locale, pentru a raspunde în mod fundamentat si coerent nevoilor comunitatilor locale, concomitent cu dezvoltarea capacitatii societatii societatii civile si a partenerilor sociali de la nivel local de a se implica activ în elaborarea de politici publice viabile la nivel national si local.
Obiective specifice:
1.Cresterea calitatii procesului de fundamentare a deciziei la nivelul autoritatilor administratiei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capacitatii organizatiilor neguvernamentale locale si a partenerilor sociali/grupurilor de initiativa de la nivelul municipiilor României/a sectoarelor municipiului Bucuresti de a se implica în promovarea si formularea de propuneri alternative la politicile publice initiate de autoritatile publice de la toate nivelurile.
3. Cresterea nivelului de cunoastere si informare la nivelul administratiei publice locale municipale privind initierea de politici publice ce folosesc mecanisme de optimizare a proceselor decizionale, orientate catre cetateni si mediul de afaceri local, în concordanța cu Strategia pentru Consolidarea Administrației Publice.</t>
  </si>
  <si>
    <t>Obiectivul general al proiectului il reprezinta cresterea capacitatii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initiate de Guvern în domeniul proiectarii cladirilor de locuit de tip nZeb, prin instruirea unui numar de 75 de persoane în domeniul specific proiectului dar si în domeniul comunicarii specifice ONG-urilor.
OS5: Elaborarea unei Politici publice alternative la politicile publice initiate de Guvern în domeniul locuirii durabile si combatere a saraciei energetice, prin promovarea gratuita, de catre primarii, de solutii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</si>
  <si>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Obiectivul General:
Optimizarea procesului de reforma educationala în vederea asigurarii accesului egal la educatie pentru minoritatile etnice din România prin implicarea activa si cresterea capacitatii a 40 de ONG-uri si parteneri sociali de a formula si propune politici publice în educatie cu integrarea egalitatii de sanse si nediscriminarii etnice pe toate paliere, prin instruirea a 120 de persoane din ONG-uri si parteneri sociali ce activeaza în domeniul egalitatii de sanse si nediscriminarii, educatie, tineret, voluntariat si facilitarea accesului acestora
la un mecanism de dialog civic pentru alerta a discriminarii etnice în educatie, prin desfasurarea unei campanii de dialog civic si advocacy pentru formularea, promovarea si acceptarea unei propuneri alternative de politici publice privind combaterea discriminarii etnice în educatie, la nivel national pe parcursul a 16 luni.
Obiective specifice:
OS1. Cresterea capacitatii a 40 de ONG-uri si parteneri sociali care activeaza în domeniul egalitatii de sanse si nediscriminare, educatiei, tineret si voluntariat de a se implica în formularea si promovarea de propuneri alternative la politicile publice initiate de Guvern în educatie prin dezvoltarea si livrarea catre 120 pers din cele 40 org vizate a doua traininguri si facilitarea accesului la mecansimul de dialog civic pentru alerta de discriminare etnica în învatamânt, timp de 16 luni.
OS2. Formularea, promovarea si acceptarea de catre autoritatile publice centrale relevante din domeniul educatiei a unei propuneri alternative de politica publica privind accesul egal la educatie pentru minoritatile etnice din România de catre 7 ONG-uri si parteneri sociali alaturi de o institutie de învatamânt superior multi-etnica, timp de 16 luni.
OS3. Cresterea dimensiunii participative a ONG-urilor, partenerilor sociali si mediului academic în integrarea principiului egalitatii de sanse în educatie prin dezvoltarea unui mecanism de alerta a discriminarii etnice în învatamânt, timp de 16 luni.</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</si>
  <si>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informatiilor în scopul monitorizarii politicilor si practicilor de resurse umane si a identificarii independente a unor modalitati alternative de raspuns
3. Facilitarea procesului de formulare de politici alternative la nivelul reprezentantilor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</si>
  <si>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Obiectivul general al proiectului este cresterea capacitatii Federatiei Zonelor Metropolitane si Aglomerarilor Urbane din România (FZMAUR), a ADI-urilor membre ale acesteia (13 ONG-uri) precum si a Asociatiei pentru Mobilitate Metropolitana (AMM) de a formula si promova propuneri alternative la politicile publice initiate de Guvern în domeniul transportului public local si metropolitan de calatori din România.
Obiectivele specifice:
A) Analiza situatiei existente a transportului public local si metropolitan de calatori la nivelul a 20 de poli de crestere/poli de dezvoltare urbana/municipii resedinta de judet. Studiul va fi realizat de catre partenerul Asociatia pentru Mobilitate Metropolitana, având în vedere experienta acestuia în domeniu si va prezenta starea actuala a serviciului de transport public local si metropolitan de calatori si a problemelor existente în cadrul a 20 de localitati relevante, constituind un punct de pornire pentru elaborarea politicii publice alternative în domeniu.
B) Instruirea grupului tinta în domeniul management în transporturi. Scopul instruirii grupului tinta format dintr-un numar de 40 de persoane, care au atributii, direct sau indirect, în domeniul transportului public local si/sau metropolitan de calatori, este de a le creste competentele în planificarea/gestionarea/monitorizarea serviciului public de transport local si metropolitan de calatori si de a-si îmbunatati capacitatea de a formula si promova propuneri de politici publice alternative la politicile publice initiate de Guvernul României în domeniu.
C) Elaborarea unei Politici publice alternative la politicile publice initiate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</si>
  <si>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Obiectiv general: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Obiective specifice: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retele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</si>
  <si>
    <t>Obiectivul general al proiectului este îmbunatatirea capacitatii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actiunilor si masurilor implementate in domeniul energetic.</t>
  </si>
  <si>
    <t>Obiectivul general al proiectului îl reprezinta consolidarea capacitații Agentiei Nationale de Administrare Fiscala de a sustine initiativele de modernizare, prin introducerea de servicii publice electronice ce optimizeaza procesele decizionale orientate catre mediul de afaceri, inclusiv prin implementarea unui fisier standard international de audit pentru toti operatorii economici.
Obiectivele specifice ale proiectului
1. Analiza activitatilor ANAF, precum si însusirea bunelor practici în materie de administrare fiscala
2. Implementarea Fisierului Standard de Audit (SAF-T) reprezentând o structura standardizata a informatiilor relevante pentru
controalele fiscale în vederea reducerii costului conformarii pentru societați
3. Formularea de propuneri de amendare a legislatiei primare si secundare privind obligatia contribuabilului de a depune Fisierul Standard de Audit
4. Îmbunatatirea cunostintelor si abilitatilor personalului din cadrul A.N.A.F. privind utilizarea aplicatiei informatice si a metodologiei specifice.</t>
  </si>
  <si>
    <t>Obiectiv general: Optimizarea si cresterea calitatii serviciilor oferite de administratia publica din domeniul educatiei prin crearea unui cadru normativ predictibil si stabil si prin dezvoltarea unei politici publice bazata pe orientarile strategice în invatamântul preuniversitar si universitar la orizontul 2030.                                                                                                                                                         1. Realizarea analizei de sistem a actelor normative din învatamântul preuniversitar si universitar pentru cresterea calitatii
reglementarilor si optimizarea proceselor decizionale prin fundamentarea acestora.
2. Realizarea unei politici publice la orizontul 2030 în domeniul educatiei pentru implementarea unui cadru strategic unitar.3. 3. Sistematizarea, simplificarea si eficientizarea a 5 acte normative din domeniul educatiei, învatamânt preuniversitar si universitar pentru dezvoltarea unui cadru normativ predictibil si stabil în administratia publica din domeniul educatiei
4. Elaborarea studiului de impact ex –ante privind implementarea cadrului strategic propus pentru evaluarea impactului asupra societatii si a bugetului si cresterea calitatii reglementarilor.
5. Dezvoltarea competentelor a 77 de angajati ai ministerului educatiei pentru îmbunatatirea proceselor din administratia publica.</t>
  </si>
  <si>
    <t>1. Elaborarea Strategiei nationale privind drepturile persoanelor cu dizabilitati, 2021-2027, care sa asigure implementarea CDPD (numita în continuare Strategia 2021-2027), cu obiective/tinte specifice cu indicatori masurabili.
2. Dezvoltarea unui mecanism functional de monitorizare a implementarii Strategiei 2021-2027 prin obtinerea de dovezi privind modul în care drepturile persoanelor cu dizabilitati sunt respectate.</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</si>
  <si>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cetatenilor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cetatenilor si dezvoltarea culturii juridice.</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</si>
  <si>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retelelor si identificarea de masuri de sprijin în vederea încurajarii adoptarii serviciilor în banda larga, condiție esențiala pentru adoptarea e-guvernarii.
OS1. Îmbunatațirea capacitații MCSI de a interveni pe piata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</si>
  <si>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Consolidarea capacitatii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competentelor angajatilor Ministerului Economiei în domeniul politicilor publice</t>
  </si>
  <si>
    <t>Obiectivul general: Dezvoltarea capacitatii administrative a MMJS si ANES de a fundamenta pe dovezi politicile publice din aria de responsabilitate, respectiv a cadrului strategic national privind incluziunea sociala si reducerea saraciei post 2020 si a cadrului strategic national pentru egalitatea de gen post 2020, conform cerintelor stabilite de Comisia Europeana, în vederea îndeplinirii conditiilor favorizante esentiale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conditiilor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</si>
  <si>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Obiectivul general: Consolidarea capacitati anticipatorii de elaborare a politicilor publice bazate pe dovezi în domeniul                                     Obiectivele specifice ale proiectului
1. Elaborarea cadrului Strategic National de Cercetare, Dezvoltare si Inovare 2021-2027, incluzând sinergiile cu Strategia Nationala
de Specializare Inteligenta
2. Elaborarea cadrului Strategic National de Specializare Inteligenta
3. Îmbunatatirea politicilor publice si cresterea calitatii reglementarilor în domeniul antreprenoriatului inovativ
4. Revizuirea legislatiei în domeniul CDI, asociat cadrului strategic dezvoltat
5. Implementarea unui sistem de managementul calitatii la nivelul MCI
6. Dezvoltarea competentelor membrilor grupului tinta si actorilor implicati în activitatile proiectului si în implementarea cadrului
strategic dezvoltat (SNCDI, SNSI)</t>
  </si>
  <si>
    <t>Obiectivul general: Consolidarea capacitatii de planificare strategica si operationala a Ministerului Dezvoltarii Regionale si Administrației Publice în vederea
îndeplinirii obligațiilor europene privind eficiența energetica în cladiri si a eficientizarii actiunilor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</si>
  <si>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cetateni si mediul de afaceri în concordanta cu SCAP
Obiectivele specifice:
1. OBS 1. Crearea unui cadru specific privind stabilirea si implementarea actiunilor necesare consolidarii cadrului legislative in
domeniul sanatatii avand la baza imbunatatirea politicilor publice si cresterea calitatii reglementarilor in domeniul sanatatii
2. OBS 2. Crearea unui set de reglementari legislative care sa conduca la simplificarea procedurilor administrative si reducerea
birocratiei in domeniul sanatatii, proceduri care afecteaza atat cetateni precum si mediul de afaceri.
3. OBS 3. Dezvoltarea abilitatilor si cunostintelor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</si>
  <si>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aplicatii integrate software.
3. Dezvoltarea competentelor angajatilor Oficiului de Stat pentru Inventii si Marci si ai Ministerului Economiei in domeniul politicilor
publice.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</si>
  <si>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constructii în toate domeniile specifice si la îmbunatațirea calitații si eficienței serviciilor publice oferite de catre ISC.
2. Extinderea sistemului informatic integrat de management existent.
3. Dezvoltarea competentelor angajatilor Inspectoratului de Stat în Construcții în domeniul politicilor publice</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</si>
  <si>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tinta.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</si>
  <si>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Nattonale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</si>
  <si>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Obiectivul general al proiectului este acela de a creste capacitatea administrativa a autoritatilor administratiei publice centrale si locale cu atributii în domeniul protecției copilului, prin introducerea de instrumente si standarde comune, în vederea optimizarii procesului decizional de asigurare a tranzitiei de la îngrijirea în instituții la îngrijirea în comunitate.                                                                                                                         1. Dezvoltarea si aplicarea unui sistem de politici bazate pe dovezi în domeniul protectiei copilului, prin implementarea la nivel
national a unui sistem de monitorizare si evaluare periodica a stadiului tranzitiei de la îngrijirea în institutii la îngrijirea în comunitate.
2. Sprijinirea dezvoltarii autoritatilor administratiei publice locale cu atributii în domeniul prevenirii separarii copilului de familie în
vederea cresterii calitatii serviciilor oferite copiilor expusi riscului de separare de familie.</t>
  </si>
  <si>
    <t>Obiectivul general al proiectului consta în cresterea capacitatii administrative la nivelul Ministerului Energiei prin dezvoltarea si
implementarea unui sistem unitar de management al calitatii si performantei – Standardul ISO 9001: 2015 si instrumentul CAF, inclusiv
dezvoltarea componentelor sistemului de management al Ministerului Energiei, astfel încât acesta sa faca fata principiilor si cerintelor SR
RO ISO 9001:2015, precum si îmbunatatirea competentelor personalului în desfasurarea activitatilor specifice managementului calitatii.</t>
  </si>
  <si>
    <t>1. Elaborarea si/sau reactualizarea procedurilor si metodologiilor privind planificarea strategica legata de conformarea cu cerintele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obligatiilor si responsabilitatilor legate de colectarea
si epurarea apelor uzate urbane
3. Reactualizarea Planului de implementare al Directivei 91/271/CEE privind epurarea apelor uzate urbane prin luarea în
considerare a modificarilor în marimea si distributia populatiei echivalente care a avut loc în perioada 2004-2017.
4. Elaborarea unei Strategii nationale privind alimentarea cu apa, colectarea si epurarea apelor uzate urbane si revizuirea
reglementarilor în vederea cresterii eficientei în aplicarea legislatiei specifice, a reducerii costurilor de implementare si a realizarii
unei sinergii cu implementarea altor directive din domeniul apei respectiv Directiva Nitrati, Directivei Cadru Apa si Directiva
Cadru Strategia Marina.
5. Dezvoltarea si implementarea, la nivelul Administratiei Nationale ”Apele Române”, a unui sistem si a procedurilor si mecanismelor
pentru coordonarea si consultarea cu factorii interesati privind implementarea, monitorizarea si evaluarea politicilor si strategiilor
din domeniul alimentarii cu apa, canalizarii si epurarii apelor uzate urbane.
6. Dezvoltarea abilitatilor si competentelor personalului din cadrul Ministerului Apelor si Padurilor si al Administratiei Nationale
”Apele Române” în vederea coordonarii interinstitutionale si eficientizarea proceselor, masurilor, actiunilor stabilite pentru
îmbunatatirea alimentarii cu apa, canalizarii si epurarii apelor uzate</t>
  </si>
  <si>
    <t>Obiectivul general al proiectului este legat de întarirea capacitatii actorilor implicati în procesul de formulare a propunerilor de politici
publice, bazate pe dovezi, în domeniul formarii profesionale pentru administratia publica.
Obiective specifice:
OS1 - Cresterea capacitatii institutionale prin: realizarea unei analize/cercetari cu privire la nevoile de formare pentru personalul din administratia publica si cu privire la piata de formare pentru administraTia publica;
OS2 - Promovarea bunelor practici în administratia publica si încurajarea schimbului de experienta si a networkingului
prin: crearea si operationalizarea Retelei Nationale a Furnizorilor de Formare pentru Administratia Publica (ReForm);crearea
unei baze de date cu furnizorii de formare pentru administratia publica;organizarea de evenimente în cadrul retelei.
OS3 - Dezvoltarea de competente profesionale/ 100 participanti la activitati formare pt OS1.1.</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</si>
  <si>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obligatiile prevazute de legislatie în ceea ce priveste serviciile
sociale, precum si de a dezvolta si implementa initiative care vizeaza furnizarea de servicii comunitare integrate în comunitate la un înalt nivel calitativ si cu mijloace moderne</t>
  </si>
  <si>
    <t>Obiectiv general: Dezvoltarea unui sistem coerent de gestiune printr-un sistem informatic integrat, introducerea de sisteme si standarde comune în administratia publica ce optimizeaza procesele decizionale orientate catre cetateni si mediul de afaceri, în concordanta cu SCAP.            OS.1. Simplificarea si sistematizarea fondului activ al legislatiei din domeniul de activitate al ANRSC în concordanta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Îmbunatatirea accesului la informatii publice în format reutilizabil. OS2. Imbunatatirea nivelului de pregatire prin acumularea de cunostinte si abilitati ale personalului A.N.R.S.C, participarea la
activitati de formare</t>
  </si>
  <si>
    <t>Obiectivul general al proiectului este acela de a îmbunatati capacitatea Ministerului Mediului în gestionarea situatiilor de urgenta generate
de tipurile de risc specifice ministerului si a tipurilor de risc unde ministerul asigura functia de sprijin, precum si a situatiilor privind starea
mediului.
Obiectivele specifice ale proiectului
1. Elaborarea unor pachete de propuneri pentru eficientizare administrativa, sistematizare si simplificare legislativa privind
gestionarea situatiilor de urgenta generate de tipurile de risc specifice Ministerului Me-diului si a tipurilor de risc unde ministerul
asigura functia de sprijin, precum si a situatiilor privind starea mediului (poluarile accidentale, radioactivitate si calitatii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functia de sprijin, precum si a situatiilor privind starea mediului.
3. Utilizarea optima a sistemului informatic dezvoltat în cadrul proiectului prin instruirea grupului tinta si prin diseminarea
informatiilor catre alte institutii.</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</si>
  <si>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nationale (policy lab) si prin întarirea capacitații de management strategic la nivelul ministerelor.
Obiectivele specifice ale proiectului
1. Cresterea calitații coordonarii, elaborarii si implementarii documentelor strategice/ întarirea functiei de management strategic la
nivelul SGG;
2. Dezvoltarea de noi instrumente pentru întarirea functiilor de management strategic la nivelul SGG.
3. Diagnosticarea capacitatii de management strategic la nivelul ministerelor;
4. Dezvoltatea capacitatii a trei ministere de a elabora documente strategice
5. Elaborarea a trei strategii naționale intersectoriale</t>
  </si>
  <si>
    <t>Sprijinirea fundamentarii politicii investitionale, a formularii prioritatilor de investitii în vederea identificarii unor obiective/proiecte relevante.
Obiectivele specifice ale proiectului
1. cresterea gradului de coerenta si complementaritate a proiectelor de investitii de la nivel local si regional
2. proiectarea unei politici investitionale coerente
3. identificare rapida a nevoilor de investitii si de asigurare a coordonarii interinstitutionale</t>
  </si>
  <si>
    <t>Obiectivul general al proiectului este acela de a îmbunatati calitatea reglementarilor elaborate de institutiile administratiei publice centrale.
Obiectivele specifice ale proiectului vizeaza:
Dezvoltarea mecanismului de control al calitatii reglementarilor si a procedurilor operationale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</si>
  <si>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Obiectivul general al proiectului este sa sprijine cele 9 ministere de resort în elaborarea PSI si în corelarea acestora cu bugetul pe programe. Astfel, se va contribui la îmbunatațirea procesului decizional si la cresterea calitatii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instante ale aplicatiei la nivelul celor 9 ministere de resort si conectarea acestora la dashboard-ului de la nivelul SGG, care nu sunt conectate la acest sistem în prezent.
3. Formarea personalului de la nivelul celor 9 ministere de resort în domeniul planificarii strategice si în utilizarea aplicatiei IT de monitorizare a PSI.</t>
  </si>
  <si>
    <t>Consolidarea capacitații institutionale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</si>
  <si>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îmbunatatirea unui sistem de politici publice bazate pe dovezi în cadrul M.A.D.R. si a structurilor acesteia, crearea mecanismelor institutionale, administrative si procedurale, inclusiv sistematizarea legislatiei actuale cu accent pe cea aferenta zonei montane din România si formularea unui plan etapizat de propuneri pentru îmbunatatirea si simplificare a acesteia 2. Elaborarea unor proceduri de lucru eficiente si prietenoase cu mediul de afaceri si cetatenii, în concordanta cu specificitatile geografice, economice, sociale si culturale.
3. Instruirea grupului tinta pentru aplicarea acestora si diseminarea informatiilor în cadrul comunitatilor locale (mediul de afaceri si
cetateni).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</si>
  <si>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situatiilor de criza de piata sau epizootice, promovarea produselor agroalimentare si cuantificarea risipei alimentare) bazate pe
dovezi, crearea mecanismelor institutionale, administrative si procedurale, inclusiv sistematizarea legislatiei actuale si formularea
unui plan etapizat de propuneri pentru îmbunatatirea,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piata interna precum si pe noi piete, etc) - SIIMM
3. Instruirea grupului tinta atât pentru aplicarea propunerilor de politici publice cât si pentru utilizarea sistemului informatic si ulterior
diseminarea informatiilor catre mediul de afaceri si cetateni.</t>
  </si>
  <si>
    <t>Modernizarea si sistematizarea cadrului legal, a instrumentelor de colectare a datelor si a metodelor de gestiune integrata a proceselor
statistice pentru consolidarea capacitatii INS în pregatirea, organizarea si realizarea recensamintelor nationale (din perioada 2020-2021 si
ulterior) si elaborarea statisticilor oficiale ce sustin politicile publice si procesul decizional.
Obiectivele specifice ale proiectului
1. revizuirea si elaborarea în perioada 2019-2022 a 8 acte normative (legislatie primara si secundara) la nivelul cerintelor proceselor
statistice actuale pentru functionarea Sistemului Statistic National (SSN) si productia de statistici oficiale, precum si privind Recensamântul General Agricol 2020 (RGA2020) si Recensamântul Populatiei si Locuintelor 2021 (RPL2021) si testarea preliminara a instrumentelor de colectare si prelucrare a datelor conform noilor prevederi legale;
2. introducerea în perioada 2019-2022 a instrumentelor moderne de colectare a datelor primare pentru productia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Activitati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National - SDSSN 2021-2027);
4. asigurarea necesarului de cunostinte si competente în perioada 2019-2022 pentru personalul implicat în productia statisticilor oficiale, a realizarii recensamintelor nationale si a proceselor de planificare pe termen lung si operationala a statisticii oficiale (10 programe de instruire, pentru 675 de participanti)</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</si>
  <si>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finantare, prin implementarea propunerilor ce vizeaza programele de finantare de la nivel national si
investitiile de la nivel local;
OS4 - Îmbunatatirea guvernantei centrale si locale prin optimizarea proceselor decizionale de la nivelul MDRAP si de la nivelul
autoritatilor publice locale pentru utilizarea eficienta a fondurilor publice în programe si proiecte de dezvoltare urbana.</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</si>
  <si>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eficientei serviciilor oferite de structurile din cadrul MFE prin implementarea si certificarea SR EN ISO 9001:2015 si a unor aplicații informatice suport pentru managementul calității.
</t>
  </si>
  <si>
    <t>1. OS1. Optimizarea si simplificarea proceselor operationale de asigurare a respectarii normelor în materie de integritate la nivelul
ANI prin digitalizarea fluxurilor de lucru din cadrul institutiei.
2. OS2. Îmbunatatirea abilitatilor si cunostintelor personalului ANI pentru întelegerea abordarii pe procese si implementarea
masurilor de simplificare implementate prin proiect, precum si pentru utilizarea sistemelor informatice dezvoltate prin proiect. Sunt
avute în vedere formarea/instruirea, evaluarea/testarea si certificarea competentelor/cunostintelor dobândite pentru 79 de
persoane din cadrul grupului tinta, în ceea ce priveste sustinerea masurilor implementate prin proiect.</t>
  </si>
  <si>
    <t>1. Identificarea si dezvoltarea mecanismelor necesare pentru reducerea duratei proceselor, îmbunatatirea ratei de solutionare a
cauzelor, scaderea duratei de solutionare a cauzelor;
2. Dezvoltarea si implementarea unor instrumente standard de management integrat, pentru a fi introduse la nivelul instantelor, care
sa permita îmbunatatirea practicilor manageriale, sa asigure predictibilitatea în luarea deciziilor ce privesc buna functionare a
instantelor si, totodata, sa permita adaptarea solutiilor manageriale la specificul fiecarei instante.</t>
  </si>
  <si>
    <t>1. Asigurarea cadrului optim pentru repartizarea competentelor între administratia publica centrala si administratia publica locala si
exercitarea lor sustenabila si în mod special a actiunii.2. Cresterea coerentei, eficientei, predictibilitatii si transparentei procesului decizional în administratia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cerintele operationale identificate. 4. Îmbunatatirea proceselor interne la nivelul institutiilor publice prin cresterea calitatii proceselor de monitorizare si evaluare a politicilor publice guvernamentale. 5. Dezvoltarea de mecanisme de monitorizare si evaluare a serviciilor publice. 6. Proiectul implementeaza actiuni din Strategia privind mai buna reglementare 2014-2020 legate în special de: Cresterea calitatii fluxului reglementarilor; Implementarea legislatiei europene;Dezvoltarea capacitatii administrative pentru implementarea politicilor privind mai buna reglementare</t>
  </si>
  <si>
    <t>1.Optimizarea cadrului de reglementare în domeniul constructiilor, cu accent pe reducerea sarcinilor administrative, cresterea
eficacitatii organismelor responsabile si a coerentei reglementarilor tehnice aplicabile constructiilor si investitiilor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legislatia nationala a actelor comunitare în domeniul constructiilor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calitatii serviciilor publice</t>
  </si>
  <si>
    <t>1. Elaborarea Strategiei Nationala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Sanatatii, ai Casei Nationale de Asigurari de Sanatate, ai INSP, SNSPMS, si ai
autoritatilor/institutiilor publice locale membre ale comitetelor de directoare regionale si judetene, implicati în activitatea de
elaborare, avizare, aprobare a MRSS, precum si în activitatile de monitorizare si evaluare a acestora.</t>
  </si>
  <si>
    <t>OS 1. Realizarea instrumentelor necesare autoritatilor publice centrale si locale în scopul îmbunatatirii cadrului organizatoric si
functional specific structurilor de politie locala
OS 2. Crearea cadrului normativ specific asigurarii unui management eficient al carierei politistului local si modernizarea
sistemului de formare continua si de perfectionare a pregatirii personalului din structurile de Politie Locala</t>
  </si>
  <si>
    <t>Obiectivul principal al proiectului il reprezinta de pe o parte impulsionarea muncii prin agent de munca temporara, tinând cont de principiul egalitații de tratament juridic care se ofera salariatilor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pietei muncii si în conformitate cu reglementarile nationale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adultilor, a accesului cetatenilor la aceste programe de formare autorizate.</t>
  </si>
  <si>
    <t>Obiectivul principal al proiectului il reprezinta Dezvoltarea si introducerea de sisteme si standarde comune în domeniul transplantului menite sa optimizeze procesele decizionale - reprezentate de reglementari (acte normative, proceduri, ghiduri, etc.)
Obiectivele specifice ale proiectului
1. Analiza si restructurarea tuturor actelor normative care guverneaza activitatea de transplant
2. Introducerea de standarde de cost aferente fiecarei activitati si proceduri din domeniul transplantului
3. Dezvoltarea si implementarea funcționalitaților Registrului Național de Transplant
4. Instruirea personalului autorizat în manipularea si gestionarea Registrului Național de Transplant</t>
  </si>
  <si>
    <t>Obiectivul general al proiectului îl constituie realizarea unui sistem de monitorizare a fluxurilor de deseuri menajere si similare în scopul
îmbunatatirii mecanismelor de gestionare a instrumentului economic “Plateste Pentru Cât Arunci”, astfel încât sa poata creste gradul de
reciclare a deseurilor municipale.
Obiectivele specifice ale proiectului
1. Realizarea unui Plan de actiune pentru digitalizarea si implementarea PPCA.
2. Realizarea unui Mecanism privind aplicarea instrumentului economic „Plateste pentru cât arunci” (PPCA).
3. Competente crescute pentru personalul Ministerului Mediului, autoritatilor în subordine sau coordonare si personalului din cadrul
structurilor asociative ale autoritatilor administratiei publice locale pentru implementarea instrumentului economic PPCA</t>
  </si>
  <si>
    <t>1.Dezvoltarea metodelor necesare optimizarii procesului decizional la nivelul Ministerului Mediului, al Agentiei Nationale pentru
Protectia Mediului, Administratiei Rezervatiei Biosferei Delta Dunarii si al autoritatilor publice locale subordonate în vederea
îmbunatatirii politicilor publice în domeniul biodiversitatii, prin elaborarea ghidurilor necesare derularii unitare la nivel national a
procedurii de evaluare adecvata.
2. Dezvoltarea metodelor necesare optimizarii procesului decizional la nivelul Ministerului Mediului, al Agentiei Nationale pentru
Protectia Mediului si al autoritatilor publice locale subordonate, în vederea îmbunatatirii politicilor publice în domeniul
biodiversitatii, prin implementarea în legislatia nationala a Protocolului de la Nagoya.</t>
  </si>
  <si>
    <t>1.Dezvoltarea de mecanisme de coordonare si monitorizarea politicilor si actiunilor de adaptare la schimbarile climatice si
din domeniul calitatii aerului prin intermediul unor servicii interconectate si proiectate astfel încât sa asigure o calitate buna a
mediului si protectia cetatenilor în contextul situatiilor generate de riscurile climatice extreme (valuri de caldura/frig, seceta,
precipitatii abundente generatoare de inundatii, viscol, etc.) si poluare atmosferica.
2. Realizarea unei Platforme nationale de adaptare la schimbarile climatice – RO-ADAPT, cu informatii si date specializate
privind schimbarile climatice si efectele induse de acestea atât în domeniul protectiei mediului (inclusiv calitatea aerului) si
biodiversitatii, precum si in alte sectoare cheie vulnerabile (energie, transport, dezvoltare urbana, apa potabila si resurse de apa)
pentru o mai buna fundamentare a politicilor si strategiilor de dezvoltare si planificare pe termen mediu si lung, precum si pentru o
mai buna informare a cetatenilor, la nivel national, asupra riscurilor generate de cresterea frecventei si intensitatii riscurilor
climatice extreme.
3. Realizarea de servicii climatice specializate prin crearea unui Centru National de Monitorizare Climatica (CNMC) cu rol
de suport pentru fundamentarea politicilor si strategiei nationale de adaptare la efectele schimbarilor climatice.
4. Realizarea unor ghiduri, proceduri si metodologii pentru identificarea, cuantificarea si evaluarea serviciilor ecosistemice
în vederea adoptarii celor mai bune decizii privind conservarea si gestionarea mediului, si implicit un mijloc de reducere a
emisiilor de gaze cu efect de sera.</t>
  </si>
  <si>
    <t>Obiectivul general al proiectului este a dezvolta un sistem integrat de management care sa permita elaborarea de rapoarte, analize, studii menite sa imbunatateasca si sa consolideze capacitatea decizionala a autoritatii prin prelucrarea datelor specifice colectate de Platforma
informatica din asigurarile de sanatate (PIAS) care cuprinde: Sistemul informatic unic integrat (SIUI), Sistemul national al cardului de
asigurari sociale de sanatate (CEAS), Sistemul national de prescriere electronica (SIPE) si Sistemul dosarului electronic de sanatate al pacientului (DES), sisteme create la momente diferite, de echipe diferite, în maniere diferite, rezultând un amalgam care, desi functional si de neînlocuit din punct de vedere operational nu poate fi folosit pentru analiza integrata. Pentru ca datele sa fie integrate, ele trebuie sa fie
convertite, reformatate, renumerotate, sumarizate, etc. rezultand o unica imagine a activitatilor CNAS care vor conduce printre altele la consolidarea capacitatii institutionale si o planificare strategica eficienta, respectiv elaborarea de politici publice bazate pe dovezi Obiectivele specifice ale proiectului:
1. Fundamentarea riguroasa a deciziilor de management CNAS/CJAS bazate pe întelegerea nevoilor, reducerea riscurilor, cresterea eficientei cheltuielilor publice ;
2. Generarea de rapoarte personalizate în vederea efectuarii analizelor, rapoartelor de diferite tipuri sau statisticilor necesare la nivel intern sau in solicitarile externe (Ministerul Sanatatii, Institutul National de Statistica, Institutul Național de Sanatate Publica, etc.);
3. Cresterea gradului de pregatire profesionala a personalului de decizie si crearea unei structuri organizatorice optime.</t>
  </si>
  <si>
    <t>1.Elaborarea unui document strategic care vizeaza modificarea/completarea/reactualizarea ,,Strategiei nationale de management al
riscului la inundatii pe termen mediu si lung,,, prin adaptarea legislativa la cerintele institutionale actuale si la unele metodologii
noi.
2. Revizuirea si reactualizarea Planului de actiune pentru implementarea Strategiei Nationale de Management al Riscului la Inundatii
pe termen mediu si lung, prin luarea în considerare a masurilor si actiunilor întreprinse în perioada 2010-2018.
3. Elaborarea Raportului de mediu aferent documentului strategic care vizeaza modificarea/completarea/reactualizarea ,,Strategiei
nationale de management al riscului la inundatii pe termen mediu si lung,, , în contextul noilor modificari legislative si
administrative
4. Elaborarea si promovarea unui proiect de act normativ (Hotarâre a Guvernului) pentru aprobarea noului document strategic
rezultat în urma modificarii/completarii/reactualizarii .
5. Identificarea si stabilirea concreta a responsabilitatilor, masurilor si actiunilor care trebuie întreprinse la nivelul fiecarei institutii cu
responsabilitati în domeniu, în vederea implementarii ,,Strategiei nationale de management al riscului la inundatii pe termen
mediu si lung, pentru perioada 2020-2035.
6. Stabilirea, la nivelul Ministerului Apelor si Padurilor si al Administratiei Nationale ”Apele Române”, a unui cadru institutional privind
monitorizarea si evaluarea implementarii politicilor si strategiilor prin proceduri si mecanisme din domeniul managementului
riscului la inundatii, aplicabile tuturor institutiilor de la nivel central si local, cu atributii în managementul riscului la inundatii.
7. Dezvoltarea, la nivelul Ministerului Apelor si Padurilor si al Administratiei Nationale ”Apele Române”, a unui sistem/ mecanism de
monitorizare si raportare a implementarii masurilor si actiunilor prevazute în Planul de actiune pentru implementarea Strategiei
nationale de management al riscului la inundatii,pentru perioada 2019-2035.
8. Dezvoltarea bazei de date nationale privind inundatiile, prin marcarea zonei inundate si a obiectivelor afectate (dupa fiecare
inundatie) ca instrument operativ necesar luarii deciziilor si dispunerii masurilor celor mai eficiente pentru minimizarea efectelor.
9. Dezvoltarea abilitatilor si competentelor personalului din cadrul Ministerului Apelor si Padurilor si al Administratiei Nationale
”Apele Române” în vederea coordonarii interinstitutionale si eficientizarea proceselor, masurilor, actiunilor stabilite pentru
îmbunatatirea implementarii prevederilor Strategiei nationale de management al riscului la inundatii.</t>
  </si>
  <si>
    <t>Obiectivul general al proiectului este adoptarea unor masuri de simplificare a procedurilor In scopul reducerii poverii administrative pentru
cetateni (consumatori) si mediul de afaceri implicati in procesul de schimbare a furnizorului de energie electrica si gaze naturale prin
implementarea unei solutii informatice inovative.
Obiectivele specifice ale proiectului
1. Obiectivul specific nr. 1: Simplificarea si sistematizarea fondului activ al legislatiei din domeniul de activitate al ANRE in vederea
asigurarii aderarii tuturor participantilor din piata la platforma integrata dezvoltata prin proiect prin elaborarea si adoptarea unui act
normativ in domeniul energiei in domeniul specific al schimbarii furnizorului.
2. Obiectivul specific nr. 2: Optimizarea proceselor operationale din piata de energie generate de solicitarile de schimbare a
furnizorului prin dezvoltarea si implementarea unei platforme online.
3. Obiectivul specific nr. 3: Imbunatatirea nivelului de pregatire prin acumularea de cunostinte si abilitati pentru 40 de persoane,
personal din cadrul A.N.R.E. prin participarea la activitati de formare</t>
  </si>
  <si>
    <t>Obiectivul general al proiectului
Consolidarea capacitatii institutionale a Agentiei Nationala de Administrare a Bunurilor Indisponibilizate, precum si a cooperarii între
institutiile cu atributii în domeniul sechestrarii, administrarii, confiscarii, valorificarii si reutilizarii creantelor provenite din infractiuni, prin
modernizarea si eficientizarea proceselor de lucru si fluxurilor aferente
Obiectivele specifice ale proiectului
1. Dezvoltarea sistemului informatic national integrat de evidenta a creantelor provenite din infractiuni</t>
  </si>
  <si>
    <t>Întarirea capacitatii de colectare, procesare si analiza a datelor referitoare la criminalitatea organizata si cresterea capacitatii
administrative a Ministerului Public.
Obiectivele specifice ale proiectului
1. Realizarea si implementarea unui sistem informatic de colectare integrata si transfer eficient al datelor referitoare la criminalitatea
organizata
2. Întocmirea Analizei Nationale de Riscuri si Amenintari privind criminalitatea organizata (ANRA) si elaborarea unui proiect de
strategie nationala pentru combaterea criminalitatii organizate
3. Realizarea si implementarea unui/unei portal/platforme web securizat(a) accesibil(a) angajatilor Ministerului Public care sa
întareasca capacitatea administrativa a Ministerului Public.</t>
  </si>
  <si>
    <t>Obiectivul general proiectului este de a consolida parteneriatul dintre MMJS - ANPIS - cetatean, promovând principiile unei bune guvernari
prin cresterea gradului de transparenta a politicilor implementate de catre MMJS (inclusiv ANPIS) prin realizarea de instrumente moderne
si canale eficiente, accesibile si accesibilizate de comunicare, adaptate la progresele tehnologiei moderne.
Obiectivele specifice ale proiectului
1. Se va realiza un cadrul strategic de implementare a unor politici familiale performante, inclusiv dezvoltarea un mecanism unitar de
colectare, raportare, centralizare si interpretare a indicatorilor de performanta în domeniul politicilor familiale între MMJS-ANPISAJPIS;
2. Simplificarea accesarii serviciilor din domeniul politicilor familiale prin dezvoltarea unei interfete prietenoase de comunicare,
directe, usor de accesat si accesibilizate pentru cetateni, precum si prin dezvoltarea unei strategii la nivel national în domeniu,
astfel încât „nimeni sa nu fie lasat în urma”.</t>
  </si>
  <si>
    <t>Obiectivul general al proiectului consta in cresterea capacitatii administrative a Casei Nationale de Pensii Publice (”CNPP”) în vederea
optimizarii proceselor administrative de determinare a legislatiei aplicabile lucratorilor migranti si adoptarea unor masuri de simplificare a
furnizarii serviciului de eliberare a documentului portabil A1 catre beneficiari, prin implementarea unor sisteme informatice inovative.
Obiectivele specifice ale proiectului
1. OS1. Optimizarea si simplificarea proceselor operationale la nivelul CNPP pentru reducerea cu cel putin 15% a duratei pentru
parcurgerea procedurilor administrative procedurilor de eliberare a documentului portabil A1, prin digitalizarea fluxurilor de lucru
din cadrul institutiei.
2. OS2. Îmbunatatirea abilitatilor si cunostintelor personalului CNPP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50 de
persoane din cadrul grupului tinta, in ceea ce priveste sustinerea masurilor implementate in cadrul proiectului.</t>
  </si>
  <si>
    <t>Dezvoltarea si sprijinirea de masuri ce vizeaza consolidarea cadrului institutional al administratiei publice centrale in domeniul apelor,
optimizarea, simplificarea si sistematizarea legislatiei si normelor metodologice de aplicare pentru implementarea prevederilor legale
adecvate si transparente privind apele uzate provenite din intreg sectorul economic de productie national, respectiv din domeniile
industriale si agro-zootehnice din Romania care ajung in resursele de apa de suprafata din Romania – rauri, ape marine, in unele cazuri,
situatie care trebuie sa asigure dezvoltarea durabila a resurselor de apa si managementul corespunzator al bazinelor hidrografice,
respectiv mentinerea unui echilibru intre evacuarea acestor ape uzate cu o anumita incarcatura de poluare care poate afecta capacitatea
de suportabilitate si de refacere a resurselor de apa care sunt impactate de aceasta poluare. Proiectul contribuie la fundamentarea si
sustinerea tehnica a deciziilor de modificare si completare a unor acte normative in vigoare referitoare la apele uzate industriale si agrozootehnice si, subsecvent, la autorizarea evacuarii acestora din punct de vedere al gospodaririi apelor, cu aplicarea adecvata a principiului ,,poluatorul plateste” fata de dimensiunea poluarii.
Obiectivele specifice ale proiectului
1. Modificarea si completarea legislatiei nationale referitoare la apele uzate industriale reglementate prin Legea apelor nr. 107/1996
si HG 188/2002. Legislatia noua va completa legislatia privind apele uzate din activitatile industriale si agro-zootehnice in
functiune sau in conservare/inchise, pe baza principiului „poluatorul plateste”. Legislatia noua nu se suprapune cu cea din
domeniul mediului si nici cu cea din domeniul apelor uzate urbane dar se coreleaza cu aceasta.
2. Simplificarea si sistematizarea legislatiei specifice în domeniul prevenirii si controlului poluarii apelor nationale de la ape uzate
evacuate din 26 de activitati industriale si agro-zootehnice principale din Romania, incluzand si activitatea oraselor care au
platforma industriala, pentru oricare din cele 26 de domenii, prin adoptarea legala de noi acte normative - metodologii, norme si
standarde transparente de aplicare si autorizare a nivelului de poluare admis, contribuind la sprijinirea sectorului privat productiv
prin cresterea calitatii reglementarilor, respectiv:
a. elaborarea de Valori Limita de Emisie (VLE) diferentiate pentru apele uzate din activitatile industriale si agro-zootehnice
în functiune sau în conservare inclusiv apele uzate municipale, aferente documentelor europene BFEF/BAT pentru activitatile din
anexa nr. 1 la cererea de finantare.
b. Elaborarea de Metodologie de calcul si model matematic de stabilire a VLE locale specifice în vederea respectarii
principiului de nedeteriorare fata de starea apei si fondul natural.
c. Metodologie de calcul a “zonei de amestec"
d. Consultarea cu sectorul economic vizat de schimbarile legislative aparute ca urmare a adoptarii de noi prevederi legale
pentru apele uzate.</t>
  </si>
  <si>
    <t>Obiectivul general al proiectului
1.Dezvoltarea capacitatilor nationale de management al riscului în domeniul securitatii cibernetice si de reactie la incidente cibernetice în
baza unui program national, vizând consolidarea, la nivelul autoritatilor competente potrivit legii, a potentialului de cunoastere, prevenire si contracarare a amenintarilor si minimizarea riscurilor asociate utilizarii spatiului cibernetic.
2.Promovarea si consolidarea culturii de securitate în domeniul cibernetic prin formarea profesionala adecvata a persoanelor care îsi
desfasoara activitatea în acest domeniu.
Obiectivele specifice ale proiectului
1. Cresterea capacitatii de management al securitatii cibernetice la nivelul MAI prin dezvoltarea si extinderea capabilitatilor de
investigare, reactie si raspuns la incidentele de securitate, precum si prin pregatirea personalului în vederea gestionarii oprime a
incidentelor de securitate.
2. Crearea unui cadru strategic de coordonare si control la nivelul MAI al activitatilor privind securitate cibernetica, prin elaborarea si
diseminarea unei Strategii sectoriale de diminuare a vulnerabilitatilor si factorilor de risc cibernetic, care pot afecta capacitatea
operationala a structurilor MAI</t>
  </si>
  <si>
    <t>Obiective proiect
Îmbunatatirea cadrului de planificare strategica pe linia reducerii riscului de dezastre prin dezvoltarea de instrumente legislative si sisteme
informatice, care sa asigure abordarea unitara la nivelul tuturor autoritatilor cu atributii în domeniul managementului riscurilor de dezastre
si pentru toate tipurile de riscuri, si prin pregatirea personalului responsabil pe domeniile specifice.
Obiectivele specifice ale proiectului
1. asigurarea cadrului strategic pentru reducerea riscurilor, în concordanta cu orientarile internationale si comunitare, în linie cu
angajamentele asumate de România si ancorat în specificul national
2. elaborarea a doua strategii – strategia nationala de reducere a riscurilor de dezastre, respectiv strategia nationala de aparare
împotriva incendiilor
3. optimizarea proceselor decizionale de la nivelul autoritatilor publice centrale si locale pentru utilizarea eficienta a fondurilor publice
în programe si proiecte pe linia reducerii riscurilor de dezastre
4. elaborarea unei proceduri /a unui mecanism de culegere, procesare de date si raportare pentru îndeplinirea obligatiilor de stat
membru UE ce revine României în raport cu problematica evaluarii capabilitatilor de management a riscurilor, precum si a
obligatiilor privind tintele stabilite prin cadrul de la Sendai de reducere a riscului de dezastre
5. realizarea unor instrumente software (baze de date on-line, site web, aplicatii etc) pentru integrarea si raportarea datelor si
indicatorilor Sendai, precum si pentru înregistrarea si evidenta efectelor dezastrelor în România
6. formarea unui aparat administrativ eficient care sa se bazeze pe instrumente obiective, cuantificabile si usor de monitorizat si
actualizat pentru implementarea prevederilor legislatiei comunitare privind managementul si reducerea riscurilor
7. asigurarea unor instrumente de informare si comunicare pentru aplicarea strategiei si legislatiei pe linia reducerii riscurilor de
dezastre</t>
  </si>
  <si>
    <t>Introducerea si dezvoltarea sisteme de optimizare a modalitatilor de aplicarea unitara la nivel national a sistemului de politici publice - din
domeniul de competenta al Agentiei Nationale pentru Plati si Inspectie Sociala din perspectiva Directiei de Inspectie Sociala (DIS) si a
Serviciului Juridic si Contencios (SJC).
Obiectivele specifice ale proiectului
1. • OB.1 - Optimizarea proceselor decizionale cu privire la aplicarea unitara a legislatiei specifice activitatii ANPIS (DIS si
SJC) la nivel national, în vederea implementarii politicilor publice din domeniul protectiei sociale.
2. • OB.2 - Dezvoltarea abilitatilor si cunostintelor angajatilor ANPIS/AJPIS/APISMB (inspectori sociali si consilieri juridici)
pentru utilizarea instrumentelor specifice de politica publica.
3. • OB.3 – Dezvoltarea unor metodologii de explicitare a cadrului legislativ pentru beneficiarii din domeniul de protectie
sociala aplicabile pentru cetateni la nivelul Directiilor Generale de Asistenta Sociala si a Serviciilor Publice de Asistenta Sociala
de la nivel local.</t>
  </si>
  <si>
    <t>Obiectivul general al proiectului consta în cresterea capacitatii administrative a Ministerului Finantelor Publice (MFP) si a institutiilor
subordonate în vederea îmbunatatirii interactiunii cetatenilor si mediului de afaceri cu administratia publica, pentru obtinerea de
documente din arhiva institutiei.
Obiectivele specifice ale proiectului
1. OS1. Optimizarea si simplificarea serviciului de eliberare a documentelor din arhiva institutiei prin intermediul portalului Spatiului
privat virtual (SPV).
2. OS2. Îmbunatatirea abilitatilor si cunostintelor personalului MFP pentru întelegerea abordarii pe procese si implementarea
masurilor de simplificare implementate prin proiect, precum si pentru utilizarea sistemelor informatice dezvoltate prin proiect. Sunt
avute în vedere formarea/instruirea, evaluarea/testarea si certificarea competentelor/cunostintelor dobândite pentru 100 de
persoane din cadrul grupului tinta, în ceea ce priveste sustinerea masurilor implementate prin proiect.</t>
  </si>
  <si>
    <t>Obiectivul general al proiectului consta în cresterea capacitatii administrative a Ministerului Finantelor Publice (MFP) si a institutiilor
subordonate în vederea îmbunatatirii interactiunii cetatenilor si mediului de afaceri cu administratia publica si obtinerii de servicii
electronice extinse prin portalul ANAF.
Obiectivele specifice ale proiectului
1. OS1. Optimizarea si simplificarea serviciilor aferente obligatiilor fiscale si nefiscale si platii taxelor oferite în cadrul Spatiului privat
virtual (SPV) prin portalul ANAF.
2. OS2. Îmbunatatirea abilitatilor si cunostintelor personalului MFP pentru întelegerea abordarii pe procese si implementarea
masurilor de simplificare implementate prin proiect, precum si pentru utilizarea sistemelor informatice dezvoltate prin proiect. Sunt
avute în vedere formarea/instruirea, evaluarea/testarea si certificarea competentelor/cunostintelor dobândite pentru 100 de
persoane din cadrul grupului tinta, în ceea ce priveste sustinerea masurilor implementate prin proiect.</t>
  </si>
  <si>
    <t>Elaborarea si operationalizarea unor instrumente de analiza de date viabile, dinamice si fundamente in vederea prioritizarii interventiilor la
nivel comunitar in perioada 2021-2027.
Obiectivele specifice ale proiectului
1. Dezvoltarea unor instrumente standardizate prin care sunt indexate si clasificate, în functie de nevoile socio-economice si
necesitatile de interventie localitatile/unitatile administrativ teritoriale din România.
2. Operationalizarea unui sistem uniform ce optimizeaza procesele decizionale la nivelul administratiei publice</t>
  </si>
  <si>
    <t>Obiectivele specifice ale proiectului
Obiectivul specific II.1: “Cresterea coerentei, eficientei, predictibilitatii si transparentei procesului decizional în administratia publica” - Actiunea II.1.4: Îmbunatatirea procesului de evaluare a impactului reglementarilor, a procesului de consultare publica, concomitent cu sistematizarea si simplificarea legislatiei; - Actiunea II.1.6: “Consolidarea transparentei procesului decizional” prin punerea la dispozitia tuturor factorilor interesati a indicatorilor economici si a rapoartelor furnizate de portal, în vederea fundamentarii politicilor publice în domeniul antreprenorial. 
2. Obiectivul specific II.6: „Calitate, cercetare si inovare în administratia publica” - Actiunea II.6.1: „Promovarea bunelor practici si a inovarii în administratia publica si încurajarea schimbului de experienaa si a networking-ului între institutiile si autoritatile publice”.
3. Obiectivul specific III.2 „Reducerea birocratiei pentru mediul de afaceri” - Actiunea III.2.4: „Implementarea unor solutii IT pentru simplificarea unor proceduri orizontale, trans-sectoriale pentru mediul de afaceri (pe modelul ghiseului unic)”.</t>
  </si>
  <si>
    <t>Consolidarea capacitatii Ministerului Economiei si a ANPC de reglementare, implementare si evaluare a entitatilor de solutionare
alternativa a litigiilor pe care le coordoneaza, prin asigurarea accesului la solutii extrajudiciare simple, eficiente, rapide si necostisitoare de
solutionare alternativa a litigiilor la nivel national si transfrontalier care apar in temeiul contractelor de vanzare sau de prestare de servicii si care ar trebui sa fie in beneficiul consumatorilor, prin asigurarea unui cadru legislativ optim desfasurarii activitatii.
Obiectivele specifice ale proiectului
1. Punerea la dispozitia Ministerului Economiei si ANPC a instrumentelor necesare în vederea elaborarii unei metodologii
de stabilire a sistemului de cooperare între entitatile SAL, precum si unei metodologii de constatare a contraventiilor si aplicare a
sanctiunilor prevazute în cadrul OG 38/2015
2. Dezvoltarea unei platforme electronice integrate la nivelul ANPC care va asigura astfel consumatorilor si comerciantilor
un punct unic pentru solutionarea extrajudiciara a litigiilor online, prin intermediul entitatilor SAL conectate la platforma.
3. Dezvoltarea competentelor angajatilor Ministerului Economiei si ANPC în domeniul solutionarii alternative a litigiilor.</t>
  </si>
  <si>
    <t>Obiectivul general al proiectului
Dezvoltarea si implementarea mecanismelor de coordonare, cooperare si consultare între MDRAP si structurile asociative ale
administratiei publice locale
Obiectivele specifice ale proiectului
1. Sistematizare cadrului normativ si îmbunatatirea acestuia în vederea optimizarii procesului de consultare/decizional
2. Cresterea capacitatii administrative a MDRAP pentru prefectionarea procesului de comunicare si consultare prin implementarea
instrumentelor IT&amp;C
3. Dezvoltarea abilitatilor si a cunostintelor personalului din autoritatile si institutiile publice centrale privind dezvoltarea dialogului cu
structurile asociative ale autoritatilor administratiei publice locale</t>
  </si>
  <si>
    <t>Obiectivul general al proiectului este acela de a îmbunatati capacitatea Ministerului Mediului, Apelor si Padurilor pentru stabilirea
prioritatilor de politica privind calitatea aerului în corelare cu prioritatile stabilite în alte domenii relevante care constituie surse de emisii de poluanti atmosferici, cu identificarea sinergiilor între politicile de la nivel national în materie de protectia mediului, ape si paduri, clima,
energie, industrie, transport, agricultura si dezvoltare regionala, inclusiv încalzirea locuintelor si stabilirea masurilor proportionale
aplicabile sectoarelor de activitate relevante în vederea respectarii angajamentelor nationale de reducere a emisiilor de anumiti poluanti
atmosferici pâna în anul 2030 si elaborarea Programului national de control al poluarii atmosferice (PNCPA), precum si a ghidului privind
modalitatile de aplicare a procedurii de ajustare a inventarelor nationale de emisii de poluanti atmosferici în functie de specificul national.
Obiectivele specifice ale proiectului
1. Stabilirea masurilor de reducere a emisiilor antropice nationale de poluanti atmosferici (particule fine în suspensie -PM2,5, oxizi
de azot- NOx, dioxid de sulf – SO2, compusi organici volatili- COVnm si amoniac – NH3), inclusiv calendarul de punere în
aplicare a acestor masuri, în corelare cu planurile si programele instituite în alte domenii de politica relevante.
2. Crearea premiselor pentru comunicarea dintre autoritatile publice centrale cu responsabilitati în domeniile de activitati
generatoare de emisii de poluanti atmosferici, pentru îmbunatatirea procesului de luare a deciziilor si de adoptare a programelor
de dezvoltare, cu respectarea cerintelor politicii de mediu si a principiul integrarii cerintelor de mediu în celelalte politici sectoriale
3. Adaptarea la specificul national privind estimarea inventarului a modalitatilor de aplicare a procedurii de ajustare a inventarelor
nationale de emisii, în cazul în care se constata neconformarea cu angajamentele nationale de emisii de poluanti atmosferici
stabilite pentru anul 2020 si, respectiv anul 2030
4. Îmbunatatirea inventarului national de emisii de poluanti atmosferici, ca referinta în evaluarea conformarii cu obiectivele de
reducere a emisiilor de poluanti atmosferici</t>
  </si>
  <si>
    <t>Dezvoltarea si implementarea de politici si instrumente unitare si moderne de management al resurselor umane pentru asigurarea
transparentei, coerentei si competentei în sectorul public.
Obiectivele specifice ale proiectului
1. OS 1: Contributie la asigurarea unui management unitar si coerent al resurselor umane prin dezvoltarea sistemului electronic
national de evidenta a ocuparii în sectorul public - SENEOSP
OS 2: Proceduri transparente si incluzive de planificare, recrutare si selectie prin dezvoltarea si operationalizarea noului concept
administrativ de concurs national pilotat pentru categoria de functie publica grad profesional debutant si o alta categorie de functie
publica identificata conform nevoilor în etapa de analiza.
OS 3: Cunostinte si abilitati ale personalului din departamentele de resurse umane si ale personalului de conducere din cadrul
autoritatilor si institutiilor publice centrale si locale îmbunatatite în domeniul digitalizarii, managementului resurselor umane si
formarii de formatori prin asigurarea instruirii specifice</t>
  </si>
  <si>
    <t>Obiectivul general al proiectului consta in cresterea capacitatii administrative a Autoritatii Navale Române (în continuare denumita
prescurtat ”ANR”) pentru sustinerea reformelor institutionale prin adoptarea unor masuri de simplificare a procedurilor în scopul reducerii
poverii administrative pentru cetateni si mediul de afaceri.
Obiectivul general al acestui proiect este în concordanta cu Obiectivul specific 1.1. al Axei prioritare 1 din POCA, prin care sunt sprijinite
institutiile publice centrale sa dezvolte si sa introduca sisteme si standarde comune în administratia publica ce optimizeaza procesele
decizionale orientate catre cetateni si mediul de afaceri, în concordanta cu SCAP.
Obiectivul general al proiectului este în deplina concordanta si cu obiectivele generale ale Solicitantului, care doreste sa-si
îmbunatateasca activitatea orientata catre cetateni si mediul de afaceri, sa-si eficientizeze rezultatele obtinute, sa-si îmbunatateasca
continuu imaginea, astfel încât sa poata raspunde cât mai eficient cerintelor si asteptarilor.
Obiectivele specifice ale proiectului
1. OS1. Elaborarea si aprobare noilor proceduri privind gestionarea tuturor certificatelor si documentelor emise de ANR
2. OS2. Optimizarea si simplificarea proceselor operationale la nivelul ANR pentru reducerea cu cel putin 25% a duratei pentru
parcurgerea procedurilor administrative aferente serviciilor publice furnizate de ANR pentru cetateni si mediul de afaceri, prin
digitalizarea fluxurilor de lucru din cadrul institutiei.
3. OS3. Îmbunatatirea abilitatilor si cunostintelor personalului ANR pentru implementarea masurilor vizate prin proiect si utilizarea
instrumentelor informatice dezvoltate. Este avuta in vedere formarea/instruirea, evaluarea/testarea si certificarea competentelor
/cunostintelor dobândite pentru 105 de persoane din cadrul grupului tinta, in ceea ce priveste sustinerea masurilor implementate
in cadrul proiectului.</t>
  </si>
  <si>
    <t>Consolidarea capacitatii Arhivelor Nationale de furnizare a serviciilor publice, prin consolidare si modernizare normativa si îmbunatatirea
continutului serviciilor oferite publicului in sistem digital
Obiectivele specifice ale proiectului
1. OS1: Crearea un cadru metodologic pentru prelucrare, digitalizarea si indexarea registrelor de stare civila cu caracter istoric (mai
vechi de100 de ani).
Dat fiind interesul mare al publicului (persoane individuale, profesionisti - notari, avocati, instante de judecata) asupra acestui tip
de arhiva, este necesara o metodologie specifica de lucru, unitara, menita sa identifice metadatele necesare in momentul preluarii
actelor de stare civila de catre Arhivele Nationale, modalitatea de prelucrare interna si de dare in cercetare a acestora.
2. OS2. Asigurarea accesului simplificat si rapid la informatia istorica privind starea civila a persoanelor.
Schimbarile propuse vor contribui la reducerea birocratiei pentru cetateni, în sensul ca, prin implementarea cadrului metodologic
si digitalizarea registelor de stare civila, actele necesare pentru documentarea evenimentelor de viata vor fi disponibile online,
fiind redusa semnificativ nevoia interactiunii directe cu ANR pentru obtinerea informatiilor de stare civila.
3. OS3: Cunostinte si abilitati ale personalului ANR îmbunatatite în gestionarea cadrului metodologic dezvoltata si a mecanismelor
informatice de transformare digitala si regasire a informatiei de arhiva online. Se va asigura instruirea a cel putin 130 de angajaticheie
din Arhivele Nationale.</t>
  </si>
  <si>
    <t>Obiectivul general al proiectului consta in cresterea capacitatii administrative a Autoritatii pentru Administrarea Activelor Statului (în
continuare denumita prescurtat ”AAAS”) pentru sustinerea reformelor institutionale prin adoptarea unor masuri de simplificare a
procedurilor în scopul reducerii poverii administrative pentru mediul de afaceri, prin digitalizarea fluxurilor de lucru din cadrul institutiei si
îmbunatatirea abilitatilor si cunostintelor personalului AAAS pentru întelegerea abordarii pe procese si implementarea masurilor de
simplificare implementate prin proiect, precum si pentru utilizarea sistemelor informatice dezvoltate prin proiect.
Obiectivele specifice ale proiectului
1. OS1. Optimizarea si simplificarea proceselor operationale la nivelul AAAS pentru reducerea cu cel putin 15% a duratei pentru
parcurgerea procedurilor administrative aferente celor 3 domenii specifice de activitate a AAAS (Privatizare si administrare
societati comerciale, Monitorizare postprivatizare, Redresare societati aflate în insolventa si valorificare creante) prin digitalizarea
fluxurilor de lucru din cadrul institutiei.
2. OS2. Îmbunatatirea abilitatilor si cunostintelor personalului AAAS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100 de
persoane din cadrul grupului tinta, in ceea ce priveste sustinerea masurilor implementate in cadrul proiectului.</t>
  </si>
  <si>
    <t>Obiective proiect
Îmbunatatirea proceselor de lucru si reducerea poverii administrative in domeniul drepturilor de autori si conexe, prin dezvoltarea si
introducerea de standarde, metodologii, sisteme si servicii electronice ce optimizeaza procesele decizionale din cadrul Oficiului Roman
pentru Drepturile de Autor orientate catre cetateni si mediul de afaceri si asigura un grad ridicat de protectie a drepturilor subsumate
acestui domeniu, prin mijloace facile, inclusiv în mediul digital;
Obiectivele specifice ale proiectului
1. • Simplificarea procedurilor administrative (back-office) si înfiintarea unui ghiseu unic al utilizatorilor de tip one-stop-shop(frontoffice)
si înregistrarea "o singura data" a datelor în procesele de lucru iar interactiunea beneficiarilor cu ORDA urmeaza sa se
realizeze preponderent prin intermediul serviciilor electronice, acestia având posibilitatea de a preda documente on-line si de a
completa formulare;
• Crearea unui instrument util în vederea aplicarii drepturilor de autor si conexe si automatizarea circuitului documentelor de
înregistrare si gestionare a actelor administrative ce tin de domeniu, precum si plata online a taxelor aferente;
• Introducerea unei platforme digitale integrate, compuse din mai multe module (“Registre Nationale”, „Protectia si Gestiunea
colectiva a dreptului de autor si drepturilor conexe”, „Expertize si Constatari tehnico-stiintifice”, „Prevenirea si combaterea
încalcarii dreptului de autor si drepturilor conexe”, „Ghiseul Unic al Utilizatorilor) prin intermediul careia persoanele fizice si juridice
sa poata consulta bazele de date.</t>
  </si>
  <si>
    <t>Obiectivul proiectului este: reducerea poverii administrative pentru cetateni si mediul de afaceri in domeniul protectiei consumatorilor prin
implementarea unui sistem informatic integrat care sa permita gestionarea uniforma si coerenta a informatiilor din cadrul institutiei
solicitante.
Proiectul adreseaza obiectivul specific POCA OS 1.1. Dezvoltarea si introducerea de sisteme si standarde comune în administratia
publica ce optimizeaza procesele decizionale orientate catre cetateni si mediul de afaceri, în concordanta cu SCAP, respectiv obiectivul
tematic nr. ·11 Consolidarea capacitatii institutionale a autoritatilor publice si a partilor interesate si eficienta administratiei publice si îsi
propune sa consolideze capacitatea administrativa a ANPC de a sustine o economie moderna si competitiva, abordând provocarea 5
Administratia si guvernarea si provocarea 2 Oamenii si societatea din Acordul de Parteneriat al României.
Proiectul raspunde prioritatii de investitii 11i Efectuarea de investitii în capacitatea institutionala si in eficienta administratiilor si a serviciilor
publice la nivel national, regional si local in vederea realizarii de reforme, a unei mai bune legiferari si a bunei guvernante.
Proiectul asigura îndeplinirea obiectivelor specifice ale axei prioritare 2 introducerea de sisteme si standarde comune in administratia
publica ce optimizeaza procesele orientate catre beneficiari in concordanta cu SCAP, prin sustinerea unui management performant,
cresterea transparentei, eticii si integritatii la nivelul la nivelul ANPC.</t>
  </si>
  <si>
    <t>Obiectiv general
Intarirea profilului de stat donator prin dezvoltarea unei politici publice coerente in domeniul cooperarii internationale pentru dezvoltare si
asistenta umanitara si a instrumentelor aferente operationalizarii acesteia.
Obiectivele specifice ale proiectului
1. Dezvoltarea unei strategii privind cooperarea internationala pentru dezvoltare si asistenta umanitara si a planului de actiuni
aferent acesteia
2. Construirea unui sistem integrat de monitorizare si evaluare a strategiei privind cooperarea internationala pentru dezvoltare si
asistenta umanitara
3. Realizarea unui proiect normativ cu propuneri de actualizare si simplificare a domeniul acordarii asistentei oficiale pentru
dezvoltare
4. Întarirea capacitatii Comitetului consultativ în domeniul cooperarii internationale pentru dezvoltare si asistenta umanitara prin
instruirea a 300 de persoane din cadrul institutiilor membre</t>
  </si>
  <si>
    <t>Obiectivul general al proiectului este acela de a asigura coerenta si viziune actului decizional in cadrul sectorului cultural, precum si
fundamentarea bazata pe dovezi, necesara elaborarii politicilor publice, programelor si proiectelor din domeniul culturii.
Strategia va fi documentul de planificare culturala la nivel national, ce va fundamenta documentele strategice de nivel regional, judetean si
local si documentatiile operationale pentru programe si proiecte cu fonduri publice, precum si celelalte strategii de dezvoltare la nivel
national cu relevanta si impact cultural. Avand o corelare a obiectivelor si masurilor relevante pentru actiuni în sectorul cultural, cresc
sansele îmbunatatirii serviciilor publice în domeniul culturii, a accesului la cultura si diversitatii expresiilor culturale, integrarii culturii în
proiectele de dezvoltare teritoriala durabila, stimularii economiei creative si prezentei culturii române la nivel international. Proiectul aduce elemente noi, inclusiv o abordare noua, originala, prin care raspunde la nevoia identificata prin corelarea cu obiectivele Agendei 2030
pentru dezvoltare durabila si cu seturile de indicatori rezultati din aceasta. Totodata, perioada de aplicabilitate a documentului va fi în linie
cu noua perioada bugetara a UE, precum si cu urmatoarea Agenda pentru Cultura, respectiv, 2021- 2027. Din acest punct de vedere,
strategia va fi corelata cu noile prioritati de actiune si de finantare de la nivelul UE în scopul maximizarii investitiilor în domeniul culturii.
Obiectivele specifice ale proiectului
1. Optimizarea proceselor decizionale, asigurarea coerentei si a unei viziuni comune in sectorul cultural prin elaborarea unui
document strategic national in domeniul culturii
2. Cresterea nivelului de instruire in randul institutiilor din subordinea/aflate sub autoritatea MCIN si in coordonarea ministrului
culturii si identitatii nationale, precum si la nivelul serviciilor deconcentrate ale MCIN (Directiile judetene pentru Cultura) cu privire
la necesitatea si utilitatea unei planificari bazate pe dovezi, cu includerea practicilor si mecanismelor de la nivel european
3. Crearea de instrumente capabile sa fundamenteze procesele decizionale la nivel local, in vederea generarii unui cadru coerent de
dezvoltare in domeniul culturii, inclusiv informarea decidentilor locali în ceea ce priveste specificitatea managementului cultural
pentru o mai buna coordonare a retelelor proprii de institutii publice de toate categoriile (biblioteci, asezaminte culturale, institutii
de spectacole sau concerte, muzee si case memoriale, obiective de patrimoniu</t>
  </si>
  <si>
    <t>Eficientizarea activitatii Secretariatului General al Guvernului si a 6 institutii subordonate, prin implementarea de sisteme unitare de
management al calitatii si performantei.
Obiectivele specifice ale proiectului
1. Implementarea unui sistem de management al calitttii certificat, conform ISO 9001:2015, la nivelul Secretariatului General al
Guvernului si a 6 institutii subordonate.
2. Implementarea cadrului comun de autoevaluare (CAF) la nivelul Secretariatului General al Guvernului si celor 6 institutii
subordonate.
3. Perfectionarea profesionala si instruirea în domeniul sistemului de management al calitatii si performantei la nivel de conducere
si executie din cadrul Secretariatului General al Guvernului si celor 6 institutii subordonate.</t>
  </si>
  <si>
    <t>Obiectivul general este consolidarea capacitatii MAE de a detecta, analiza si contracara fenomenul dezinformarii online în domeniul
afacerilor externe, respectiv de a anticipa, analiza si contracara actiuni si fenomene de dezinformare si de a contribui la consolidarea
rezilientei la nivel national în fata acestor amenintari.
Obiectivele specifice ale proiectului
1. Elaborarea si aprobarea la nivelul MAE a unei politici publice de raspuns la dezinformarea online in sfera de competenta a MAE,
inclusiv a planului de actiune aferent
2. Elaborarea si înaintarea pe circuitul de avizare MAE a unei propuneri de act normativ pentru reglementarea masurilor de raspuns
coordonat la campaniile de dezinformare cu privire la domeniul afacerilor externe, în functie de evolutiile cadrului legislativ
national
3. Îmbunatatirea cunostintelor si abilitatilor personalului MAE în domeniul identificarii riscurilor ce provin din fenomenul dezinformarii,
a tendintelor si modelelor în evolutie în acest domeniu, a utilizarii instrumentelor de comunicare publica si strategica, cresterea
rezidentei la dezinformare în mediul online, adoptarea unor practici si abilitati esentiale pentru aplicarea metodologiilor de
cooperare interdepartamentala si schimbului de informatii cu parteneri din UE si NATO</t>
  </si>
  <si>
    <t>Obiectivul general urmarit prin proiect este eficientizarea sistemului judiciar prin punerea la dispozitia acestuia a unui sistem informatic
modern si adaptat nevoilor actuale, care sa sustina activitatea specifica a acestuia.
Obiectivele specifice ale proiectului
1. Obiectivul specific al proiectului consta în modernizarea si adaptarea sistemului electronic de management al cauzelor ECRIS
pentru a raspunde actualelor nevoi ale sistemului judiciar</t>
  </si>
  <si>
    <t>Eficientizarea proceselor interne si crearea unor fluxuri care sa contribuie la reducerea duratei procedurilor administrative si facilitarea
interactiunii cetatenilor cu institutia, contribuind la atingerea obiectivului POCA OS 1.1 Dezvoltarea si introducerea de sisteme si
standarde comune în administratia publica ce optimizeaza procesele decizionale orientate catre cetateni si mediul de afaceri.
Obiectivele specifice ale proiectului
1. Îmbunatatirea capacitatii Autoritatii Nationale pentru Restituirea Proprietatilor de a gestiona eficient problematica restituirii
proprietatilor confiscate abuziv de fostul regim comunist.
2. Simplificarea proceselor si procedurilor la nivelul Autoritatii Nationale pentru Restituirea Proprietatilor, în vederea reducerii timpilor
de solutionare a dosarelor de despagubire.</t>
  </si>
  <si>
    <t>Scopul proiectului propus consta în cresterea eficientei si transparentei monitorizarii si implementarii politicilor nationale în domeniul
precursorilor.
Obiectivele specifice ale proiectului
1. OS1. Reducerea poverii administrative pentru mediul de afaceri cu privire la acordarea drepturilor desfasurarii operatiunilor
specifice cu precursori de droguri (servicii oferite de Agentia Nationala Antidrog – emiterea de licente, înregistrari, autorizatii de
import si export) prin digitalizarea serviciilor/implementarea unui sistem informatic de comunicare pentru îndeplinirea obligatiilor;
OS2. Optimizarea procesului decizional la nivelul Agentiei Nationale Antidrog prin extinderea utilizarii instrumentelor informatice
de monitorizare si control al operatiunilor cu precursori si simplificarea proceselor inter- si intra-institutionale;
OS3. Dezvoltarea competentelor si cunostintelor personalului din structurile cu atributii în procesul de monitorizare si control al
operatiunilor cu precursori prin organizarea de cursuri specifice.</t>
  </si>
  <si>
    <t>Obiectivul general al proiectului
Optimizarea proceselor decizionale la nivelul Politiei Romane pentru debirocratizarea si simplificarea serviciilor acordate cetatenilor si
mediului de afaceri in domeniul armelor, explozivilor si substantelor periculoase
Obiectivele specifice ale proiectului
1. Reducerea timpului de verificare si solutionare a cererilor depuse pentru obtinerea documentelor de autorizare solicitate de
persoane fizice sau juridice, pentru a procura, detine, purta si folosi arme.
2. Reducerea birocratiei întâmpinate de reprezentantii societatilor comerciale autorizate in transmiterea catre structurile Arme,
Explozivi si Substante Periculoase, a listei cuprinzând precursorii de explozivi restrictionati sau amestecurile sau alte substante
care contin astfel de substante cu care efectueaza operatiuni, a deciziilor de numire a persoanelor responsabile de activitatea cu
precursori de explozivi restrictionati si a înlocuitorilor acestora, precum si de completare a registrului fizic snuruit conform
prevederilor Legii nr. 49/2018 privind precursorii de explozivi.</t>
  </si>
  <si>
    <t>Obiectivul general al proiectului este de a dezvolta si consolida competentele personalului (functionari publici, demnitari si personal
contractual) din administratia publica implicat în procesul de achizitii publice.
Obiectivul general al proiectului este în concordanta cu:
- obiectivul general al POCA de a contribui la crearea unei administratii publice moderne, capabila sa faciliteze dezvoltarea
socio-economica a tarii, prin intermediul unor servicii publice, investitii si reglementari de calitate, conducând la atingerea obiectivelor
strategiei Europa 2020;
- obiectivele specifice ale Axei Prioritare 1 de a sprijini masuri ce vizeaza adaptarea structurilor, optimizarea proceselor si
pregatirea resurselor umane pentru realizarea si punerea în aplicare a politicilor publice bazate pe dovezi, corelarea planificarii strategice
cu bugetarea pe programe, simplificarea legislatiei si reducerea sarcinilor administrative, consolidarea capacitatii autoritatilor si institutiilor publice pentru implementarea transparenta si eficienta a achizitiilor publice precum si îmbunatatirea eficientei sistemului judiciar.</t>
  </si>
  <si>
    <t>Scoala Nationala de Grefieri îsi propune sa contribuie la atingerea obiectivului specific al Programului Operational Capacitate
Administrativa 2014-2020, prin obiectivul general al prezentului proiect, respectiv dezvoltarea unor practici administrative si judiciare
unitare, precum si a unor comportamente etice corespunzatoare.
Obiectivele specifice ale proiectului
1. Obiectivul specific al proiectului consta în îmbunatatirea cunostintelor si abilitatilor profesionale la nivelul personalului auxiliar de
specialitate din cadrul instantelor si parchetelor prin dezvoltarea unor practici administrative si judiciare unitare si a unor conduite
în acord cu normele eticii profesionale.
Prin obiectivul general si obiectivul specific, proiectul îsi propune sa contribuie la atingerea atât a obiectivelor ce vor fi asumate
prin Strategia de Dezvoltare a Sistemului Judiciar,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</si>
  <si>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inventarierea tuturor actelor normative si actualizarea cadrului legal din domeniul integritatii, care vizeaza incompatibilitatile, conflictele de interese si averile nejustificate, dar si a sistemului de declarare a averilor si a intereselor, în baza nevoilor factorilor interesatti, fundamentate prin analize si cercetari sociologice.
Obiectivele specifice ale proiectului
1. OS1: Actualizarea cadrului legal pentru prevenirea si sanctionarea conflictelor de interese, a incompatibilitatilor si averilor
nejustificate
2. OS2: Sprijinirea autoritatilor si institutiilor publice în scopul optimizarii procesului de depunere electronica a DAI si elaborarea unor
proceduri unitare
3. OS3: Dezvoltarea cunostintelor persoanelor responsabile din institutiile publice în privinta procesului de completare si depunere
electronica a declaratiilor de avere si interese prin sistemul e-DAI</t>
  </si>
  <si>
    <t>Obiectivul general al proiectului este cresterea gradului de recuperare a creantelor provenite din infractiuni.
Obiectivele specifice ale proiectului
1. Consolidarea capacitatii Agentiei Nationale de Administrare a Bunurilor Indisponibilizate în vederea îndeplinirii eficiente si
performante a misiunii institutionale prin perfectionarea activitatii specialistilor implicati în procesul de identificare, administrare si
recuperare a creantelor provenite din infractiuni.</t>
  </si>
  <si>
    <t>Obiectivul general al proiectului este îmbunatatirea accesibilitatii, transparentei, integritatii si a calitatii serviciului public de executare silita prin dezvoltarea competentelor profesionale ale executorilor judecatoresti si prin digitalizarea si standardizarea activitatii de executare silita.
Obiectivele specifice ale proiectului
1. Dezvoltarea competentelor profesionale si abilitatilor executorilor judecatoresti, cât si a personalului suport prin actiuni de formare
specializata în vederea cresterii calitatii serviciului public furnizat si a uniformizarii practicii
2. Cresterea transparentei, integritatii, accesibilitatii si calitatii serviciului public de executare silita prin dezvoltarea unei aplicatii
informatice (SiLEx) ce care ca scop digitalizarea si standardizarea activitatii de executare silita</t>
  </si>
  <si>
    <t>ASOCIAȚIA BALKAN EXPERT GROUP</t>
  </si>
  <si>
    <t>Dezvoltare locală sustenabilă în Orașul Măcin</t>
  </si>
  <si>
    <t xml:space="preserve">Obiectiv general: Dezvoltarea capacitatii ONG-urilor de a crea parteneriate viabile si durabile cu autoritati publice locale si de a se implica
in dezvoltarea la nivel local in orasul Macin.                                                                                                                                                                                                                                     1. OS1 Dezvoltarea unui parteneriat durabil intre Solicitant si autoritatile locale functional la 6 luni dupa finalizarea
proiectului
2. OS2 Dezvoltarea competentelor si insusirea unui „know how’ specific pentru 40 reprezentanti ai ONG-urilor si
partenerilor sociali in vederea consolidarii abilitatilor pentru formularea si promovarea dezvoltarii la nivel local.                                                                           3. OS3 Dezvoltarea responsabilitatii civice, de implicare a comunitatilor locale in viata publica si de participare la procesele
decizionale prin dezvoltarea a min 3 proiecte specifice la nivel local
</t>
  </si>
  <si>
    <t>ASOCIAȚIA ”ECO TRAVEL”</t>
  </si>
  <si>
    <t>Ecoturism și dezvoltare locală în comuna Tazlău</t>
  </si>
  <si>
    <t>ASOCIAȚIA "CENTRUL DE RESURSE RE-START”</t>
  </si>
  <si>
    <t>Tazlău</t>
  </si>
  <si>
    <t>ASOCIAȚIA "INSTITUTUL PENTRU POLITICI PUBLICE"</t>
  </si>
  <si>
    <t>Implicarea civică în dezvoltarea locală romașcană</t>
  </si>
  <si>
    <t>ASOCIAȚIA EMOȚII</t>
  </si>
  <si>
    <t>Galați Edu Cluster 2021+</t>
  </si>
  <si>
    <t>CAMERA DE COMERȚ, INDUSTRIE ȘI
AGRICULTURĂ GALAȚI</t>
  </si>
  <si>
    <t>ASOCIAȚIA JUST SOCIAL</t>
  </si>
  <si>
    <t>CRICĂU - Parteneriate puternice, comunitate puternică!</t>
  </si>
  <si>
    <t>ASOCIAȚIA UMAN</t>
  </si>
  <si>
    <t>Cricau</t>
  </si>
  <si>
    <t>ASOCIATIA "NOUL VAL"</t>
  </si>
  <si>
    <t>Capacitatea membrilor ONG-urilor pentru implicare activă în luarea deciziilor la nivel local</t>
  </si>
  <si>
    <t>Obiectiv general: Crearea unui parteneriat durabil intre Asociatia Noul Val si Primaria comunei Garliciu in vederea promovarii dezvoltarii
locale                                                                                                                                                                                                                                                                                                                            OS1 Dezvoltarea unui parteneriat durabil intre Solicitant si autoritatile locale functional la 6 luni dupa finalizarea proiectului
 OS2 Dezvoltarea competentelor si insusirea unui „know how’ specific pentru 40 reprezentanti ai ONG-urilor si partenerilor sociali
in vederea consolidarii abilitatilor pentru formularea si promovarea dezvoltarii la nivel local.
OS3 Dezvoltarea responsabilitatii civice, de implicare a comunitatilor locale in viata publica si de participare la procesele
decizionale prin dezvoltarea a min 3 proiecte specifice la nivel local</t>
  </si>
  <si>
    <t>Gârliciu</t>
  </si>
  <si>
    <t>AGENȚIA METROPOLITANĂ PENTRU DEZVOLTARE DURABILĂ BRAȘOV</t>
  </si>
  <si>
    <t>Consolidarea capacității de integrare a politicilor urbanistice în Zona Metropolitană Brașov</t>
  </si>
  <si>
    <t>Obiectivul general al proiectului ”Consolidarea capacitatii de integrarea a politicilor urbanistice in Zona Metropolitana Brasov” este
dezvoltarea de proceduri si mecanisme eficiente pentru sustinerea si promovarea dezvoltarii la nivel local prin intermediul politicilor de
dezvoltare urbanistica si teritoriala.                                                                                                                                                                                                                                                        OS1 - Dezvoltarea abilitatilor si competentelor relevante pentru dezvoltarea urbanistica care pot facilita / optimiza dialogul intre
actorii relevanti in domeniul planificarii dezvoltarii teritoriale cu efecte directe asupra nivelului de implicare in elaborarea,
implementarea, monitorizarea si evaluarea politicilor publice urbanistice                                                                                                                                                               OS2 - Elaborarea unui set de proceduri si mecanisme eficiente pentru sustinerea si promovarea dezvoltarii la nivel local prin
intermediul politicilor de dezvoltare urbanistica si teritoriala intr-o maniera colaborativa- participativa</t>
  </si>
  <si>
    <t>Asociația de Turism Retezat</t>
  </si>
  <si>
    <t>Eu sunt Hațeg! - branding local cu implicarea comunității</t>
  </si>
  <si>
    <t>Hațeg</t>
  </si>
  <si>
    <t>Societatea Academică din România</t>
  </si>
  <si>
    <t>PROCIVIS - Implicare civică pentru dezvoltarea
locală a Municipiului Reșița</t>
  </si>
  <si>
    <t>Resița</t>
  </si>
  <si>
    <t>ASOCIAȚIA TRANSPARENȚĂ PENTRU INTEGRITATE</t>
  </si>
  <si>
    <t>Opțiuni strategice pentru dezvoltarea durabilă a Municipiului Calafat</t>
  </si>
  <si>
    <t>ASOCIAȚIA CREATORI DE AMINTIRI</t>
  </si>
  <si>
    <t>Dezvoltarea ecoturismului în orașul Bușteni</t>
  </si>
  <si>
    <t>Busteni</t>
  </si>
  <si>
    <t>AA1/23.12.2020 durata, AA2/8.07.2021 durata, AA3/3.12.2021 durata, buget (ue, bn), AA4/4.08.2022 durata</t>
  </si>
  <si>
    <t>AA1/9.11.2021 durata AA2/24.02.2022 durata AA4/27.04.2022 durata    AA5/4.08.2022 durata</t>
  </si>
  <si>
    <t>AA1/14.07.2021 durata     AA2/9.08.2022 buget (ue, cb)</t>
  </si>
  <si>
    <t>AA1/8.12.2020 buget  AA2/12.04.2021 buget  AA3/30.03.2022 durata si buget         AA4/9.08.2022 durata buget (ue,cb)</t>
  </si>
  <si>
    <t>ASOCIAȚIA "CLUBUL SPORTIV ENDURANCH"</t>
  </si>
  <si>
    <t>Harta Administrației Incluzive (HAI) - Simplificare și transparență în colaborarea cu ONG-urile active în comunitate</t>
  </si>
  <si>
    <t>Dezvoltarea responsabilitatii civice, de implicare a comunitatilor locale in viata publica si de participare la procesele decizionale prin
crearea, testarea si utilizarea unui instrument de modernizare a Administratiei Publice Locale, “Harta Administratiei Incluzive”.
Obiectivele specifice ale proiectului
1. (1) Dezvoltarea competentelor de comunicare, de relationare a Administratiei Publice Locale cu ONG-urile din acea comunitate,
prin crearea si testarea - in comun - a unui instrument de modernizare a Administratiei Publice Locale, “Harta Administratiei
Incluzive”
2. (2) Utilizarea, promovarea si multiplicarea utilizarii instrumentului creat in comun de catre reprezentanti ai APL si ONG-uri dintr-o
comunitate, in vederea consolidarii dialogului civic in cat mai multe comunitati locale</t>
  </si>
  <si>
    <t>Bârnova</t>
  </si>
  <si>
    <t>ASOCIAȚIA "CENTRUL DE RESURSE RE-START"</t>
  </si>
  <si>
    <t>Promovarea dezvoltării locale prin intermediul turismului sustenabil</t>
  </si>
  <si>
    <t>Razboieni</t>
  </si>
  <si>
    <t>Dialog și implicare pentru dezvoltare locală sustenabilă</t>
  </si>
  <si>
    <t>ASOCIAȚIA ENGAGE IN EDUCATION</t>
  </si>
  <si>
    <t>Building a Strong Civil Society</t>
  </si>
  <si>
    <t>Botosesti-Paia, Craiova</t>
  </si>
  <si>
    <t>ALERT-Administrație Locală Eficientă Responsabilă Transparentă</t>
  </si>
  <si>
    <t>Novaci</t>
  </si>
  <si>
    <t>Asociația pentru Promovarea Alimentului Românesc-A.P.A.R.</t>
  </si>
  <si>
    <t>Știu ce vreau! Cum susțin?</t>
  </si>
  <si>
    <t>ASOCIAȚIA CLUBUL SPORTIV SMART ATLETIC</t>
  </si>
  <si>
    <t>Împreună pentru Comana-strategie de dezvoltare prin consultare, dialog și branding local</t>
  </si>
  <si>
    <t>Obiectivul general al proiectului il reprezinta formularea si promovarea dezvoltarii locale in cadrul Comunei Comana prin crearea
strategiei de brand ca parte a parteneriatului pentru dezvoltare locala intre Asociatia Clubul Sportiv Smart Atletic si Comuna Comana
Obiectivele specifice ale proiectului
1. Dezvoltarea unei strategii de brand care sa aiba la baza o cercetare socilogica privind imaginea Comunei in ochii cetatenilor
2. Cresterea implicarii cetatenilor comunei Comana in dezvoltarea strategiei de brand prin crearea si operationalizarea Consiliului de
brand
3. Integrarea strategiei de place branding in strategia de dezvoltare locala si crearea premiselor pentru implementarea acesteia in
cadrul Parteneriatului pentru Dezvoltare locala intre Asociatia Clubul Sportiv Smart Atletic si Comuna Comana</t>
  </si>
  <si>
    <t>Comana</t>
  </si>
  <si>
    <t>AA 1/20.11.2019 AA2/23.06.2021 durata  AA3/11.08.2022 durata</t>
  </si>
  <si>
    <t>AA1/21.07.2020 buget AA2/17.11.2020 buget AA3/11.06.2021 buget  AA4/11.08.2022 durata si buget</t>
  </si>
  <si>
    <t>Obiectivul general al proiectului consta în implicarea activa a Asociatiei Eco Travel în sustinerea si promovarea dezvoltarii la nivel local a
com. Tazlau din judetul Neamt prin consultare publica cu autoritatile publice locale si cetateni în vederea elaborarii unei Strategii de
dezvoltare si promovare a turismului la nivel local si sprijinirea initiativelor de implicare si dezvoltare a responsabilitatii civice privind
dezvoltarea durabila, fapt ce va determina cresterea nivelului de dezvoltare locala pe termen lung.                                                                                                   OS1: Cresterea gradului de constientizare si implicare civica a cetatenilor din Comuna Tazlau, judetul Neamt, precum si a
partenerilor sociali, a ONG-urilor si a altor actori sociali relevanti din zona localitatii Tazlau, cu privire la potentialul turistic al
acestei localitati prin dezvoltarea unui instrument inovativ pentru promovarea dezvoltarii la nivel local si consultare publica pe o
perioada de 11 luni.                                                                                                                                                                                                                                                                                           OS2: Elaborarea Strategiei de dezvoltare si promovare a turismului din Comuna Tazlau, judetul Neamt, pe baza consultarii
publice dintre asociatie si autoritatile locale, parteneri sociali, ONG-uri si alti actori sociali relevanti din zona localitatii Tazlau si
cetateni într-o perioada de 10 luni.                                                                                                                                                                                                                                                          OS3: Cresterea responsabilitatii civice privind dezvoltarea durabila, prin realizarea de activitati în acest sens, cu un grup de 70 de
elevi, înscrisi la Scoala Gimnaziala „I.I. Mironescu” din Tazlau, pe parcursul a 4 luni.</t>
  </si>
  <si>
    <t>Cresterea capacitatii ONG-urilor si a cetatenilor de a participa la monitorizarea si evaluarea dezvoltarii locale în Municipiul Roman.
Obiectivele specifice ale proiectului
1. Dezvoltarea unui parteneriat între Primaria Municipiului Roman si IPP în vederea promovarii dezvoltarii la nivel local si asigurarea
functionalitatii acestuia si dupa finalizarea proiectului.
2. Dezvoltarea unui instrument de monitorizare si evaluare independenta a Strategiei Integrate de Dezvoltare Urbana a Municipiului
Roman 2014-2027
3. Cresterea capacitatii ONGurilor/cetatenilor din Municipiul Roman în consultarea cu autoritatile locale si în implicarea în procesul
de adoptare a deciziilor (prin monitorizarea si prin elaborarea de propuneri privind actualizarea Strategiei Integrate de Dezvoltare
Urbana a Municipiului Roman 2014-2027).</t>
  </si>
  <si>
    <t>Consolidarea capacitatii ONG-urilor din judetul Galati de a se implica în dezvoltarea educatiei la nivel local prin consolidarea capacitatii
interne si extinderii ariei de interventie, dezvoltarea de initiative privind promovarea cetateniei active in randul tinerilor si consolidarea
parteneriatelor pentru dezvoltare locala in scopul sustinerii educatiei APL-ONG-scoala-parteneri sociali
Obiectivele specifice ale proiectului
1. Cresterea capacitatii profesionale a 75 angajati si voluntari din ONG-uri, APL-uri si unitati educationale din judetul Galati in
domeniul dezvoltarii educatiei (investitii si metodica) prin organizarea a 5 cursuri de capacity building
2. Promovarea cetateniei active in randul a 300 persoane (tineri, profesori, angajati din APL, ONG si IMM) din judetul Galati prin
organizarea unei campanii judetene, realizarea unei platforme de implicare civica in domeniul educatiei Galati Edu 2021+ cu
scopul fundamentarii Strategiei de dezvoltare a sistemului educational in judetul Galati
3. Consolidarea parteneriatului pentru dezvoltare locala (PDL) in scopul sustinerii educatiei la nivelul judetului Galati prin infiintarea
unui cluster educational - Galati Edu Cluster 2021+</t>
  </si>
  <si>
    <t>Obiectivul general al proiectului este de a consolida capacitatea organizatiilor nonguvernamentale si partenerilor sociali de a realiza
parteneriate locale pentru dezvoltare si de a se implica in formularea si promovarea dezvoltarii comunei Cricau precum si în procesul de
luare a deciziilor (cetatenie activa), oferind tuturor cetatenilor si grupurilor sociale oportunitatea de a se implica in actiuni si initiative care
contribuie la promovarea si respectarea valorilor democratice si a drepturilor omului.
Obiectivele specifice ale proiectului
1. Obiectiv 2. Dezvoltarea si aplicarea a 3 instrumente si 3 mecanisme de lucru pentru sustinerea, promovarea si consolidarea
dialogului cu autoritatile publice locale, pe o perioada de min. 18 luni de la data semnarii contractului de finantare.
2. Obiectiv 3. Dezvoltarea si aplicarea a 3 instrumente si 3 mecanisme de monitorizare si evaluare a politicilor publice si strategiilor
locale pe baza consultarii autoritatilor publice locale, pe o perioada de min. 18 luni de la data semnarii contractului de finantare.
3. Obiectiv 4. Cresterea capacitatii societatii civile locale, prin instruiri si activitati comune, desfasurate intr-o perioada max. 18 luni
de la data semnarii contractului de finantare.</t>
  </si>
  <si>
    <t>Cresterea capacitatii Asociatiei de Turism Retezat de a se implica în dezvoltarea si promovarea orasului Hateg.
Obiectivele specifice ale proiectului
1. OS1: Recrutarea si formarea a 20 persoane (GT) in domeniul brandingului de localitate, din care 8 din cadrul ONG-ului solicitant
2. OS2: Crearea unei strategii de identitate de brand a orasului Hateg printr-o forma participativa, ca reper pentru dezvoltarea
ulterioara economica si sociala a orasului, înglobând cele mai bune practici internationale în brandingul unui loc
3. OS3:Activarea spiritului civic si realizarea unei mecanism de implicare a cetatenilor si a tuturor factorilor interesati în sustinerea si
promovarea strategiei de brand
4. OS4: Promovarea proiectului si a rezultatelor acestuia catre publicurile tinta si partile interesate</t>
  </si>
  <si>
    <t>Obiectivul general al proiectului este cresterea capacitatii organizatiilor neguvernamentale din domeniul bunei guvernari si a administratiei
publice locale de a monitoriza, evalua, optimiza strategii de dezvoltare locala si imbunatati procesele decizionale de adoptare a politicilor
publice prin utilizarea mecanismelor de participare publica si dialog civic.
OG al proiectului rezulta ca o consecinta a atingerii obiectivelor specifice mentionate mai jos. La randul lor, obiectivele specifice pot fi
atinse prin realizarea rezultatelor prevazute pentru fiecare din subactivitatile proiectului. OS1 si OS2 relationeaza cu R1, R2 si R4, iar OS3
relationeaza cu R3 si R5.
Obiectivele specifice ale proiectului
1. OS1 - Cresterea capacitatii SAR si a ONG-urilor active în Municipiul Resita de a se implica în promovarea dezvoltarii locale prin
participarea a 9 membri ONG la o sesiune de formare si 2 ateliere comune cu angajati ai primariei Resita
2. OS2 – Îmbunatatirea gradului de cooperare cu ONG-uri si a capacitatii Primariei Resita de a utiliza mecanisme de participare
publica în procesele de monitorizare, evaluare si implementare a strategiilor de dezvoltare si a politicilor publice locale prin
participarea a 5 angajati la o sesiune de formare si 2 ateliere comune cu membri ONG
3. OS3 – Încurajarea dialogului civic între autoritatile publice locale, organizatiile non- guvernamentale si cetateni prin
operationalizarea unui parteneriat pentru dezvoltare locala în Municipiul Resita axat pe monitorizarea si optimizarea mobilitatii
urbane si implementarea a minim 3 mecanisme de implicare civica</t>
  </si>
  <si>
    <t>Obiectivul general al prezentului proiect consta în implicarea activa a ASOCATIEI TRANSPARENTA PENTRU INTEGRITATE (ATPI) in
dezvoltarea parteneriatului pentru promovarea oportunitatilor existente la nivelul MUNICPIULUI CALAFAT
Obiectivele specifice ale proiectului
1. OS. 1: Sprijinirea administratiei locale si a cetatenilor in identificarea si valorificarea oportunitatil[or locale prin instrumente
moderne
2. OS 2: Consolidarea capacitatii ASOCATIEI TRANSPARENTA PENTRU INTEGRITATE (ATPI) si a comunitatii locale in
sustinerea dezvoltarii locale si utilizarea corespunzatoare a instrumenelor dezvoltate prin proiect</t>
  </si>
  <si>
    <t xml:space="preserve">Obiectivul general al proiectului consta in cresterea capacitatea ONG-urilor de a se implica în formularea si promovarea dezvoltarii la nivel
local prin implicarea activa a 10 ONG-uri si si parteneri sociali in formularea unei strategii de dezvoltare a capacitatii organizatorice în
ecoturismului intr-o perioada de 14 luni.
Obiectivele specifice ale proiectului
1. O.S. 1 - Elaborarea unei Strategii de Dezvoltarea a Ecoturismului in orasul Busteni si a unui set de masuri de monitorizare
independenta, evaluare comunicare a rezultatelor acesteia.
2. O.S. 2 - Cresterea capacitatii a 10 ONG-uri si parteneri sociali care activeaza în domeniul turismului de a contribui la
promovarea dezvoltarii pe plan local .
</t>
  </si>
  <si>
    <t xml:space="preserve">Obiectivul general al proiectului consta în implicarea activa a Asociatiei „Centrul de resurse RE-START” în formularea si promovarea
dezvoltarii la nivel local a com. Razboieni din judetul Neamt prin consultare publica cu autoritatile publice locale si cetateni în vederea
elaborarii unei Strategii de dezvoltare si promovare turistica si sprijinirea de inititative de dezvoltare a responsabilitatii civice privind
dezvoltarea durabila, fapt ce va determina cresterea nivelului de dezvoltare locala pe termen lung.
Obiectivele specifice ale proiectului
1. OS1: Cresterea gradului de constientizare si implicare civica a cetatenilor din Comuna Razboieni, judetul Neamt, precum si a
partenerilor sociali, a ONG-urilor si a altor actori sociali relevanti din zona localitatii Razboieni, cu privire la potentialul turistic al
acestei localitati prin dezvoltarea unui instrument inovativ pentru promovarea dezvoltarii la nivel local si consultare publica pe o
perioada de 11 luni.
2. OS2: Elaborarea Strategiei de dezvoltare si promovare a turismului din Comunei Razboieni, judetul Neamt, pe baza consultarii
publice dintre asociatie si autoritatile locale, parteneri sociali, ONG-uri si alti actori sociali relevanti din zona localitatii Razboieni si
cetateni într-o perioada de 10 luni.
3. OS3: Cresterea responsabilitatii civice privind dezvoltarea durabila prin realizarea de activitati în acest sens cu un grup de 60 de
elevi, înscrisi la Scoala Gimnaziala „Constantin Virgil Gheorghiu” din Razboieni, pe parcursul a 4 luni.
</t>
  </si>
  <si>
    <t>Consolidarea capacitatii a minimum 40 de organizatii non-guvernamentale si parteneri sociali de a se implica în formularea si promovarea
dezvoltarii la nivel local, prin elaborarea si implementarea unor mecanisme si proceduri de interactiune cu autoritati publice locale, precum si prin instruire specializata si networking.
Obiectivele specifice ale proiectului
1. Obiectiv specific 1: Întarirea capacitatii de colaborare si participare activa a organizatiilor non-guvernamentale si a partenerilor
sociali, prin elaborarea si implementarea unui mecanism de consultare la nivelul Primariei Aiud, denumit Grup Consultativ pentru
Dezvoltare Locala (CDL).
2. Obiectiv specific 2: Dezvoltarea de competente specifice la nivelul personalului din cadrul ONG-urilor si parteneri sociali prin
derularea a 6 sesiuni de instruire specializata, certificarea a minimum 80 de participanti, precum si printr-o retea tematica de
cooperare la nivel local.
3. Obiectiv specific 3: Îmbunatatirea capacitatii organizatiilor non-guvernamentale si partenerilor sociali de a-si extinde aria de
interventie, prin dezvoltarea unui instrument de monitorizare si evaluare independenta a politicilor si strategiilor la nivel local,
precum si prin dezvoltarea a doua proceduri de interactiune a ONG-urilor cu autoritatile publice locale.</t>
  </si>
  <si>
    <t xml:space="preserve">Dezvoltarea durabila a comunei Botosesti Paia prin introducerea de sisteme si standarde comune în administratia publica locala ce
optimizeaza procesele orientate catre beneficiari în concordanta cu SCAP si prin cresterea capacitatii ONG-urilor si partenerilor sociali de a se implica în formularea si promovarea dezvoltarii la nivel local.
Prezentul proiect este in concordanta cu Scopul acestui apel (de a consolida capacitatea organizatiilor non-guvernamentale si partenerilor
Obiectivele specifice ale proiectului
1. Realizarea de instrumente de monitorizare si evaluare independenta a politicilor si strategiilor de dezvoltare a comunei Botosesti
Paia pe parcursul implemenarii proiectului:
2. Raport anual de monitorizarea eficientei cheltuielilor publice si a executiei bugetului local;
3. Raport anual de monitorizarea gradului de colectare a taxelor si impozitelor locale;
4. Raport anual de monitorizarea corelarii componenetei bugetare cu componente strategica a politicilor publice locale;
5. Raport anual de monitorizarea implementarii planurilor de dezvoltare a comunitatii.
2. Realizarea de proceduri, mecanisme pentru sustinerea si promovarea dezvoltarii la nivel local si de interactiune cu autoritatile
siinstitutiile administratiei publice din comuna Botosesti Paia pe parcursul implementarii proiectului.
3. Dezvoltarea si implementarea mecanismelor de consultare a autoritatilor si institutiilor publice din comuna Botosesti Paia cu
ONG-urile, partenerii sociali si a cetatenilor în elaborarea politicilor si strategiilor la nivel local pe parcursul implementarii
proiectului.
4. Dezvoltarea capacitatii partenerilor sociali din comuna Botosesti Paia si a ONG-urilor din judetul Dolj prin formare profesionala,
activitatiîntreprinse în comun, infiintarea unor retele tematice regionale si nationale pe parcursul implementarii proiectului.
</t>
  </si>
  <si>
    <t>Consolidarea capacitatii ONG-urilor si a partenerilor sociali de a se implica in formularea si promovarea dezvoltarii la nivel local prin
Acordul de parteneriat semnat de solicitant cu Primaria Novaci, vizand consolidarea transparentei decizionale, imbunatatirea serviciilor
publice, cresterea responsabilitatii civice privind egalitatea de sanse, dezvoltarea durabila si voluntariat pentru comunitatea locala.
Obiectivele specifice ale proiectului
1. OS1- Consolidarea transparentei procesului decizional in administratia publica locala prin analiza detaliata a situatiei existente si
formularea de propuneri pentru imbunatatirea mecanismelor si instrumentelor de comunicare cu ONG-uri/ parteneri sociali,
cetateni; informarea si constientizarea a 40 persoane din GT prin 2 ateliere vizand democratia participativa si decizia publica.
2. OS2 –Implicarea ONG-urilor/ partenerilor sociali privind orientarea serviciilor publice pe nevoile beneficiarilor prin analiza situatiei
actuale, elaborarea unui plan integrat pentru simplificarea procedurilor administrative aplicabile cetatenilor si abordarea de solutii
novatoare prin aplicarea conceptului de „Ghiseu Unic”
3. OS3 - Dezvoltarea de instrumente independente de monitorizare si evaluare a serviciilor publice la nivel local din perspectiva
cetatenilor, beneficiari ai serviciilor publice, prin stabilirea de indicatori specifici de monitorizare si evaluare si elaborarea unei
metodologii cadru pentru monitorizarea si evaluarea integrata a performantei în furnizarea serviciilor publice la nivelul
administratiei locale.
4. OS4 - Dezvoltarea cunostintelor si abilitatilor resurselor umane din ONG-uri si parteneri sociali pentru un numar de 40
participanti, prin 2 sesiuni de curs de formare acreditat ANC pentru competente sociale si civice; dezvoltarea competentelor
sociale si civice pentru 40 participanti din alte categorii ale GT;
5. OS5 - Constientizarea ONG-urilor si partenerilor sociali de implicare a comunitatii locale in promovarea egalitatii de sanse, a
egalitatii de sanse intre femei si barbati si nediscriminarii pentru 40 de participanti din GT prin organizarea de 2 ateliere.
6. OS6 - Implicarea ONG-urilor si partenerilor sociali prin initiative si actiuni de constientizare si participare a comunitatii locale
pentru implementarea dezvoltarii durabile, cu accent pe colectarea selectiva si reciclarea deseurilor, pe protectia biodiversitatii,
utilizarea eficienta a resurselor prin organizarea de 4 ateliere cu un numar total de 80 participanti din GT;
7. OS7 - Cresterea capacitatii ONG-urilor in dezvoltarea si implementarea voluntariatului pentru dezvoltare durabila prin organizarea
unui atelier de constientizare pentru 20 participanti, infiintarea unei asociatii „Voluntar pentru zone curate si verzi” si organizarea
de 3 seminarii pentru operationalizarea asociatiei;
8. OS8 - Implicarea ONG-urilor in constientizarea comunitatii locale pentru protejarea biodiversitatii etnoculturale, pastrarea,
dezvoltarea si promovarea traditiilor, produselor specifice zonei prin constientizarea de 40 persoane prin 2 ateliere dedicate si
infiintarea unei asociatii.
9. OS9 - Informarea, sensibilizarea si constientizarea ONG-urilor /partenerilor sociali a comunitatii locale in formularea si
promovarea dezvoltarii locale prin actiunile de informare si publicitate, prin 2 conferinte (lansare si finalizarea proiect cu un numar
total de 80 participanti) prin website, retele de socializare, afise, anunturi /comunicate de presa materiale de promovare cu
identitatea vizuala a proiectului.
10. OS10- Asigurarea unui management performant care sa asigure realizarea rezultatelor de program si a rezultatelor de proiect
asumate in conditiile respectarii duratei prevazute a proiectului si realizarea de cheltuieli eligibile conform bugetarii propuse.</t>
  </si>
  <si>
    <t xml:space="preserve">Obiectivul acestui proiect este acela de a consolida capacitatea organizatiilor non-guvernamentale din judetul Cluj de a se implica in
formularea si promovarea dezvoltarii la nivel local. In acest sens, proiectul isi propune sa puna bazele unui Parteneriat pentru Dezvoltare
Locala, functional la 6 luni dupa finalizarea proiectului, intre Autoritatea Publica locala municipiul Cluj Napoca, ONG-uri si parteneri sociali
din zona, si sa dezvolte capacitatea unui numar de 30 de persoane, reprezentanti ai acestora prin instruiri in domeniul monitorizarii
strategiilor si politicilor locale si de participare la procese decizionale, de promovare a egalitatii de sanse si nediscriminari.
Obiectivele specifice ale proiectului
1. OS 1 Dezvoltarea unui parteneriat între ONG-uri /parteneri sociali si UAT municipiul Cluj Napoca, functional la 6 luni dupa
finalizarea proiectelor
2. OS 2 Dezvoltarea de proceduri si mecanisme pentru sustinerea si promovarea dezvoltarii la nivelul municipiului si de interactiune
dintre autoritatile si institutiile administratiei publice cu comunitatea locala in perioada 2021-2027;
3. OS 3 Dezvoltarea capacitatii partenerilor sociali si a ONG-urilor prin instruiri in domeniul monitorizarii strategiilor si politicilor locale
si de participare la procesele decizionale, de promovare a egalitati de sanse si nediscriminarii, precum si a dezvoltarii durabile;
</t>
  </si>
  <si>
    <t>Societatea Națională de Cruce Roșie din România - Filiala Ilfov</t>
  </si>
  <si>
    <t>Responsabilitate și sprijin în comunitate</t>
  </si>
  <si>
    <t>Obiectivul general al proiectului “Responsabilitate si sprijin in comunitate” consta în cresterea capacitatii organizationale a SNCRR Filiala
Ilfov de a se implica în formularea unui instrument comun de interventie in situatie de criza la nivelul orasului Buftea si totodata
dezvoltarea de abilitati si competente in randul voluntarilor, ce vin in sprijinul comunitatii in situatie de criza. 
Obiectivele specifice ale proiectului
1. OS1. Cresterea capacitatii organizationale a SNCRR Filiala Ilfov prin construirea unui dialog sustenabil cu societatea civila si
administratia publica;
2. OS2. Cresterea gradului de constientizare a rolului societatii civile in comunitate prin elaborarea unui instrument comun privind
interventia in situatie de urgenta
3. OS3. Cresterea gradului de pregatire profesionala in domeniul primului ajutor, in vederea asigurarii unui grad ridicat de interventie
in comunitate;
4. OS4. Cresterea premiselor de colaborare ale comunitatii si participarea/implicarea acesteia în procesul de luare a deciziilor;
5. OS5. Dezvoltarea retelei de voluntari in Orasul Buftea prin incheierea a minim 50 de contracte de voluntariat;
6. OS6. Cresterea gradului de constientizare privind egalitatea de sanse si nediscriminarea in in comunitate precum si a protectiei
mediului prin promovarea obiectivelor de dezvoltare durabila</t>
  </si>
  <si>
    <t>Buftea</t>
  </si>
  <si>
    <t>Asociația Ion Câmpineanu pentru Consultanță, Management și Dezvoltare Durabilă</t>
  </si>
  <si>
    <t>Îmbunătățirea capacității ONG pentru sprijinirea dezvoltării la nivel local</t>
  </si>
  <si>
    <t>Hârșova</t>
  </si>
  <si>
    <t>Obiectiv general: Dezvoltarea capacitatii ONG-urilor de a crea parteneriate viabile si durabile cu autoritati publice locale si de a se implica
in dezvoltarea la nivel local in orasul Harsova.
Obiectivele specifice ale proiectului
1. OS1 Dezvoltarea unui parteneriat durabil intre Solicitant si autoritatile locale functional la 6 luni dupa finalizarea proiectului
2. OS2 Dezvoltarea competentelor si insusirea unui „know how’ specific pentru 40 reprezentanti ai ONG-urilor si partenerilor sociali
in vederea consolidarii abilitatilor pentru formularea si promovarea dezvoltarii la nivel local.
3. OS3 Dezvoltarea responsabilitatii civice, de implicare a comunitatilor locale in viata publica si de participare la procesele
decizionale prin dezvoltarea a min 3 proiecte specifice la nivel local</t>
  </si>
  <si>
    <t>AGENȚIA DE DEZVOLTARE REGIONALĂ NORD-VEST</t>
  </si>
  <si>
    <t>Consolidarea dialogului între APL si ecosistemele antreprenoriale din Regiunea Nord Vest</t>
  </si>
  <si>
    <t>Imbunatatirea colaborarii intre ADR Nord-Vest, a altor ONG-uri si/sau parteneri sociali, autoritatilor publice locale si ecosistemelor
antreprenoriale (reprezentate prin ONG-uri antreprenoriale, hub-uri, organizatii patronale, clustere, Camere de Comert etc.) din Regiunea
de Dezvoltare Nord-Vest in vederea facilitarii dialogului cu privire la dezvoltarea locala.
Obiectivele specifice ale proiectului
1. OS1. Incheierea, dezvoltarea si consolidarea de Parteneriate pentru Dezvoltare Locala intre ADR Nord-Vest si Primaria
Municipiului Cluj-Napoca, Primaria Oradea, Primaria Bistrita, Primaria Baia Mare, Primaria Satu Mare, Primaria Zalau, alte
autoritati publice locale, ONG-uri si/sau parteneri sociali si ecosistemele antreprenoriale (reprezentate prin ONG-uri
antreprenoriale, hub-uri, organizatii patronale, clustere, Camere de Comert etc.) din Regiunea de Dezvoltare Nord-Vest.
2. OS2. Consolidarea capacitatii ADR Nord-Vest, a altor ONG-uri si/sau a partenerilor sociali de a facilita dialogul cu privire la
dezvoltarea locala, intre cele 6 primarii care au semnat Parteneriatele pentru Dezvoltare Locala, alte autoritati publice locale si
ecosistemele antreprenoriale (reprezentate prin ONG-uri antreprenoriale, hub-uri, organizatii patronale, clustere, Camere de
Comert etc.) din Regiunea de Dezvoltare Nord-Vest.</t>
  </si>
  <si>
    <t>Bihor, Bistrița-Năsăud, Cluj, Maramureș, Satu-Mare, Sălaj</t>
  </si>
  <si>
    <t>ASOCIAȚIA EXCELSIOR PENTRU EXCELENȚĂ ÎN EDUCAȚIE</t>
  </si>
  <si>
    <t>GORJ CIVIC HUB</t>
  </si>
  <si>
    <t>Obiectivul general al proiectului il constituie cresterea capacitatii si a gradului de implicare a societatii civile din judetul Gorj in promovarea
dezvoltarii la nivel local prin sprijinirea implicarii in cadrul mecanismelor decizionale la nivel local si crearea unei retele tematice judetene,
prin constientizarea rolului acestora de catre reprezentantii sectorului public si a partenerilor sociali, concomitent cu consolidarea
capacitatii acestora, prin intermediul programelor de formare.                                                                                                                                                                                         Obiectivele specifice ale proiectului
1. OS1) Cresterea gradului de constientizare cu privire la rolul societatii civile in randul membrilor /si voluntarilor din cadrul ONGurilor
si partenerilor sociali din judetul Gorj cat si al reprezentantilor din sectorul public prin evenimente dedicate si distribuirea de
materiale de promovare
2. OS2) Consolidarea capacitatii ONG-urilor si partenerilor sociali din judetul Gorj de a se implica in dezvoltarea locala prin cresterea
competentelor resurselor umane (angajati si voluntari) obtinute in urma unor programe de formare specifice
3. OS3) Cresterea nivelului de implicare a ONG-urilor gorjene in procesele de luare a deciziilor /si elaborare a strategiilor/planurilor
pe termen mediu si lung la nivelul judetului Gorj prin realizarea si consolidarea retelei tematice GORJ CIVIC HUB.</t>
  </si>
  <si>
    <t>FUNDAȚIA ROMTENS</t>
  </si>
  <si>
    <t>Promovarea dezvoltării la nivel local prin elaborarea și implementarea de instrumente de monitorizare și evaluare a politicilor și strategiilor locale și prin acțiuni de consultare și consolidare a dialogului social și civic – PDL-Com-S</t>
  </si>
  <si>
    <t>Obiectivul General al Proiectului este:
Optimizarea proceselor orientate catre cetateni prin dezvoltarea si aplicarea de instrumente si mecanisme facilitate de instruire si dedicate
consultarii, monitorizarii si evaluarii politicilor si strategiilor publice la nivel local in comunele Saschiz si Albesti.                                                                       Obiectivele specifice ale proiectului
1. OS1: Asigurarea unei evaluari si monitorizari obiective si independente a politicilor si strategiilor la nivel local, in comunele
Saschiz si Albesti, prin intermediul unui instrument dedicat si a metodologiei de utilizare a acestuia
2. OS2: Cresterea nivelului de participare a ONGurilor, si a cetatenilor, atat in procesul de elaborare a politicilor publice locale, cat si
in cadrul dialogului social si civic, in comunele Saschiz si Albesti
3. OS3: Cresterea nivelului de instruire pentru membrii grupului tinta, precum si conectarea celor doua comune la retele tematice de
dezvoltare locala si comunitara</t>
  </si>
  <si>
    <t>Albesti, Saschiz</t>
  </si>
  <si>
    <t>Federația Galurilor Urbane</t>
  </si>
  <si>
    <t>Capacitarea membrilor ONG-urilor pentru implicare activă în luarea deciziilor la nivel local</t>
  </si>
  <si>
    <t>1, 4, 5, 7</t>
  </si>
  <si>
    <t>Bacău, Olt, Caraș-Severin, Brașov</t>
  </si>
  <si>
    <t>Asociația pentru Asistență Socială " Universul Copiilor Speciali" Pitești</t>
  </si>
  <si>
    <t>Promovare și sprijin în scopul creșterii spiritului civic la nivelul județului Argeș</t>
  </si>
  <si>
    <t>ASOCIAȚIA BASARABII</t>
  </si>
  <si>
    <t>Dezvoltarea brandului localității Hotarele ca parte a strategiei de dezvoltare locală</t>
  </si>
  <si>
    <t>Hotarele</t>
  </si>
  <si>
    <t>ASOCIAȚIA ”LIBEREI ATITUDINI”</t>
  </si>
  <si>
    <t>Cetățenie activă la Spulber</t>
  </si>
  <si>
    <t>Spulber</t>
  </si>
  <si>
    <t>Obiectivul general al proiectului este reprezentat de consolidarea capacitatii organizatiilor non-guvernamentale de a se implica în
formularea si promovarea dezvoltarii la nivel local.
Obiectivele specifice ale proiectului
1. Realizarea cursurilor de formare pentru dezvoltarea echilibrata a organizatiilor neguvernamentale, pentru ca, ulterior, acestea sa
functioneze intr-o maniera sustenabila si sa actioneze in sistem de network, fiind capabile de a se implica in formularea si
promovarea dezvoltarii la nivel local.
2. Realizarea de proceduri, mecanisme pentru sustinerea si promovarea dezvoltarii la nivel local si de interactiune cu autoritatile si
institutiile administratiei publice si de consolidare a dialogului social si civic pentru dezvoltarea de parteneriate intre ONGuri/
parteneri sociali si autoritati locale in vederea sustinerii si promovarii dezvoltarii la nivel local.</t>
  </si>
  <si>
    <t>Obiectivul general al proiectului consta în cresterea gradului de responsabilizare si implicare civica în beneficiul comunitatilor din judetul
Arges, prin crearea unei retele de suport comunitar bazate pe voluntariat si prin implementarea de actiuni menite sa contribuie la
promovarea si respectarea valorilor democratice si a drepturilor omului.
Obiectivele specifice ale proiectului
1. Cresterea capacitatii organizationale a Asociatiei pentru Asistenta Sociala ”Universul Copiilor Speciali”, prin construirea unui
dialog sustenabil cu societatea civila si administratia publica din judet.
2. Promovarea voluntariatului ca forma de cetatenie activa, benevola, în sprijinul persoanei si al comunitatii.
3. Crearea unei retele comunitare de suport (voluntari), care sa sprijine autoritatile administratiei publice locale în procesul de
identificare a nevoilor sociale ale persoanelor/grupurilor vulnerabile si de propunere/aplicare a unor solutii menite sa ridice
standardul de calitate a vietii acestora.
4. Cresterea gradului de constientizare privind egalitatea de sanse si nediscriminarea în comunitate, precum si a obiectivelor de
dezvoltare durabila.
5. Consolidarea parteneriatului între societatea civila si administratia publica prin actiuni constante de implicare reciproca în viata
comunitatii, în vederea promovarii respectarii valorilor democratice si a drepturilor omului, a prevenirii marginalizarii sociale si
discriminarii, cu precadere pe criterii de dizabilitate.
6. Cresterea gradului de cunoastere si promovare a respectarii drepturilor si demnitatii persoanelor aflate în dificultate, cu precadere
a persoanelor cu dizabilitati, prin elaborarea si diseminarea unui ghid privind drepturile persoanelor cu dizabilitati, inclusiv
modalitatile de accesare a acestora, precum si a unui instrument/proceduri de monitorizare a activitatii asistentilor personali de
catre autoritatile publice locale.</t>
  </si>
  <si>
    <t>Obiectivul principal al proiectului il reprezinta cresterea implicarii cetatenilor în comunitate si în procesul de luare a deciziilor (cetatenie
activa) prin instrumentul ”Branding local”, elaborarea strategiei de dezvoltare locala si crearea unui parteneriat între autoritatea locala
(Primaria Com. Hotarele, jud. Giurgiu) si Asociatia Basarabii în vederea implementarii conceptului.
Obiectivele specifice ale proiectului
1. Realizarea strategiei de dezvoltare locala a Com. Hotarele, jud. Giurgiu, prin instrumentul Branding local - Crearea unui Consiliu
de brand local cu implicarea cetatenilor si a alesilor locali;
2. Dezvoltarea si implementarea mecanismelor de consultare a autoritatilor si institutiilor publice cu ONG-urile, în elaborarea
strategiei de dezvoltare la nivel local prin realizarea unei cercetari sociologice cantitative si calitative realizata la nivel local.
3. Integrarea strategiei de Branding local (place branding) in strategia de dezvoltare locala si crearea premiselor pentru
implementarea acesteia in cadrul Parteneriatului pentru Dezvoltare locala intre Asociatia BASARABII si Com. HOTARELE, jud.
Giurgiu</t>
  </si>
  <si>
    <t>Obiectivul general al proiectului consta în dezvoltarea capacitatii de cooperare intre societatea civila si administratia publica locala, prin
dezvoltarea unui Parteneriat pentru dezvoltare locala, pentru implementarea unor masuri adaptate nevoilor comunitatii rurale, în vederea
cresterii accesului cetatenilor la procesul de luare a deciziilor si la servicii comunitare de calitate.
Obiectivele specifice ale proiectului
1. OS1. Consolidarea dialogului social la nivelul comunei Spulber, prin realizarea unei platforme civice online, accesibila tuturor
cetatenilor comunei, pentru depunerea de propuneri în vederea realizarii Strategiei de Dezvoltare Locala si a Planului de actiune
pentru urmatoarea perioada si în scopul urmaririi în timp real a implementarii acestora, precum si prin crearea de instrumente
online pentru cetateni si societatea civila de a se implica in procesul de luare a deciziilor
2. OS2. Cresterea gradului de implicare a cetatenilor comunei Spulber in viata comunitatii, prin facilitarea participarii la intalniri
cetatenesti pentru locuitorii comunei, prin asigurarea accesului a 40 de persoane la sesiuni de instruire specifice si prin
participarea a 6 persoane la o vizita de studiu intr-o tara UE
3. OS3. Reducerea birocratiei prin informatizarea operatiunilor administratiei locale în relatia cu cetatenii
Obiectivele contribuie la realizarea R4 al Cererii de proiecte POCA/659/2/1 (CP14/2021 pentru regiunile mai putin dezvoltate) -
Consolidarea capacitatii ONG-urilor si partenerilor sociali de a se implica în formularea si promovarea dezvoltarii la nivel local:
Capacitate crescuta a ONG-urilor si partenerilor sociali de a se implica în formularea si promovarea dezvoltarii la nivel local.</t>
  </si>
  <si>
    <t>AA1/19.08.2019       AA2/14.08.2020 durata AA3/6.07.2021 buget AA4/10.08.2021 durata  AA5/16.08.2022 durata</t>
  </si>
  <si>
    <t>AA1/15.07.2020   AA2/29.09.2020 durata AA3/7.08.2021 durata AA4/25.10.2021 durata si buget   AA5/17.08.2022 durata</t>
  </si>
  <si>
    <t>AA1/23.12.2020 durata si buget AA2/13.04.2021 durata          AA3/17.08.2022 durata si buget</t>
  </si>
  <si>
    <t>AA2/12.08.2021 durata  AA3/14.04.2022 durata AA4/19.08.2022 durata</t>
  </si>
  <si>
    <t>AA1/21.01.2022 durata     AA2/19.08.2022 durata</t>
  </si>
  <si>
    <t>AA1/22.09.2020 buget AA2/2.08.2021durata    AA3/5.04.2022 durata   AA4/19.08.2022 durata si buget</t>
  </si>
  <si>
    <t>ASOCIAȚIA DE DEZVOLTARE INTERCOMUNITARĂ ECOLECT GROUP</t>
  </si>
  <si>
    <t>Aplicație integrată privind managementul deșeurilor în județul Bihor</t>
  </si>
  <si>
    <t>ASOCIATIA "SOCIETATEA DE CERCETARE ÎN LEADERSHIP, MANAGEMENT, MARKETING ȘI CULTURĂ
ORGANIZAȚIONALĂ"</t>
  </si>
  <si>
    <t>Implicați activ pentru dezvoltarea comunei Șopârlița</t>
  </si>
  <si>
    <t>Craiova, Sopârlita</t>
  </si>
  <si>
    <t>ASOCIAȚIA SOCIAL ALERT</t>
  </si>
  <si>
    <t>Implicarea Asociației SOCIAL ALERT în creșterea capacității a 10 ONG-uri și parteneri sociali în domeniul dezvoltării antreprenoriale a familiilor tinere, prin implicarea inovativă a acestora în formularea și dezvoltarea locală la nivelul Orașului Țăndărei din Județul Ialomița</t>
  </si>
  <si>
    <t>Obiectivul general al proiectului: Cresterea capacitatii a 10 ONG-uri si parteneri sociali din Regiunea Sud-Muntenia, pentru a formula si
promova dezvoltarea inovativa la nivel local prin dezvoltarea competentelor antreprenoriale la nivelul familiilor tinere din localitatea
Tandarei, Jud. Ialomita, prin prisma oportunitatilor Romaniei in noul context european 2021-2027, in decurs de 6 luni
Obiectivele specifice ale proiectului
1. OS1. Dezvoltarea capacitatii a 10 ONG-uri si parteneri sociali din Regiunea Sud-Muntenia de a se implica in formularea si
promovarea dezvoltarii la nivel local prin organizarea a 2 sesiuni de instruire in domeniul dezvoltarii locale durabile prin
dezvoltarea tinerelor familii din punct de vedere antreprenorial prin prisma oportunitatilor Romaniei in noul context european
2021-2027, pe parcursul 1 luni
2. OS2. Dezvoltarea responsabilitatii civice, de implicare a comunitatilor locale in viata publica si de participare la procesele
decizionale, de promovare a egalitati de sanse si nediscriminarii, precum si a dezvoltarii durabile, prin informarea si
constientizarea a 80 de persoane din Regiunea Sud-Muntenia, in decurs de 4 luni
3. OS3. Sustinerea si promovarea dezvoltarii tinerelor familii la nivel local prin facilitarea interactiunii acestora cu autoritatile si
institutiile administratiei publice prin realizarea 1 Strategii de comunicare si a 1 Ghid in acest sens, in decurs de 2 luni
4. OS4. Dezvoltarea de mecanisme si instrumente de consolidare a dialogului social si civic prin elaborarea 1 platforme online in
vederea dezvoltarii locale durabile prin sustinerea antreprenoriatului in randul tinerelor familii, pe parcursul a 5 luni
5. OS5. Dezvoltarea de instrumente de monitorizare si evaluare independenta a politicilor si strategiilor la nivel local in domeniul
sustinerii antreprenoriatului in randul tinerelor familii, ca factor de dezvoltare locala sustenabila si inteligenta, in decurs de 6 luni</t>
  </si>
  <si>
    <t>Țăndărei</t>
  </si>
  <si>
    <t>PATRONATUL UNPR - BANAT</t>
  </si>
  <si>
    <t>Dezvoltarea comunei Giarmata, Timiș, prin implicarea partenerilor sociali</t>
  </si>
  <si>
    <t>Giarmata</t>
  </si>
  <si>
    <t>Asociația Culturală ARTMANIA</t>
  </si>
  <si>
    <t>Dezvoltarea capacității organizatorice în domeniul cultural-muzical a județului Sibiu</t>
  </si>
  <si>
    <t>Obiectiv general: Cresterea capacitatii ADI Ecolect Group Bihor si a partenerilor sociali de a se implica în formularea si promovarea
dezvoltarii la nivel local.
Scop: Constientizarea si educarea populatiei din judetul Bihor prin intermediul unei aplicatii integrate de management al deseurilor,
cresterea gradului de implicare a ADI Ecolect Group Bihor si a partenerilor sociali in introducerea de sisteme si standarde comune în
administratia publica privind o gestionare eficienta a sistemului de management integrat al deseurilor.
Obiectivele specifice ale proiectului
1. Realizarea unui parteneriat social pentru dezvoltare locala functional, pe o perioada de cel putin 12 luni de la data finalizarii
perioadei de implementare a proiectului, între ADI Ecolect Group Bihor, UAT Judetul Bihor, primariile din judetul Bihor si
operatorii de salubritate prin intermediul Platformei electronice integrate de management al deseurilor precum si prin formarea
profesionala continua a personalului acestora, cu atributii în protectia mediului si managementul deseurilor.
2. Îmbunatatirea capacitatii de gestionare a deseurilor la nivelul jud Bihor prin dezvoltarea unei aplicatii integrate privind
managementul deseurilor
3. Cresterea capacitatii de gestionare a deseurilor prin instruirea a 105 persoane in domeniul managementului deseurilor</t>
  </si>
  <si>
    <t>Obiectivul general al proiectului este consolidarea capacitatii ASOCIATIEI "SOCIETATEA DE CERCETARE IN LEADERSHIP,
MANAGEMENT, MARKETING SI CULTURA ORGANIZATIONALA" si a partenerilor sociali de a se implica în formularea si promovarea
dezvoltarii la nivel local în comuna Sopârlita.
Obiectivele specifice ale proiectului
1. Realizarea de instrumente de monitorizare si evaluare independenta a politicilor si strategiilor de dezvoltare a comunei Soparlita
2. Realizarea de proceduri, mecanisme pentru sustinerea si promovarea dezvoltarii la nivel local si de interactiune cu autoritatile si
institutiile administratiei publice din comuna Soparlita
3. Dezvoltarea si implementarea mecanismelor de consultare a autoritatilor si institu?iilor publice din comuna Soparlita cu ONGurile,
partenerii sociali si a cetatenilor în elaborarea politicilor si strategiilor la nivel local
4. Dezvoltarea de mecanisme, proceduri, instrumente de consolidare a dialogului social si civic la nivelul comunei Soparlita
5. Dezvoltarea capacitatii Asociatiei "Societatea de Cercetare în Leadership, Management, Marketing si Cultura Organizationala", a
partenerilor sociali din comuna Soparlita si a ONG-urilor din judetul Dolj de a se implica in formularea si promovarea dezvoltarii la
nivel local
6. Sprijinirea de initiative de dezvoltare a responsabilitatii civice, de implicare a comunitatilor locale din comuna Soparlita</t>
  </si>
  <si>
    <t>Cresterea capacitatii ONG-urilor si a partenerilor sociali de a se implica in formularea si promovarea politicilor de dezvoltare a mediului de
afaceri local al comunei Giarmata, judet Timis, intr-un orizont de timp de 14 luni
Obiectivele specifice ale proiectului
1. Dezvoltarea unui parteneriat durabil si activ la 6 luni de la finalizarea proiectului intre autoritati locale, ONG-uri si parteneri sociali
pentru formularea si promovarea de propuneri pentru dezvoltarea mediului de afaceri local al comunei Giarmata, Timis;
2. Cresterea capacitatii unui numar de 34 de persoane (reprezentanti ai ONG-urilor si partenerilor sociali) de a se implica in
formularea si promovarea de propuneri pentru dezvoltarea mediului de afaceri local al comunei Giarmata, Timis prin dezvoltarea
de competente de educatie financiara si planificare strategica;
3. Dezvoltarea Strategiei de dezvoltare locala a comunei Giarmata, Timis, a planului de actiune asociat incluzand un mecanism de
consultare a autoritatilor si institutiilor publice cu ONG-urile, partenerii sociali, precum si a cetatenilor în elaborarea politicilor si
strategiilor la nivel local pentru formularea de propuneri alternative la politicile locale;
4. Derularea campaniei de advocacy ca mecanism pentru sustinerea si promovarea dezvoltarii mediului de afaceri local al comunei
Giarmata, Timis, si pentru inaintarea propunerilor alternative la politicile publice locale curente.</t>
  </si>
  <si>
    <t>Obiectivul general al proiectului consta in cresterea capacitatea ONG-urilor de a se implica în formularea si promovarea dezvoltarii la nivel
local prin implicarea activa a 10 ONG-uri si si parteneri sociali in formularea unei strategii de dezvoltare a capacitatii organizatorice în
domeniul cultural-muzical.
Obiectivele specifice ale proiectului
1. O.S. 1 - Elaborarea unei Strategii de Dezvoltare a capacitatii organizatorice în domeniul cultural-muzical a judetului Sibiu si unui
set de masuri de monitorizare independenta, evaluare comunicare a rezultatelor acesteia.
Proiectul prevede elaborarea unei strategii de dezvoltare in domeniul prezentat, precum si modul in care se poate face o
monitorizare si evaluare independenta a rezultatelor acesteia , precum si comunicarea rezultatelor.
O.S. 1 va fi atins prin implementarea A1 si obtinerea rezultatelor asteptate R1, R2
2. O.S. 2 - Cresterea capacitatii a 10 ONG-uri si parteneri sociali care activeaza în domeniul cultural-muzical de a organiza
evenimente de mare anvergura domeniul cultural-muzical .
Participarea a 5a persoane din GT la workshop-uri de specialitate va permite dobandirea de cunostinte terotice si practice
referitoare la toate componentele ce concura la realizarea unui eveniment de anvergura.
O.S. 2 va fi atins prin implementarea A3, A4 si obtinerea rezultatelor asteptate R3</t>
  </si>
  <si>
    <t>Soluții digitale pentru Sectorul 5 al Municipiului București</t>
  </si>
  <si>
    <t>Obiectivul general consta în consolidarea capacitatii administrative a Primariei Sectorului 5, din Regiunea mai dezvoltata Bucuresti-Ilfov,
prin masuri de planificare strategica (elaborare Strategie SMART CITY) si prin simplificarea procedurilor administrative în sensul
dezvoltarii si implementarii unei aplicatii informatice pentru alocare si gestionare fonduri nerambursabile locale din fonduri publice pentru
activitati nonprofit de interes general.
Obiectivele specifice ale proiectului
1. OS1: Dezvoltarea capacitatii de planificare strategica care sa permita construirea unui plan de dezvoltare si modernizare a
Sectorului 5 prin realizarea Strategiei SMART CITY pentru perioada 2023 – 2030.
OS 1 se va îndeplini prin Activitatea 1, este atins ca urmare a obtinerii rezultatelor de proiect 1 si va conduce la atingerea
rezultatului de program POCA R1.
2. OS2. Implementarea la nivelul Institutiei a masurilor de simplificare a procedurilor administrative si reducerea birocratiei pentru
cetateni în sensul dezvoltarii unei aplicatii/platforme informatice pentru gestionare fonduri nerambursabile locale din fonduri
publice alocate pentru activitati nonprofit de interes general.
OS 2 se va îndeplini prin activitatea 2 si este atins ca urmare a obtinerii rezultatelor de proiect 2 si va conduce la atingerea
rezultatului de program POCA R3.
3. OS 3: Imbunatatirea competentelor profesionale si certificarea unui numar de 25 de persoane din cadrul institutiei cu privire la
gestionarea si utilizarea paltformei informatice dezvoltate.
OS 3 se va îndeplini prin subactivitatea 2.2, este atins ca urmare a obtinerii rezultatelor de proiect 3 si va conduce la atingerea
rezultatului de program POCA R5.</t>
  </si>
  <si>
    <t>AA1/16.02.2022 durata si buget    AA2/22.08.2022 durata</t>
  </si>
  <si>
    <t>AA1/24.08.2022 durata</t>
  </si>
  <si>
    <t>Asociația de Dezvoltare Economică și Regională - A.D.E.R.</t>
  </si>
  <si>
    <t>Bucovina: Regenerare rurală prin implicarea comunității</t>
  </si>
  <si>
    <t>Optimizarea proceselor orientate catre beneficiarii dezvoltarii durabile a spatiului rural, prin adaptarea structurii si mandatului administratiei la nevoile de protejare si valorizare a patrimoniului local.
Patrimoniul local, desi bogat si cu potential de sustinere a dezvoltarii locale, poate fi sustinut doar prin protejarea resurselor patrimoniale
valoroase si dezvoltarea unui turism sustenabil.
Obiectivele specifice ale proiectului
1. OS1:
Cresterea capacitatii ONG-urilor si autoritatii publice locale de a formula masuri in domeniul dezvoltarii durabile a spatiului rural,
cu implicarea comunitatii si partenerilor sociali, prin organizarea unei dezbateri, dezvoltarea si propunerea unor metodologii de
cercetare si inventariere/interpretare a resurselor valoroase ale patrimoniului construit si patrimoniului natural, a unei platforme de
comunicare online cu caracter permanent pentru actorii principali din domeniul patrimoniului, crearea de minim 12 parteneriate
intre ONG-uri/parteneri sociali si autoritati locale si constituirea unui consiliu consultativ PACT.
2. OS2:
Imbunatatirea capacitatii a 60 de participanti din cadrul ONG-urilor, partenerilor sociali, actorilor sociali, alesi locali, personal din
autoritatile si institutiile publice locale, de a activa ca facilitatori comunitari si de a coordona dezvoltarea de proiecte de dezvoltare
strategica pentru regenerarea rurala, prin organizarea de programe de formare in domeniile:
- Managementul proiectelor comunitare cu abordarea participativa;
- Formare si organizare comunitara;
- Managementul destinatiilor din mediul rural.
3. OS3:
Cresterea gradului de informare si constientizare a societatii civile privind implicarea comunitatii in viata publica si participarea la
procesele decizionale, prin diseminarea la nivel extins a practicilor identificate si a instrumentelor realizate in program.</t>
  </si>
  <si>
    <t>Cacica, Fundu Moldovei, Manastirea Humorului, Panaci, Stampei, Putna, Sucevita, Vatra Moldovitei</t>
  </si>
  <si>
    <t>ASOCIAȚIA PERSOANELOR CU HANDICAP SPORTING CLUB GALAȚI</t>
  </si>
  <si>
    <t>DA – pentru dezvoltare locala! DA – pentru ONGuri active in comunitate!</t>
  </si>
  <si>
    <t>1. FEDERATIA PENTRU ACCESIBILIZAREA ROMANIEI                                          2. ASOCIAŢIA CONSULTANŢILOR ŞI EXPERŢILOR ÎN ECONOMIE SOCIALĂ ROMÂNIA</t>
  </si>
  <si>
    <t>Obiectivul general: Cresterea capacitatii operationale a ONGurilor, din Galati, pentru a se implica activ si relevant in implementarea de
initiative si parteneriate intre diversi actori, inclusiv autoritati publice, in vederea facilitarii dezvoltarii locale, in diverse arii de actiune
(social, educatie, drepturile omului, ocupare, economie sociala, sanatate etc.).
Obiectivele specifice ale proiectului
1. OS1 Stimularea dezvoltarii capacitatii de a promova&amp;facilita dezvoltarea la nivel local, prin cooperare&amp;actiuni comune, pe baza
de mecanisme si instrumente inovative, cu cel putin 12 actori institutionali (ONGuri+autoritati/institutii publice).
2. OS2 Dezvoltarea abilitatilor si competentelor practice a cel putin 30 reprezentanti ONGuri, in a promova si sustine initiative
concrete&amp;relevante de dezvoltare locala in diverse arii de actiune (social, educatie, drepturile omului, ocupare, economie sociala,
sanatate, sport&amp;timp liber, cultura etc.).</t>
  </si>
  <si>
    <t>ASOCIAȚIA COMUNELOR DIN ROMÂNIA</t>
  </si>
  <si>
    <t>Cooperare digitală pentru dezvoltarea locală</t>
  </si>
  <si>
    <t>ASOCIAȚIA INTELLISOFT</t>
  </si>
  <si>
    <t>Baia Mare, Vulcana-Bai</t>
  </si>
  <si>
    <t>Maramureș , Dâmbovita</t>
  </si>
  <si>
    <t>OBIECTIV GENERAL: Consolidarea capacitatii ONG-urilor partenere de a relationa cu administratiile publice locale din mediul rural prin
intermediul colaborarii digitale, pe parcursul a 14 luni, cu scopul de a sprijini valorificarea digitalizarii ca mecanism de facilitare a
dezvoltarii locale rurale.
Obiectivele specifice ale proiectului
1. Implementarea unui mecanism de interactiune si consultare publica intre ONG-uri, autoritati publice si cetateni pentru a incuraja
dialogul social si civic (sub forma unui instrument digital de tip platforma de comunicare online) si a unui modul de e-learning, care
vor fi introduse in circuitul de utilizare al membrilor Parteneriatului de dezvoltare locala.
2. Realizarea unui instrument de evaluare a gradului de dezvoltare digitala locala (studiu de digitalizare a comunelor din Romania,
de tip diagnoza), care va fi diseminat la nivel national, pentru a evalua si ilustra nevoia de digitalizare a UAT-urilor la nivelul
comunelor din Romania.
3. Formarea si certificarea unui grup tinta de 292 persoane (10 reprezentanti ai ONG-urilor si 282 reprezentanti ai administratiilor
publice locale din mediul rural) prin organizarea unor ateliere de instruire pe teme de digitalizare, pentru a dezvolta competentele
digitale ale acestora, in vederea consolidarii capacitatii grupului tinta de a se implica in mod colaborativ in initiative de dezvoltare
28
locala bazate pe digitalizare.
4. Elaborarea unui manual de digitalizare adecvat specificului comunelor din Romania, ca procedura de sustinere si promovare a
dezvoltarii locale digitale in mediul rural, care va fi diseminat public, la nivel national, inclusiv autoritatilor publice competente.</t>
  </si>
  <si>
    <t>ASOCIAȚIA ”DRAG DE HAȚEG”</t>
  </si>
  <si>
    <t>IDensus - Construcție de brand prin participarea comunității</t>
  </si>
  <si>
    <t>ASOCIAȚIA DE TURISM RETEZAT</t>
  </si>
  <si>
    <t>Densus</t>
  </si>
  <si>
    <t>Asociația de Ecoturism din România</t>
  </si>
  <si>
    <t>Creșterea capacității de management durabil a destinației turistice Brașov la nivelul județului și al municipiului</t>
  </si>
  <si>
    <t>Incubatorul participării tinerilor</t>
  </si>
  <si>
    <t>Timis</t>
  </si>
  <si>
    <t>Asociația "Cercul de la București"</t>
  </si>
  <si>
    <t>Creșterea capacității a 10 ONG-uri și parteneri
sociali în domeniul dezvoltării tinerilor antreprenori și implicarea inovativă a acestora în
formularea și dezvoltarea locală la nivelul Comunei Munteni Buzău din Județul Ialomița</t>
  </si>
  <si>
    <t>Munteni-Buzau</t>
  </si>
  <si>
    <t xml:space="preserve">Obiectivul general al proiectului: Cresterea capacitatii a 20 ONG-uri si parteneri sociali din Regiunea Sud-Muntenia pentru a formula si
promova dezvoltarea inovativa la nivel local cu accent pe dezvoltarea competentelor antreprenoriale ale tineretului prin prisma
oportunitatilor Romaniei in noul context european 2021-2027, in decurs de 6 luni
Obiectivele specifice ale proiectului
1. OS1. Dezvoltarea capacitatii a 20 ONG-uri si parteneri sociali din Regiunea Sud-Muntenia de a se implica in formularea si
promovarea dezvoltarii la nivel local prin organizarea a 3 sesiuni de instruire in domeniul dezvoltarii locale durabile prin
dezvoltarea tineretului din punct de vedere antreprenorial tinand cont de oportunitatile Romaniei in noul context european 2021-
2027, pe parcursul 1 luni
2. OS2. Dezvoltarea responsabilitatii civice, de implicare a comunitatilor locale in viata publica si de participare la procesele
decizionale, de promovare a egalitati de sanse si nediscriminarii, precum si a dezvoltarii durabile, prin informarea si
constientizarea a 100 de persoane din Regiunea Sud-Muntenia, in decurs de 4 luni
3. OS3. Sustinerea si promovarea dezvoltarii tinerilor la nivel local prin facilitarea interactiunii acestora cu autoritatile si institutiile
administratiei publice 
4. OS4. Dezvoltarea de mecanisme si instrumente de consolidare a dialogului social si civic prin elaborarea 1 platforme online in
vederea dezvoltarii locale durabile prin sustinerea antreprenoriatului in randul tinerilor, pe parcursul a 5 luni
5. OS5. Dezvoltarea de instrumente de monitorizare si evaluare independenta a politicilor si strategiilor la nivel local in domeniul
sustinerii tinerilor antreprenori, ca factor de dezvoltare locala sustenabila si inteligenta, in decurs de 6 luni
</t>
  </si>
  <si>
    <t>Implicarea Asociației SOCIAL ALERT în creșterea
capacității a 10 ONG-uri și parteneri sociali în domeniul dezvoltării antreprenoriale a familiilor
tinere, prin implicarea inovativă a acestora în formularea și dezvoltarea locală la nivelul comunelor
Tunari și Ștefăneștii de Jos din Județul Ilfov</t>
  </si>
  <si>
    <t>Stefanestii de Jos, Tunari</t>
  </si>
  <si>
    <t>Obiectivul general al proiectului: Cresterea capacitatii a 10 ONG-uri si parteneri sociali din Regiunea Bucuresti-Ilfov, pentru a formula si
promova dezvoltarea inovativa la nivel local prin dezvoltarea competentelor antreprenoriale la nivelul familiilor tinere din localitatile Tunari
si Stefanestii de Jos, prin prisma oportunitatilor Romaniei in noul context european 2021-2027, in decurs de 6 luni
1. OS1. Dezvoltarea capacitatii a 10 ONG-uri si parteneri sociali din Regiunea Bucuresti-Ilfov de a se implica in formularea si
promovarea dezvoltarii la nivel local prin organizarea a 2 sesiuni de instruire in domeniul dezvoltarii locale durabile prin
dezvoltarea tinerelor familii din punct de vedere antreprenorial prin prisma oportunitatilor Romaniei in noul context european
2021-2027, pe parcursul 1 luni
2. OS2. Dezvoltarea responsabilitatii civice, de implicare a comunitatilor locale in viata publica si de participare la procesele
decizionale, de promovare a egalitati de sanse si nediscriminarii, precum si a dezvoltarii durabile, prin informarea si
constientizarea a 80 de persoane din Regiunea Bucuresti-Ilfov, in decurs de 4 luni                                                                                                                        3. OS3. Sustinerea si promovarea dezvoltarii tinerelor familii la nivel local prin facilitarea interactiunii acestora cu autoritatile si
institutiile administratiei publice prin realizarea 1 Strategii de comunicare si a 1 Ghid in acest sens, in decurs de 2 luni
4. OS4. Dezvoltarea de mecanisme si instrumente de consolidare a dialogului social si civic prin elaborarea 1 platforme online in
vederea dezvoltarii locale durabile prin sustinerea antreprenoriatului in randul tinerelor familii, pe parcursul a 5 luni
5. OS5. Dezvoltarea de instrumente de monitorizare si evaluare independenta a politicilor si strategiilor la nivel local in domeniul
sustinerii antreprenoriatului in randul tinerelor familii, ca factor de dezvoltare locala sustenabila si inteligenta, in decurs de 6 luni</t>
  </si>
  <si>
    <t>ASOCIAȚIA "PROGRESSON"</t>
  </si>
  <si>
    <t>Implicarea Asociației PROGRESSON în creșterea
capacității a 25 ONG-uri și parteneri sociali în domeniul dezvoltării tinerilor antreprenori, prin
implicarea inovativă a acestora în formularea și dezvoltarea locală la nivelul Comunelor Jilava, 1
Decembrie și Vidra din Județul Ilfov</t>
  </si>
  <si>
    <t>1 Decembrie, Jilava, Vidra</t>
  </si>
  <si>
    <t>Obiectivul general al proiectului: Cresterea capacitatii a 25 de ONG-uri si parteneri sociali din Regiunea Bucuresti-Ilfov, pentru a formula si
promova dezvoltarea inovativa la nivel local cu accent pe dezvoltarea competentelor antreprenoriale ale tineretului prin prisma
oportunitatilor Romaniei in noul context european 2021-2027, in decurs de 6 luni.                                                                                                                     OS1. Dezvoltarea capacitatii a 25 de ONG-uri si parteneri sociali din Regiunea Bucuresti-Ilfov de a se implica in formularea si
promovarea dezvoltarii la nivel local prin organizarea a 2 sesiuni de instruire in domeniul dezvoltarii locale durabile prin
dezvoltarea tineretului din punct de vedere antreprenorial tinand cont de oportunitatile Romaniei in noul context european 2021-
2027, pe parcursul 1 luni                                                                                                                                                                                                                                OS2. Dezvoltarea responsabilitatii civice, de implicare a comunitatilor locale in viata publica si de participare la procesele
decizionale, de promovare a egalitati de sanse si nediscriminarii, precum si a dezvoltarii durabile, prin informarea si
constientizarea a 100 de persoane din Regiunea Bucuresti-Ilfov, in decurs de 4 luni                                                                                                                    OS3. Sustinerea si promovarea dezvoltarii tinerilor la nivel local prin facilitarea interactiunii acestora cu autoritatile si institutiile
administratiei publice prin realizarea 1 Strategii de comunicare si a 1 Ghid in acest sens, in decurs de 2 luni                                                                         OS4. Dezvoltarea de mecanisme si instrumente de consolidare a dialogului social si civic prin elaborarea 1 platforme online in
vederea dezvoltarii locale durabile prin sustinerea antreprenoriatului in randul tinerilor, pe parcursul a 5 luni                                                                      OS5. Dezvoltarea de instrumente de monitorizare si evaluare independenta a politicilor si strategiilor la nivel local in domeniul
sustinerii tinerilor antreprenori, ca factor de dezvoltare locala sustenabila si inteligenta, in decurs de 6 luni</t>
  </si>
  <si>
    <t>FEDERAȚIA ASOCIAȚIILOR COMPANIILOR DE UTILITĂȚI DIN ENERGIE</t>
  </si>
  <si>
    <t>Dialog social pentru un județ ”verde</t>
  </si>
  <si>
    <t>ASOCIAȚIA HELP AUTISM</t>
  </si>
  <si>
    <t>Bune practici în parteneriate public-private
pentru intervenția în TSA și alte problematici sociale</t>
  </si>
  <si>
    <t>SOCIETATEA NATIONALĂ DE CRUCE ROȘIE DIN ROMÂNIA - FILIALA SECTORULUI 3 BUCUREȘTI</t>
  </si>
  <si>
    <t>Voluntar 3.00 - rețele de voluntariat pentru asistență umanitară în Sectorul 3 Municipiul București</t>
  </si>
  <si>
    <t>Obiectivul general al proiectului „Voluntar 3.00 - retele de voluntariat pentru asistenta umanitara in Sectorul 3 Municipiul Bucuresti” consta
în cresterea capacitatii organizationale a SNCRR Filiala Sector 3 de a se implica în formularea unui instrument comun de interventie in
caz de dezastru/situatie de criza la nivelul Sectorului 3 si totodata dezvoltarea de abilitati si competente in randul voluntarilor, ce vin in
sprijinul comunitatii in caz de dezastru/situatie de criza. 
Obiectivele specifice ale proiectului
1. OS1. Cresterea capacitatii organizationale a SNCRR Filiala Sector 3 prin construirea unui dialog sustenabil cu societatea civila si
administratia publica;
2. OS2. Cresterea gradului de constientizare a rolului societatii civile in comunitate prin elaborarea unui instrument comun privind
interventia in caz de dezastru/situatie de urgenta respectiv o retea sustenbaila de voluntari
3. OS3. Cresterea gradului de pregatire profesionala in domeniul primului ajutor, in vederea asigurarii unui grad ridicat de interventie
in comunitate;
4. OS4. Cresterea premiselor de colaborare ale comunitatii si participarea/implicarea acesteia în procesul de luare a deciziilor;
5. OS5. Dezvoltarea retelei de voluntari in Sectorul 3 prin incheierea a minim 50 de contracte de voluntariat ce vor constitui
instrumentul de baza in asigurarea asistentei comunitare la nivelul Sectorului 3.
6. OS6. Cresterea gradului de constientizare privind egalitatea de sanse si nediscriminarea in in comunitate precum si a protectiei
mediului prin promovarea obiectivelor de dezvoltare durabila</t>
  </si>
  <si>
    <t>AA1/19.05.2021 durata  AA2/31.08.2022 durata si ue, cb</t>
  </si>
  <si>
    <t>AA1/30.08.2022 durata</t>
  </si>
  <si>
    <t>AA1/31.08.2022  ue, bn, cb</t>
  </si>
  <si>
    <t>AA1/30.08.2022 durata si buget (inclusiv neeligibil)</t>
  </si>
  <si>
    <t>Cresterea capacitatii Asociatiei Drag de Hateg si a Asociatiei de Turism Retezat de a se implica în formularea si promovarea dezvoltarii în
comuna Densus
Obiectivele specifice ale proiectului
1. OS1: Recrutarea si formarea a 20 persoane (GT) in domeniul brandingului de localitate, din care 8 din cadrul partenerilor (ONGuri)
in proiect
2. OS2: Crearea unei strategii de identitate de brand a comunei Densus printr-o forma participativa, ca reper pentru dezvoltarea
ulterioara economica si sociala a comunei, înglobând cele mai bune practici internationale în brandingul unui loc
3. OS3: Realizarea unei mecanism de implicare a cetatenilor în sustinerea si promovarea strategiei de brand
4. OS4: Promovarea proiectului si a rezultatelor acestuia catre publicurile tinta si partile interesate</t>
  </si>
  <si>
    <t>Cresterea capacitatii de management pentru dezvoltarea durabila a turismului la nivelul destinatiilor locale si a judetului Brasov, în cadrul
parteneriatului între administratiile publice locale, sectorul privat si ONG-uri.
Obiectivele specifice ale proiectului
1. Cresterea capacitatii de management pentru dezvoltarea durabila a turismului la nivelul municipiului Brasov, prin formularea si
promovarea viziunii de dezvoltare elaborata participativ si cu expertiza nationala si internationala, cât si a unui sistem de
monitorizare turistica, aplicabile pentru urmatorii 10 ani.
2. Cresterea capacitatii de management a destinatiilor turistice din judetul Brasov, cu ajutorul expertizei nationale si internationale,
aducând sprijin pentru parteneriatul între administratiile publice, sectorul privat si ONG-uri, cu oferirea unui cadru de lucru pentru
urmatorii 10 ani.</t>
  </si>
  <si>
    <t>Obiectivul general al proiectului este de a consolida capacitatea organizatiilor non-guvernamentale de si pentru tineret de a se implica în
formularea si promovarea dezvoltarii la nivel local în domeniul tineretului (adresata tinerilor) la nivelul judetului Timis.
Obiectivele specifice ale proiectului
1. Dezvoltarea a cel putin 20 parteneriate pentru dezvoltare locala în domeniul tineretului între UAT-uri si ONG-uri la nivelul judetului
Timis pâna la finalul proiectului.
2. Participarea a cel putin 100 de persoane (voluntari, membri, colaboratori, angajati) din cadrul ONG-urilor si partenerilor sociali
precum si din reprezentanti (alesi/functionari publici) ai autoritatilor publice în activitatile educationale (de formare) desfasurate în
cadrul proiectului.
3. Participarea a cel putin 40 de persoane (voluntari, membri, colaboratori, angajati) din cadrul ONG-urilor si partenerilor sociali
precum si din reprezentanti (alesi/functionari publici) ai autoritatilor publice în activitatile de mentorat desfasurate în cadrul
proiectului.
4. Realizarea a cel putin unei cercetari privind nevoile tinerilor din judetul Timis, precum si o cercetare calitativa care vizeaza
identificarea exemplelor de buna practica privind cooperarea între autoritati publice si ONG-uri la nivelul judetului Timis.</t>
  </si>
  <si>
    <t>Consolidarea capacitatii ACUE de a se implica în formularea si promovarea dezvoltarii locale, prin extinderea ariei de interventie,
imbunatatirea culturii dialogului social si a cunostintelor GT, alinierea la principiile europene, promovarea cetateniei active, utilizarea
eficienta a instrumentelor si mecanismelor de instruire/consultare/diseminare care sa contribuie la atingerea Obiectivului specific 2.1.
POCA.                                                                                                                                                                                                                                                                 1. Identificarea, filtrarea si stabilirea masurilor necesare care vor fi concretizate intr-un ghid de bune practici pentru ONG-uri si
partenerii sociali privind transpunerea dorintelor si nevoilor cetatenilor în formularea si promovarea de politici publice si
promovarea dezvoltarii locale durabile pentru tranzitia catre o economie cu emisii scazute de carbon, cu respectarea principiilor
egalitatii de sanse, nediscriminarii si dezvoltarii durabile.                                                                                                                                                                   2. Instruirea si formarea adecvata a personalului din ONG-uri, parteneri sociali si din cadrul autoritatilor locale pentru dezvoltarea
capacitatii organizationale pentru implicare în dezvoltarea locala si perfectionarea abilitatilor si competentelor persoanelor din
grupul tinta de a identifica, formula si expune problemele de interes public local, respectiv: formarea unui numar de minim 60 de
persoane, prin cursuri si workshopuri.                                                                                                                                                                                                        3. Crearea de mecanisme pentru sustinerea si promovarea dezvoltarii la nivel local prin dialog social si civic: un cadru general de
functionare a unui Consiliu Consultativ Cetatenesc pentru Dezvoltare Locala (CCC-DL), o Retea civica locala si incheierea a
minim 5 parteneriate de tip PDL.</t>
  </si>
  <si>
    <t xml:space="preserve">Crearea premiselor pentru multiplicarea de parteneriate public – private în comunitate în domeniul serviciilor sociale pentru interventia în
problematica tulburarilor din spectrul autist (TSA) si alte problematici sociale.
Obiectivele specifice ale proiectului
1. O1 – Consolidarea capacitatii a 20 de ONG-uri furnizoare de servicii sociale (sau in curs de acreditare pentru furnizarea de
servicii sociale) din municipiul Bucuresti si judetul Ilfov de a raspunde cu servicii sociale de calitate catre beneficiarii cu TSA si alte
categorii de nevoi din comunitate, prin instruirea a 60 de persoane din personalul sau voluntarii acestor ONG-uri pe o perioada
de 12 luni.
2. O2 – Dezvoltarea unui instrument de monitorizare si evaluare independenta a politicilor si strategiilor la nivel local în domeniul
serviciilor sociale, desfasurata pe o durata de 8 luni.
</t>
  </si>
  <si>
    <t>PATRONATUL „UNPR - CENTRU TRANSILVANIA”</t>
  </si>
  <si>
    <t>Dezvoltarea comunei Augustin, județul Brașov, prin implicarea partenerilor sociali</t>
  </si>
  <si>
    <t>Augustin</t>
  </si>
  <si>
    <t>PATRONATUL „UNPR – NORD VEST”</t>
  </si>
  <si>
    <t>Dezvoltarea Comunei Recea-Cristur prin implicarea partenerilor sociali</t>
  </si>
  <si>
    <t>Recea-Cristur</t>
  </si>
  <si>
    <t>ASOCIAȚIA ”PREOCUPAȚI DE VIITOR”</t>
  </si>
  <si>
    <t>Educație civică activă pentru conservarea resurselor naturale și colectarea separată a deșeurilor în Sectorul 6</t>
  </si>
  <si>
    <t>Cresterea capacitatii ONG-urilor si a partenerilor sociali de a se implica in formularea si promovarea dezvoltarii mediului de afaceri local al
comunei Augustin, judetul Brasov, intr-un orizont de timp de 14 luni
Obiectivele specifice ale proiectului
1. Dezvoltarea unui parteneriat durabil si activ la 6 luni de la finalizarea proiectului intre autoritati locale, ONG-uri si parteneri sociali
pentru formularea si promovarea de propuneri pentru dezvoltarea mediului de afaceri local al comunei Augustin, judetul Brasov
2. Cresterea capacitatii unui numar de 34 de persoane (reprezentanti ai ONG-urilor si partenerilor sociali) de a se implica in
formularea si promovarea de propuneri pentru dezvoltarea mediului de afaceri local al comunei Augustin, judetul Brasov, prin
dezvoltarea de competente de educatie financiara si planificare strategica
3. Dezvoltarea Strategiei de dezvoltare locala a comunei Augustin, judetul Brasov, a planului de actiune asociat incluzand un
mecanism de consultare a autoritatilor si institutiilor publice cu ONG-urile, partenerii sociali, precum si a cetatenilor în elaborarea
politicilor si strategiilor la nivel local pentru formularea de propuneri alternative la politicile locale
4. Derularea campaniei de advocacy ca mecanism pentru sustinerea si promovarea dezvoltarii mediului de afaceri local al comunei
Augustin, judetul Brasov, si pentru inaintarea propunerilor alternative la politicile publice locale curente</t>
  </si>
  <si>
    <t>Cresterea capacitatii ONG-urilor si a partenerilor sociali de a se implica in formularea si promovarea dezvoltarii mediului de afaceri local al
Comunei Recea-Cristur, judetul Cluj intr-un orizont de timp de 14 luni.
Obiectivele specifice ale proiectului
1. Dezvoltarea unui parteneriat durabil si activ la 6 luni de la finalizarea proiectului intre autoritati locale, ONG-uri si parteneri sociali
pentru formularea si promovarea de propuneri pentru dezvoltarea mediului de afaceri local al Comunei Recea-Cristur, judet Cluj.
2. Cresterea capacitatii unui numar de 34 de persoane (reprezentanti ai ONG-urilor si partenerilor sociali) de a se implica in
formularea si promovarea de propuneri pentru dezvoltarea mediului de afaceri local al Comunei Recea-Cristur, judet Cluj, prin
dezvoltarea de competente de educatie financiara si planificare strategica
3. Dezvoltarea Strategiei de dezvoltare locala a comunei Recea-Cristur, Judet Cluj, a planului de actiune asociat incluzand un
mecanism de consultare a autoritatilor si institutiilor publice cu ONG-urile, partenerii sociali, precum si a cetatenilor în elaborarea
politicilor si strategiilor la nivel local pentru formularea de propuneri alternative la politicile locale
4. Derularea campaniei de advocacy ca mecanism pentru sustinerea si promovarea dezvoltarii mediului de afaceri local al comunei
Recea-Cristur, Judet Cluj, si pentru inaintarea propunerilor alternative la politicile publice locale curente</t>
  </si>
  <si>
    <t>Obiectivul general al proiectului îl constituie implicarea Asociatiei Preocupati de Viitor în procesul de elaborare a strategiei locale din
Sectorul 6 privind managementul deseurilor.
Scopul proiectului îl constituie promovarea managementului deseurilor la nivel local prin educarea si instruirea cetatenilor din Sectorul 6.
Obiectivele specifice ale proiectului
1. Consolidarea capacitatii interne a Asociatiei Preocupati de Viitor si a înca minim 5 ONG-uri din Sectorul 6 în vederea atragerii si
mentinerii de membri si voluntari prin:- instruirea a minim 50 membri activi în teme legate de comunicare interna si dezvoltare
organziationala, particiapre pubica si video participativ si managementul deseurilor
-instruirea a minim 30 voluntari actuali - împreuna cu 10 alesi locali si 10 angajati ai Sectorului 6 - în teme legate de participare
publica si video participativ si managementul deseurilor
-instruirea a minim 80 membri ai comunitatii (care se vor înscrie ulterior ca membr sau voluntari în minim un ONG) - împreuna cu
10 alesi locali si 10 angajati ai Sectorului 6 - în teme legate de managementul deseurilor - implicarea a 80 membri si voluntari din
ONG-urile locale în formularea si promovarea dezvoltarii la nivel local - în particular în elaborarea ”Strategiei locale privnd
manaementul deseurilor în Sectorul 6”
Îmbunatatirea capacitatii ONG-urilor implicate de a-si extinde aria de interventie si de a multiplica activitatile cu impact pozitiv la
nivelul comunitatilor din care fac parte prin: - îmbunatatirea capacitatii solicitantului si a minim alte 5 ONG-uri din Sectorului 6 si
extinderea ariei de interventie a acestora în zona dezvoltarii unor proiecte de management al deseurilor - ca urmare a instruiri
membrilor/voluntarilor în acest domeniu si a implicarii membrilor/voluntarilor în activitatile de elaborare a ”Strategiei locale privind
managementul deseurilor în Sectorul 6” printr-un proces de planificare strategica participativa ca urmare a participarii la training
specializat.</t>
  </si>
  <si>
    <t>SECTORUL 6 AL MUNICIPIULUI BUCURESTI</t>
  </si>
  <si>
    <t>SMART 6 - Planificare Strategică pentru Transformare Digitală și Energie Verde</t>
  </si>
  <si>
    <t>Consolidarea capacitatii administrative a Sectorului 6 al Municipiului Bucuresti si simplificarea procedurilor prin dezvoltarea de strategii
locale în domeniul transformarii digitale si al energiei verzi, prin digitalizarea arhivei institutionale si prin îmbunatatirea competentelor
personalului implicat în aceste domenii.
Obiectivul contribuie la atingerea obiectivului specific al POCA OS2.1: Introducerea de sisteme si standarde comune în administratia
publica locala ce optimizeaza procesele orientate catre beneficiari în concordanta cu SCAP prin sustinerea dezvoltarii unui management
performant la nivelul Sectorului 6 al Municipiului Bucuresti si a cresterii transparentei institutionale prin elaborarea documentelor strategice
locale în domeniul digitalizarii si al energiei verzi, prin retro-digitalizarea arhivei fizice existente, cât si prin cresterea nivelului
competentelor si cunostintelor personalului implicat în domeniile vizate.
Obiectivele specifice ale proiectului
1. Dezvoltarea capacitatii de planificare strategica la nivelul primariei S6 prin elaborarea strategiilor pentru transformare digitala si
pentru energie verde, ale Sectorului 6 al Municipiului Bucuresti
2. Retro-digitalizarea a 462 ml de documente din arhiva institutionala si instruirea personalului de specialitate
3. Dezvoltarea cunostintelor si abilitatilor personalului institutiei în domeniul planificarii strategice prin actiuni de instruire, schimb de
experienta si bune practici cu alte autoritati publice locale de la nivel national si din alte state membre UE</t>
  </si>
  <si>
    <t>AA1/23.10.2020 durata AA2/2.04.2021 durata si buget AA4/12.01.2022 durata si ue, bn, cb   AA5/2.09.2022 durata si ue, bn, cb</t>
  </si>
  <si>
    <t>AA1/29.04.2022 durata  AA2/22.07.2022 ue, cb AA3/2.09.2022 ue, cb</t>
  </si>
  <si>
    <t>AA1/3.12.2020 ue, bn, cb                      AA2/2.09.2022 durata si ue, bn, cb</t>
  </si>
  <si>
    <t>AA1/2.09.2022 durata si buget</t>
  </si>
  <si>
    <t>ASOCIAȚIA TURISM ISTORIC</t>
  </si>
  <si>
    <t>Patrimoniul construit, de la ruină la resursă</t>
  </si>
  <si>
    <t>Cresterea nivelului de implicare al comunitatii în activitati destinate protejarii patrimoniului cultural imobil din Regiunea Bucuresti -Ilfov prin
dezvoltarea unor mecanisme institutionale bazate pe parteneriatul între administratia publica si societatea civila
Obiectivele specifice ale proiectului
1. Cresterea capacitatii tehnice si administrative a Asociatiei Turism Istoric în vederea promovarii si coordonarii unei structuri
parteneriale colaborative formata din reprezentanti ai autoritatilor publice si ai societatii civile în vedere promovarii unui set de
politici publice destinat protejarii si promovarii patrimoniului cultural imobil
2. Dezvoltarea unei structuri parteneriale colaborative în Regiunea Bucuresti-Ilfov formata din reprezentanti ai autoritatilor publice si
ai societatii civile în vedere promovarii unui set de politici publice destinat protejarii si promovarii patrimoniului cultural imobil.</t>
  </si>
  <si>
    <t>AA1/27.04.2022 (ue, cb) AA2/5.09.2022 durata</t>
  </si>
  <si>
    <t>AA 1/06 .06.2019                    AA2/10.02.2020                      AA3/8.12.2020 durata si buget                                              AA4/6.12.2021 durata si buget                                 AA5/6.09.2022 durata</t>
  </si>
  <si>
    <t>AA1/28.07.2021 durata              AA2/6.09.2022 durata</t>
  </si>
  <si>
    <t>AA1/22.04.2021 durata   AA2/28.02.2022 durata           AA3/7.09.2022 durata</t>
  </si>
  <si>
    <t>AA1/8.09.2022 durata</t>
  </si>
  <si>
    <t>ASOCIAȚIA CENTRUL DE ACȚIUNE ȘI RESPONSABILITATE SOCIALĂ ȘI SOCIO-MEDICALĂ</t>
  </si>
  <si>
    <t>Implicarea Asociației „CENTRUL DE ACȚIUNE ȘI
RESPONSABILITATE SOCIALĂ ȘI SOCIO MEDICALĂ</t>
  </si>
  <si>
    <t xml:space="preserve">Obiectivul general al proiectului: Cresterea capacitatii a 20 de ONG-uri si parteneri sociali din Regiunea Bucuresti-Ilfov, pentru a formula si
promova dezvoltarea inovativa la nivel local cu accent pe dezvoltarea competentelor antreprenoriale ale tineretului prin prisma
oportunitatilor Romaniei in noul context european 2021-2027, in decurs de 6 luni
Obiectivele specifice ale proiectului
1. OS1. Dezvoltarea capacitatii a 20 de ONG-uri si parteneri sociali din Regiunea Bucuresti-Ilfov de a se implica in formularea si
promovarea dezvoltarii la nivel local prin organizarea a 3 sesiuni de instruire in domeniul dezvoltarii locale durabile prin
dezvoltarea tineretului din punct de vedere antreprenorial tinand cont de oportunitatile Romaniei in noul context european 2021-
2027, pe parcursul 1 luni
2. OS2. Dezvoltarea responsabilitatii civice, de implicare a comunitatilor locale in viata publica si de participare la procesele
decizionale, de promovare a egalitati de sanse si nediscriminarii, precum si a dezvoltarii durabile, prin informarea si
constientizarea a 120 de persoane din Regiunea Bucuresti-Ilfov, in decurs de 4 luni
3. OS3. Sustinerea si promovarea dezvoltarii tinerilor la nivel local prin facilitarea interactiunii acestora cu autoritatile si institutiile
administratiei publice prin realizarea 1 Strategii de comunicare si a 1 Ghid in acest sens, in decurs de 2 luni
4. OS4. Dezvoltarea de mecanisme si instrumente de consolidare a dialogului social si civic prin elaborarea 1 platforme online in
vederea dezvoltarii locale durabile prin sustinerea antreprenoriatului in randul tinerilor, pe parcursul a 5 luni
5. OS5. Dezvoltarea de instrumente de monitorizare si evaluare independenta a politicilor si strategiilor la nivel local in domeniul
sustinerii tinerilor antreprenori, ca factor de dezvoltare locala sustenabila si inteligenta, in decurs de 6 luni
</t>
  </si>
  <si>
    <t>Popesti Leordeni, Pantelimon</t>
  </si>
  <si>
    <t>ASOCIAȚIA GREUCEANU</t>
  </si>
  <si>
    <t>CONSOLIDAREA CAPACITĂȚII ASOCIAȚIEI
GREUCEANU ȘI A PRIMĂRIEI COMUNEI DOMNEȘTI DE A SE IMPLICA ÎN FORMULAREA ȘI PROMOVAREA
DEZVOLTĂRII LA NIVEL LOCAL</t>
  </si>
  <si>
    <t>Obiectivul general al proiectului il reprezinta imbunatatirea capacitatii Asociatiei de a se implica în dezvoltarea locala si sprijinirea
introducerii sistemelor si standardelor comune la nivelul comunei Domnesti pentru optimizarea proceselor orientate catre cetateni în
concordanta cu SCAP.
Obiectivele specifice ale proiectului
1. Dezvoltarea managementului organizational prin prioritizarea functiei de planificare a activitatilor.
2. Actualizarea viziunii identitare la conceptul specific administratiei publice locale, percepând propria organizatie ca pe un sistem
deschis, care îsi ajusteaza outputurile în functie de ceea ce primeste din mediu (input-uri).
3. Dezvoltarea unui sistem de comunicare eficient si eficace
4. Crearea unei strategii de dezvoltare pe termen mediu si scurt
5. Întarirea capacitatii institutionale a comunei Domnesti</t>
  </si>
  <si>
    <t>Domnesti</t>
  </si>
  <si>
    <t>AA1/12.09.2022 durata</t>
  </si>
  <si>
    <t>AA1/19.02.2020 AA2/4.12.2020 durata AA3/17.03.2021 chelt neelig                  AA4/11.11.2021 durata     AA5/12.09.2022 ue, bn, cb</t>
  </si>
  <si>
    <t>AA1/10.05.2022 buget AA2/13.09.2022 durata</t>
  </si>
  <si>
    <t>ASOCIAȚIA HAPPY PEOPLE</t>
  </si>
  <si>
    <t>Implicați, activi, competitivi</t>
  </si>
  <si>
    <t xml:space="preserve">Dezvoltarea durabila a comunei Afumati prin introducerea de sisteme si standarde comune în administratia publica locala ce optimizeaza
procesele orientate catre beneficiari în concordanta cu SCAP si prin cresterea capacitatii ONG-urilor si partenerilor sociali de a se
implica în formularea si promovarea dezvoltarii la nivel local
Obiectivele specifice ale proiectului
1. Realizarea de instrumente de monitorizare si evaluare independenta a politicilor si strategiilor de dezvoltare a comunei Afumati
pe parcursul implemenarii proiectulu.
2. Realizarea de proceduri, mecanisme pentru sustinerea si promovarea dezvoltarii la nivel local si de interactiune cu autoritatile si
institutiile administratiei publice din comuna AFUMATI pe parcursul implementarii proiectului.                                                                                                              3. Dezvoltarea de mecanisme, proceduri, instrumente de consolidare a dialogului social si civic la nivelul comunei Afumati pe
parcursul implemenatarii proiectului.                                                                                                                                                                                                                                                     4.  Dezvoltarea capacitatii partenerilor sociali din comuna Afumati si a ONG-urilor din judetul Dolj prin formare profesionala, activitati
întreprinse în comun, infiintarea unor retele tematice regionale si nationale pe parcursul implementarii proiectului.                                                            5. Sprijinirea de initiative de dezvoltare a responsabilitatii civice, de implicare a comunitatilor locale din comuna AFUMATI în viata
publica si de participare la procesele decizionale, de promovare a egalitati de sanse si nediscriminarii, precum si a dezvoltarii
durabile pe parcursul implementarii proiectului.
 </t>
  </si>
  <si>
    <t>Afumati, Craiova</t>
  </si>
  <si>
    <t>curs inforeuro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</si>
</sst>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l_e_i_-;\-* #,##0.00\ _l_e_i_-;_-* &quot;-&quot;??\ _l_e_i_-;_-@_-"/>
    <numFmt numFmtId="165" formatCode="0.000000000"/>
    <numFmt numFmtId="166" formatCode="#,##0.00_ ;\-#,##0.00\ "/>
    <numFmt numFmtId="168" formatCode="#,##0.00;[Red]#,##0.00"/>
    <numFmt numFmtId="169" formatCode="#,##0.0000"/>
    <numFmt numFmtId="171" formatCode="m/d/yy;@"/>
  </numFmts>
  <fonts count="14"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s>
  <fills count="3">
    <fill>
      <patternFill patternType="none"/>
    </fill>
    <fill>
      <patternFill patternType="gray125"/>
    </fill>
    <fill>
      <patternFill patternType="solid">
        <fgColor rgb="FFFF66FF"/>
        <bgColor indexed="64"/>
      </patternFill>
    </fill>
  </fills>
  <borders count="27">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17">
    <xf numFmtId="0" fontId="0" fillId="0" borderId="0"/>
    <xf numFmtId="164" fontId="3" fillId="0" borderId="0" applyFont="0" applyFill="0" applyBorder="0" applyAlignment="0" applyProtection="0"/>
    <xf numFmtId="164" fontId="3" fillId="0" borderId="0" applyFont="0" applyFill="0" applyBorder="0" applyAlignment="0" applyProtection="0"/>
    <xf numFmtId="0" fontId="8"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9" fillId="0" borderId="0"/>
    <xf numFmtId="0" fontId="3" fillId="0" borderId="0"/>
    <xf numFmtId="0" fontId="3" fillId="0" borderId="0"/>
    <xf numFmtId="0" fontId="7" fillId="0" borderId="0"/>
    <xf numFmtId="0" fontId="2" fillId="0" borderId="0"/>
    <xf numFmtId="0" fontId="2" fillId="0" borderId="0"/>
    <xf numFmtId="0" fontId="1" fillId="0" borderId="0"/>
  </cellStyleXfs>
  <cellXfs count="218">
    <xf numFmtId="0" fontId="0" fillId="0" borderId="0" xfId="0"/>
    <xf numFmtId="4" fontId="4" fillId="0" borderId="3" xfId="1" applyNumberFormat="1" applyFont="1" applyFill="1" applyBorder="1" applyAlignment="1">
      <alignment horizontal="right" vertical="center" wrapText="1"/>
    </xf>
    <xf numFmtId="166" fontId="4" fillId="0" borderId="3" xfId="1" applyNumberFormat="1" applyFont="1" applyFill="1" applyBorder="1" applyAlignment="1">
      <alignment horizontal="right" vertical="center" wrapText="1"/>
    </xf>
    <xf numFmtId="4" fontId="5" fillId="0" borderId="0" xfId="0" applyNumberFormat="1" applyFont="1"/>
    <xf numFmtId="169" fontId="5" fillId="0" borderId="0" xfId="0" applyNumberFormat="1" applyFont="1"/>
    <xf numFmtId="4" fontId="6" fillId="0" borderId="1" xfId="0" applyNumberFormat="1" applyFont="1" applyFill="1" applyBorder="1" applyAlignment="1">
      <alignment vertical="center" wrapText="1"/>
    </xf>
    <xf numFmtId="0" fontId="4" fillId="0" borderId="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xf>
    <xf numFmtId="0" fontId="5" fillId="0" borderId="3" xfId="0" applyFont="1" applyFill="1" applyBorder="1" applyAlignment="1">
      <alignment vertical="center"/>
    </xf>
    <xf numFmtId="0" fontId="4" fillId="0" borderId="3" xfId="0" applyFont="1" applyFill="1" applyBorder="1" applyAlignment="1">
      <alignment horizontal="center" vertical="center" wrapText="1"/>
    </xf>
    <xf numFmtId="0" fontId="4" fillId="0" borderId="3" xfId="0" applyFont="1" applyFill="1" applyBorder="1" applyAlignment="1">
      <alignment horizontal="justify" vertical="top" wrapText="1"/>
    </xf>
    <xf numFmtId="14" fontId="4" fillId="0" borderId="3" xfId="0" applyNumberFormat="1" applyFont="1" applyFill="1" applyBorder="1" applyAlignment="1">
      <alignment horizontal="center" vertical="center"/>
    </xf>
    <xf numFmtId="165" fontId="4" fillId="0" borderId="3" xfId="0" applyNumberFormat="1" applyFont="1" applyFill="1" applyBorder="1" applyAlignment="1">
      <alignment horizontal="center" vertical="center"/>
    </xf>
    <xf numFmtId="0" fontId="5" fillId="0" borderId="3" xfId="0" applyFont="1" applyFill="1" applyBorder="1" applyAlignment="1">
      <alignment horizontal="center" vertical="center"/>
    </xf>
    <xf numFmtId="166" fontId="4" fillId="0" borderId="3" xfId="1" applyNumberFormat="1" applyFont="1" applyFill="1" applyBorder="1" applyAlignment="1">
      <alignment horizontal="right" vertical="center"/>
    </xf>
    <xf numFmtId="4" fontId="5" fillId="0" borderId="0" xfId="0" applyNumberFormat="1" applyFont="1" applyFill="1" applyAlignment="1">
      <alignment horizontal="right" vertical="center"/>
    </xf>
    <xf numFmtId="4" fontId="4" fillId="0" borderId="3" xfId="1" applyNumberFormat="1" applyFont="1" applyFill="1" applyBorder="1" applyAlignment="1">
      <alignment horizontal="right" vertical="center"/>
    </xf>
    <xf numFmtId="168" fontId="5" fillId="0" borderId="0" xfId="0" applyNumberFormat="1" applyFont="1" applyFill="1" applyAlignment="1">
      <alignment horizontal="right" vertical="center"/>
    </xf>
    <xf numFmtId="168" fontId="4" fillId="0" borderId="3" xfId="1" applyNumberFormat="1" applyFont="1" applyFill="1" applyBorder="1" applyAlignment="1">
      <alignment horizontal="right" vertical="center"/>
    </xf>
    <xf numFmtId="3" fontId="4" fillId="0" borderId="3" xfId="0" applyNumberFormat="1" applyFont="1" applyFill="1" applyBorder="1" applyAlignment="1">
      <alignment horizontal="right" vertical="center"/>
    </xf>
    <xf numFmtId="14" fontId="5" fillId="0" borderId="3" xfId="0" applyNumberFormat="1" applyFont="1" applyFill="1" applyBorder="1" applyAlignment="1">
      <alignment horizontal="right" vertical="center"/>
    </xf>
    <xf numFmtId="4" fontId="4" fillId="0" borderId="3" xfId="0" applyNumberFormat="1" applyFont="1" applyFill="1" applyBorder="1" applyAlignment="1">
      <alignment horizontal="right" vertical="center"/>
    </xf>
    <xf numFmtId="0" fontId="5" fillId="0" borderId="3" xfId="0" applyFont="1" applyFill="1" applyBorder="1" applyAlignment="1">
      <alignment vertical="center" wrapText="1"/>
    </xf>
    <xf numFmtId="14" fontId="4" fillId="0" borderId="3" xfId="0" applyNumberFormat="1" applyFont="1" applyFill="1" applyBorder="1" applyAlignment="1">
      <alignment horizontal="center" vertical="center" wrapText="1"/>
    </xf>
    <xf numFmtId="165" fontId="4"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68" fontId="4" fillId="0" borderId="3" xfId="1" applyNumberFormat="1" applyFont="1" applyFill="1" applyBorder="1" applyAlignment="1">
      <alignment horizontal="right" vertical="center" wrapText="1"/>
    </xf>
    <xf numFmtId="14" fontId="5" fillId="0" borderId="3" xfId="0" applyNumberFormat="1" applyFont="1" applyFill="1" applyBorder="1" applyAlignment="1">
      <alignment horizontal="right" vertical="center" wrapText="1"/>
    </xf>
    <xf numFmtId="4" fontId="4" fillId="0" borderId="3" xfId="0" applyNumberFormat="1" applyFont="1" applyFill="1" applyBorder="1" applyAlignment="1">
      <alignment horizontal="right" vertical="center" wrapText="1"/>
    </xf>
    <xf numFmtId="0" fontId="4" fillId="0" borderId="15"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3" xfId="0" applyFont="1" applyFill="1" applyBorder="1" applyAlignment="1">
      <alignment horizontal="left" vertical="top" wrapText="1"/>
    </xf>
    <xf numFmtId="2" fontId="4" fillId="0" borderId="3" xfId="0" applyNumberFormat="1" applyFont="1" applyFill="1" applyBorder="1" applyAlignment="1">
      <alignment horizontal="right" vertical="center" wrapText="1"/>
    </xf>
    <xf numFmtId="3" fontId="6" fillId="0" borderId="3" xfId="0" applyNumberFormat="1" applyFont="1" applyFill="1" applyBorder="1" applyAlignment="1">
      <alignment horizontal="right" vertical="center" wrapText="1"/>
    </xf>
    <xf numFmtId="0" fontId="6" fillId="0" borderId="3" xfId="0" applyFont="1" applyFill="1" applyBorder="1" applyAlignment="1">
      <alignment horizontal="right" vertical="center" wrapText="1"/>
    </xf>
    <xf numFmtId="166" fontId="4" fillId="0" borderId="3" xfId="0" applyNumberFormat="1" applyFont="1" applyFill="1" applyBorder="1" applyAlignment="1">
      <alignment horizontal="right" vertical="center" wrapText="1"/>
    </xf>
    <xf numFmtId="3" fontId="4" fillId="0" borderId="3" xfId="0" applyNumberFormat="1" applyFont="1" applyFill="1" applyBorder="1" applyAlignment="1">
      <alignment horizontal="right" vertical="center" wrapText="1"/>
    </xf>
    <xf numFmtId="0" fontId="6" fillId="0" borderId="3" xfId="0" applyFont="1" applyFill="1" applyBorder="1" applyAlignment="1">
      <alignment horizontal="center" vertical="center" wrapText="1"/>
    </xf>
    <xf numFmtId="4" fontId="5" fillId="0" borderId="0" xfId="0" applyNumberFormat="1" applyFont="1" applyFill="1" applyAlignment="1">
      <alignment horizontal="right" vertical="center" wrapText="1"/>
    </xf>
    <xf numFmtId="0" fontId="4" fillId="0" borderId="3" xfId="0" applyFont="1" applyFill="1" applyBorder="1" applyAlignment="1">
      <alignment horizontal="right" vertical="center" wrapText="1"/>
    </xf>
    <xf numFmtId="168" fontId="4" fillId="0" borderId="3" xfId="0" applyNumberFormat="1" applyFont="1" applyFill="1" applyBorder="1" applyAlignment="1">
      <alignment horizontal="right" vertical="center" wrapText="1"/>
    </xf>
    <xf numFmtId="0" fontId="5" fillId="0" borderId="0" xfId="0" applyFont="1" applyFill="1" applyAlignment="1">
      <alignment wrapText="1"/>
    </xf>
    <xf numFmtId="0" fontId="5" fillId="0" borderId="3" xfId="0" applyFont="1" applyFill="1" applyBorder="1" applyAlignment="1">
      <alignment wrapText="1"/>
    </xf>
    <xf numFmtId="0" fontId="5" fillId="0" borderId="3" xfId="0" applyFont="1" applyFill="1" applyBorder="1" applyAlignment="1">
      <alignment vertical="top" wrapText="1"/>
    </xf>
    <xf numFmtId="0" fontId="4" fillId="0" borderId="3" xfId="0" applyFont="1" applyFill="1" applyBorder="1" applyAlignment="1">
      <alignment horizontal="justify" vertical="center" wrapText="1"/>
    </xf>
    <xf numFmtId="1" fontId="4" fillId="0" borderId="3" xfId="0" applyNumberFormat="1" applyFont="1" applyFill="1" applyBorder="1" applyAlignment="1">
      <alignment horizontal="center" vertical="center" wrapText="1"/>
    </xf>
    <xf numFmtId="166" fontId="4" fillId="0" borderId="3" xfId="1" applyNumberFormat="1" applyFont="1" applyFill="1" applyBorder="1" applyAlignment="1">
      <alignment horizontal="center" vertical="center" wrapText="1"/>
    </xf>
    <xf numFmtId="168" fontId="10" fillId="0" borderId="0" xfId="0" applyNumberFormat="1" applyFont="1" applyFill="1" applyAlignment="1">
      <alignment horizontal="center" vertical="center" wrapText="1"/>
    </xf>
    <xf numFmtId="0" fontId="4" fillId="0" borderId="15" xfId="0" applyFont="1" applyFill="1" applyBorder="1" applyAlignment="1">
      <alignment vertical="center" wrapText="1"/>
    </xf>
    <xf numFmtId="4" fontId="6" fillId="0" borderId="3" xfId="0" applyNumberFormat="1" applyFont="1" applyFill="1" applyBorder="1" applyAlignment="1">
      <alignment horizontal="right" vertical="center" wrapText="1"/>
    </xf>
    <xf numFmtId="168" fontId="5" fillId="0" borderId="0" xfId="0" applyNumberFormat="1" applyFont="1" applyFill="1" applyAlignment="1">
      <alignment horizontal="right" vertical="center" wrapText="1"/>
    </xf>
    <xf numFmtId="168" fontId="4" fillId="0" borderId="6" xfId="1" applyNumberFormat="1" applyFont="1" applyFill="1" applyBorder="1" applyAlignment="1">
      <alignment horizontal="right" vertical="center" wrapText="1"/>
    </xf>
    <xf numFmtId="4" fontId="4" fillId="0" borderId="6" xfId="1" applyNumberFormat="1" applyFont="1" applyFill="1" applyBorder="1" applyAlignment="1">
      <alignment horizontal="right" vertical="center" wrapText="1"/>
    </xf>
    <xf numFmtId="168" fontId="6" fillId="0" borderId="3" xfId="0" applyNumberFormat="1" applyFont="1" applyFill="1" applyBorder="1" applyAlignment="1">
      <alignment horizontal="right" vertical="center" wrapText="1"/>
    </xf>
    <xf numFmtId="0" fontId="5" fillId="0" borderId="3" xfId="0" applyFont="1" applyFill="1" applyBorder="1" applyAlignment="1">
      <alignment horizontal="left" vertical="center" wrapText="1"/>
    </xf>
    <xf numFmtId="4" fontId="5" fillId="0" borderId="3" xfId="0" applyNumberFormat="1" applyFont="1" applyFill="1" applyBorder="1" applyAlignment="1">
      <alignment horizontal="right" vertical="center" wrapText="1"/>
    </xf>
    <xf numFmtId="0" fontId="4" fillId="0" borderId="15" xfId="16" applyFont="1" applyFill="1" applyBorder="1" applyAlignment="1">
      <alignment horizontal="center" vertical="center" wrapText="1"/>
    </xf>
    <xf numFmtId="0" fontId="4" fillId="0" borderId="3" xfId="16" applyFont="1" applyFill="1" applyBorder="1" applyAlignment="1">
      <alignment horizontal="center" vertical="center" wrapText="1"/>
    </xf>
    <xf numFmtId="0" fontId="5" fillId="0" borderId="3" xfId="16" applyFont="1" applyFill="1" applyBorder="1" applyAlignment="1">
      <alignment vertical="center" wrapText="1"/>
    </xf>
    <xf numFmtId="0" fontId="4" fillId="0" borderId="3" xfId="16" applyFont="1" applyFill="1" applyBorder="1" applyAlignment="1">
      <alignment horizontal="justify" vertical="top" wrapText="1"/>
    </xf>
    <xf numFmtId="14" fontId="4" fillId="0" borderId="3" xfId="16" applyNumberFormat="1" applyFont="1" applyFill="1" applyBorder="1" applyAlignment="1">
      <alignment horizontal="center" vertical="center" wrapText="1"/>
    </xf>
    <xf numFmtId="0" fontId="5" fillId="0" borderId="3" xfId="16" applyFont="1" applyFill="1" applyBorder="1" applyAlignment="1">
      <alignment horizontal="center" vertical="center" wrapText="1"/>
    </xf>
    <xf numFmtId="0" fontId="4" fillId="0" borderId="3" xfId="16" applyFont="1" applyFill="1" applyBorder="1" applyAlignment="1">
      <alignment horizontal="center" vertical="top" wrapText="1"/>
    </xf>
    <xf numFmtId="166" fontId="4" fillId="0" borderId="3" xfId="2" applyNumberFormat="1" applyFont="1" applyFill="1" applyBorder="1" applyAlignment="1">
      <alignment horizontal="right" vertical="center" wrapText="1"/>
    </xf>
    <xf numFmtId="168" fontId="4" fillId="0" borderId="3" xfId="2" applyNumberFormat="1" applyFont="1" applyFill="1" applyBorder="1" applyAlignment="1">
      <alignment horizontal="right" vertical="center" wrapText="1"/>
    </xf>
    <xf numFmtId="0" fontId="5" fillId="0" borderId="15" xfId="0" applyFont="1" applyFill="1" applyBorder="1" applyAlignment="1">
      <alignment horizontal="center" vertical="center" wrapText="1"/>
    </xf>
    <xf numFmtId="0" fontId="4" fillId="0" borderId="3" xfId="0" applyFont="1" applyFill="1" applyBorder="1" applyAlignment="1">
      <alignment vertical="center" wrapText="1"/>
    </xf>
    <xf numFmtId="4" fontId="5" fillId="0" borderId="3" xfId="1" applyNumberFormat="1" applyFont="1" applyFill="1" applyBorder="1" applyAlignment="1">
      <alignment horizontal="right" vertical="center" wrapText="1"/>
    </xf>
    <xf numFmtId="0" fontId="5" fillId="0" borderId="0" xfId="0" applyFont="1" applyFill="1" applyAlignment="1">
      <alignment horizontal="center" vertical="center" wrapText="1"/>
    </xf>
    <xf numFmtId="4" fontId="4" fillId="0" borderId="3" xfId="0" applyNumberFormat="1" applyFont="1" applyFill="1" applyBorder="1" applyAlignment="1">
      <alignment horizontal="center" vertical="center" wrapText="1"/>
    </xf>
    <xf numFmtId="4" fontId="5" fillId="0" borderId="0" xfId="0" applyNumberFormat="1" applyFont="1" applyFill="1" applyAlignment="1">
      <alignment vertical="center" wrapText="1"/>
    </xf>
    <xf numFmtId="168" fontId="5" fillId="0" borderId="0" xfId="0" applyNumberFormat="1" applyFont="1" applyFill="1" applyAlignment="1">
      <alignment vertical="center" wrapText="1"/>
    </xf>
    <xf numFmtId="14" fontId="4" fillId="0" borderId="3" xfId="0" applyNumberFormat="1" applyFont="1" applyFill="1" applyBorder="1" applyAlignment="1">
      <alignment horizontal="right" vertical="center" wrapText="1"/>
    </xf>
    <xf numFmtId="0" fontId="4" fillId="0" borderId="3" xfId="0" applyFont="1" applyFill="1" applyBorder="1" applyAlignment="1">
      <alignment vertical="top" wrapText="1"/>
    </xf>
    <xf numFmtId="14" fontId="4" fillId="0" borderId="2"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168" fontId="4" fillId="0" borderId="15"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2" fontId="4" fillId="0" borderId="15" xfId="0" applyNumberFormat="1" applyFont="1" applyFill="1" applyBorder="1" applyAlignment="1">
      <alignment horizontal="center" vertical="center" wrapText="1"/>
    </xf>
    <xf numFmtId="168" fontId="4" fillId="0" borderId="3" xfId="0" applyNumberFormat="1" applyFont="1" applyFill="1" applyBorder="1"/>
    <xf numFmtId="168" fontId="4" fillId="0" borderId="3" xfId="0" applyNumberFormat="1" applyFont="1" applyFill="1" applyBorder="1" applyAlignment="1">
      <alignment horizontal="center" vertical="center"/>
    </xf>
    <xf numFmtId="0" fontId="5" fillId="0" borderId="15" xfId="0" applyFont="1" applyFill="1" applyBorder="1" applyAlignment="1">
      <alignment vertical="center" wrapText="1"/>
    </xf>
    <xf numFmtId="168" fontId="4" fillId="0" borderId="3"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0" fontId="5" fillId="0" borderId="5" xfId="0" applyFont="1" applyFill="1" applyBorder="1" applyAlignment="1">
      <alignment vertical="top"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center" vertical="center" wrapText="1"/>
    </xf>
    <xf numFmtId="168" fontId="5" fillId="0" borderId="3" xfId="0" applyNumberFormat="1" applyFont="1" applyFill="1" applyBorder="1" applyAlignment="1">
      <alignment horizontal="right" vertical="center" wrapText="1"/>
    </xf>
    <xf numFmtId="0" fontId="5" fillId="0" borderId="14" xfId="0" applyFont="1" applyFill="1" applyBorder="1" applyAlignment="1">
      <alignment horizontal="center" vertical="center" wrapText="1"/>
    </xf>
    <xf numFmtId="4" fontId="4" fillId="0" borderId="15" xfId="1" applyNumberFormat="1" applyFont="1" applyFill="1" applyBorder="1" applyAlignment="1">
      <alignment horizontal="right" vertical="center" wrapText="1"/>
    </xf>
    <xf numFmtId="0" fontId="6" fillId="0" borderId="3"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164" fontId="4" fillId="0" borderId="3" xfId="0" applyNumberFormat="1" applyFont="1" applyFill="1" applyBorder="1" applyAlignment="1">
      <alignment horizontal="right" vertical="center" wrapText="1"/>
    </xf>
    <xf numFmtId="3" fontId="4"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left" vertical="top" wrapText="1"/>
    </xf>
    <xf numFmtId="4" fontId="4" fillId="0" borderId="3" xfId="0" applyNumberFormat="1" applyFont="1" applyFill="1" applyBorder="1" applyAlignment="1">
      <alignment horizontal="left" vertical="center" wrapText="1"/>
    </xf>
    <xf numFmtId="49" fontId="4" fillId="0" borderId="15" xfId="0" applyNumberFormat="1" applyFont="1" applyFill="1" applyBorder="1" applyAlignment="1">
      <alignment horizontal="center" vertical="center" wrapText="1"/>
    </xf>
    <xf numFmtId="4" fontId="4" fillId="0" borderId="14"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13" fillId="0" borderId="0" xfId="0" applyFont="1" applyFill="1" applyAlignment="1">
      <alignment vertical="center" wrapText="1"/>
    </xf>
    <xf numFmtId="166" fontId="4" fillId="0" borderId="6" xfId="1" applyNumberFormat="1" applyFont="1" applyFill="1" applyBorder="1" applyAlignment="1">
      <alignment horizontal="right" vertical="center" wrapText="1"/>
    </xf>
    <xf numFmtId="3" fontId="6" fillId="0" borderId="3" xfId="1" applyNumberFormat="1" applyFont="1" applyFill="1" applyBorder="1" applyAlignment="1">
      <alignment horizontal="right" vertical="center" wrapText="1"/>
    </xf>
    <xf numFmtId="166" fontId="4" fillId="0" borderId="9" xfId="1" applyNumberFormat="1" applyFont="1" applyFill="1" applyBorder="1" applyAlignment="1">
      <alignment horizontal="right" vertical="center" wrapText="1"/>
    </xf>
    <xf numFmtId="166" fontId="4" fillId="0" borderId="15" xfId="1" applyNumberFormat="1" applyFont="1" applyFill="1" applyBorder="1" applyAlignment="1">
      <alignment horizontal="right" vertical="center" wrapText="1"/>
    </xf>
    <xf numFmtId="168" fontId="4" fillId="0" borderId="9" xfId="1" applyNumberFormat="1" applyFont="1" applyFill="1" applyBorder="1" applyAlignment="1">
      <alignment horizontal="right" vertical="center" wrapText="1"/>
    </xf>
    <xf numFmtId="171" fontId="4" fillId="0" borderId="3" xfId="0" applyNumberFormat="1" applyFont="1" applyFill="1" applyBorder="1" applyAlignment="1">
      <alignment horizontal="center" vertical="center" wrapText="1"/>
    </xf>
    <xf numFmtId="166" fontId="4" fillId="0" borderId="5" xfId="1" applyNumberFormat="1" applyFont="1" applyFill="1" applyBorder="1" applyAlignment="1">
      <alignment horizontal="right" vertical="center" wrapText="1"/>
    </xf>
    <xf numFmtId="4" fontId="4" fillId="0" borderId="26" xfId="0" applyNumberFormat="1" applyFont="1" applyFill="1" applyBorder="1" applyAlignment="1">
      <alignment horizontal="right" vertical="center" wrapText="1"/>
    </xf>
    <xf numFmtId="4" fontId="5" fillId="0" borderId="25" xfId="0" applyNumberFormat="1" applyFont="1" applyFill="1" applyBorder="1" applyAlignment="1">
      <alignment horizontal="right" vertical="center" wrapText="1"/>
    </xf>
    <xf numFmtId="4" fontId="5" fillId="0" borderId="26" xfId="0" applyNumberFormat="1" applyFont="1" applyFill="1" applyBorder="1" applyAlignment="1">
      <alignment horizontal="right" vertical="center" wrapText="1"/>
    </xf>
    <xf numFmtId="4" fontId="4" fillId="0" borderId="0" xfId="0" applyNumberFormat="1" applyFont="1" applyFill="1" applyAlignment="1">
      <alignment horizontal="right" vertical="center" wrapText="1"/>
    </xf>
    <xf numFmtId="4" fontId="4" fillId="0" borderId="6" xfId="0" applyNumberFormat="1" applyFont="1" applyFill="1" applyBorder="1" applyAlignment="1">
      <alignment horizontal="right" vertical="center" wrapText="1"/>
    </xf>
    <xf numFmtId="0" fontId="5" fillId="0" borderId="3" xfId="0" applyFont="1" applyFill="1" applyBorder="1" applyAlignment="1">
      <alignment horizontal="right" vertical="center" wrapText="1"/>
    </xf>
    <xf numFmtId="0" fontId="5" fillId="0" borderId="0" xfId="0" applyFont="1" applyFill="1" applyAlignment="1">
      <alignment horizontal="right" vertical="center" wrapText="1"/>
    </xf>
    <xf numFmtId="166" fontId="4" fillId="0" borderId="3" xfId="0" applyNumberFormat="1" applyFont="1" applyFill="1" applyBorder="1" applyAlignment="1">
      <alignment vertical="center"/>
    </xf>
    <xf numFmtId="4" fontId="4" fillId="0" borderId="5" xfId="0" applyNumberFormat="1" applyFont="1" applyFill="1" applyBorder="1" applyAlignment="1">
      <alignment horizontal="right" vertical="center" wrapText="1"/>
    </xf>
    <xf numFmtId="0" fontId="5" fillId="0" borderId="0" xfId="0" applyFont="1" applyFill="1" applyAlignment="1">
      <alignment horizontal="center" vertical="center"/>
    </xf>
    <xf numFmtId="0" fontId="4" fillId="0" borderId="3" xfId="0" applyFont="1" applyFill="1" applyBorder="1" applyAlignment="1">
      <alignment horizontal="justify" wrapText="1"/>
    </xf>
    <xf numFmtId="4" fontId="5" fillId="0" borderId="3" xfId="0" applyNumberFormat="1" applyFont="1" applyFill="1" applyBorder="1" applyAlignment="1">
      <alignment vertical="center" wrapText="1"/>
    </xf>
    <xf numFmtId="14" fontId="5" fillId="0" borderId="3" xfId="0" applyNumberFormat="1" applyFont="1" applyFill="1" applyBorder="1" applyAlignment="1">
      <alignment horizontal="center" vertical="center" wrapText="1"/>
    </xf>
    <xf numFmtId="2" fontId="6" fillId="0" borderId="3" xfId="0" applyNumberFormat="1" applyFont="1" applyFill="1" applyBorder="1" applyAlignment="1">
      <alignment horizontal="right" vertical="center" wrapText="1"/>
    </xf>
    <xf numFmtId="0" fontId="4" fillId="0" borderId="3" xfId="0" applyFont="1" applyFill="1" applyBorder="1" applyAlignment="1">
      <alignment horizontal="left" vertical="center" wrapText="1" indent="1"/>
    </xf>
    <xf numFmtId="37" fontId="4" fillId="0" borderId="3" xfId="0" applyNumberFormat="1" applyFont="1" applyFill="1" applyBorder="1" applyAlignment="1">
      <alignment horizontal="right" vertical="center" wrapText="1"/>
    </xf>
    <xf numFmtId="166" fontId="4" fillId="0" borderId="4" xfId="0" applyNumberFormat="1" applyFont="1" applyFill="1" applyBorder="1" applyAlignment="1">
      <alignment horizontal="right" vertical="center" wrapText="1"/>
    </xf>
    <xf numFmtId="4" fontId="4" fillId="0" borderId="5" xfId="1" applyNumberFormat="1" applyFont="1" applyFill="1" applyBorder="1" applyAlignment="1">
      <alignment horizontal="right" vertical="center" wrapText="1"/>
    </xf>
    <xf numFmtId="4" fontId="5" fillId="0" borderId="5" xfId="0" applyNumberFormat="1" applyFont="1" applyFill="1" applyBorder="1" applyAlignment="1">
      <alignment horizontal="right" vertical="center" wrapText="1"/>
    </xf>
    <xf numFmtId="166" fontId="4" fillId="0" borderId="3" xfId="0" applyNumberFormat="1" applyFont="1" applyFill="1" applyBorder="1"/>
    <xf numFmtId="4" fontId="4" fillId="0" borderId="7" xfId="0" applyNumberFormat="1" applyFont="1" applyFill="1" applyBorder="1" applyAlignment="1">
      <alignment horizontal="right" vertical="center" wrapText="1"/>
    </xf>
    <xf numFmtId="166" fontId="5" fillId="0" borderId="3" xfId="0" applyNumberFormat="1" applyFont="1" applyFill="1" applyBorder="1" applyAlignment="1">
      <alignment horizontal="right" vertical="center" wrapText="1"/>
    </xf>
    <xf numFmtId="166" fontId="5" fillId="0" borderId="3" xfId="0" applyNumberFormat="1" applyFont="1" applyFill="1" applyBorder="1" applyAlignment="1">
      <alignment horizontal="right" vertical="center"/>
    </xf>
    <xf numFmtId="166" fontId="5" fillId="0" borderId="3" xfId="0" applyNumberFormat="1" applyFont="1" applyFill="1" applyBorder="1" applyAlignment="1">
      <alignment horizontal="center" vertical="center"/>
    </xf>
    <xf numFmtId="0" fontId="4" fillId="0" borderId="3" xfId="0" applyFont="1" applyFill="1" applyBorder="1" applyAlignment="1">
      <alignment horizontal="left" vertical="justify" wrapText="1"/>
    </xf>
    <xf numFmtId="0" fontId="6" fillId="0" borderId="3" xfId="0" applyFont="1" applyFill="1" applyBorder="1" applyAlignment="1">
      <alignment horizontal="center" vertical="center"/>
    </xf>
    <xf numFmtId="49" fontId="5" fillId="0" borderId="3" xfId="0" applyNumberFormat="1" applyFont="1" applyFill="1" applyBorder="1" applyAlignment="1">
      <alignment horizontal="right" vertical="center" wrapText="1"/>
    </xf>
    <xf numFmtId="4" fontId="4" fillId="0" borderId="11" xfId="0" applyNumberFormat="1" applyFont="1" applyFill="1" applyBorder="1" applyAlignment="1">
      <alignment horizontal="right" vertical="center" wrapText="1"/>
    </xf>
    <xf numFmtId="0" fontId="4" fillId="0" borderId="3" xfId="4" applyFont="1" applyFill="1" applyBorder="1" applyAlignment="1">
      <alignment horizontal="center" vertical="center" wrapText="1"/>
    </xf>
    <xf numFmtId="0" fontId="5" fillId="0" borderId="3" xfId="4" applyFont="1" applyFill="1" applyBorder="1" applyAlignment="1">
      <alignment vertical="center" wrapText="1"/>
    </xf>
    <xf numFmtId="4" fontId="4" fillId="0" borderId="10" xfId="0" applyNumberFormat="1" applyFont="1" applyFill="1" applyBorder="1" applyAlignment="1">
      <alignment horizontal="right" vertical="center" wrapText="1"/>
    </xf>
    <xf numFmtId="0" fontId="5" fillId="0" borderId="19" xfId="0" applyFont="1" applyFill="1" applyBorder="1" applyAlignment="1">
      <alignment horizontal="center" vertical="center" wrapText="1"/>
    </xf>
    <xf numFmtId="0" fontId="5" fillId="0" borderId="3" xfId="0" applyFont="1" applyFill="1" applyBorder="1" applyAlignment="1">
      <alignment horizontal="right"/>
    </xf>
    <xf numFmtId="168" fontId="5" fillId="0" borderId="0" xfId="0" applyNumberFormat="1" applyFont="1" applyFill="1" applyAlignment="1">
      <alignment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5" xfId="0" applyFont="1" applyFill="1" applyBorder="1" applyAlignment="1">
      <alignment horizontal="justify" vertical="top" wrapText="1"/>
    </xf>
    <xf numFmtId="0" fontId="5" fillId="0" borderId="18" xfId="0" applyFont="1" applyFill="1" applyBorder="1" applyAlignment="1">
      <alignment horizontal="center" vertical="center" wrapText="1"/>
    </xf>
    <xf numFmtId="0" fontId="5" fillId="0" borderId="22" xfId="0" applyFont="1" applyFill="1" applyBorder="1" applyAlignment="1">
      <alignment horizontal="center" vertical="center" wrapText="1"/>
    </xf>
    <xf numFmtId="168" fontId="4" fillId="0" borderId="3" xfId="0" applyNumberFormat="1" applyFont="1" applyFill="1" applyBorder="1" applyAlignment="1">
      <alignment horizontal="right" vertical="center"/>
    </xf>
    <xf numFmtId="4" fontId="4" fillId="0" borderId="0" xfId="0" applyNumberFormat="1" applyFont="1" applyFill="1" applyAlignment="1">
      <alignment horizontal="right" vertical="center"/>
    </xf>
    <xf numFmtId="0" fontId="5" fillId="0" borderId="3" xfId="0" applyFont="1" applyFill="1" applyBorder="1"/>
    <xf numFmtId="0" fontId="4" fillId="0" borderId="15" xfId="4" applyFont="1" applyFill="1" applyBorder="1" applyAlignment="1">
      <alignment horizontal="center" vertical="center" wrapText="1"/>
    </xf>
    <xf numFmtId="0" fontId="5" fillId="0" borderId="3" xfId="4" applyFont="1" applyFill="1" applyBorder="1" applyAlignment="1">
      <alignment horizontal="center" vertical="center" wrapText="1"/>
    </xf>
    <xf numFmtId="0" fontId="4" fillId="0" borderId="3" xfId="4" applyFont="1" applyFill="1" applyBorder="1" applyAlignment="1">
      <alignment horizontal="justify" vertical="top" wrapText="1"/>
    </xf>
    <xf numFmtId="14" fontId="4" fillId="0" borderId="3" xfId="4" applyNumberFormat="1" applyFont="1" applyFill="1" applyBorder="1" applyAlignment="1">
      <alignment horizontal="center" vertical="center" wrapText="1"/>
    </xf>
    <xf numFmtId="4" fontId="4" fillId="0" borderId="1" xfId="0" applyNumberFormat="1" applyFont="1" applyFill="1" applyBorder="1" applyAlignment="1">
      <alignment vertical="center" wrapText="1"/>
    </xf>
    <xf numFmtId="166" fontId="5" fillId="0" borderId="18" xfId="0" applyNumberFormat="1" applyFont="1" applyFill="1" applyBorder="1" applyAlignment="1">
      <alignment vertical="center"/>
    </xf>
    <xf numFmtId="166" fontId="5" fillId="0" borderId="3" xfId="0" applyNumberFormat="1" applyFont="1" applyFill="1" applyBorder="1" applyAlignment="1">
      <alignment horizontal="center" vertical="center" wrapText="1"/>
    </xf>
    <xf numFmtId="0" fontId="4" fillId="0" borderId="3" xfId="0" applyFont="1" applyFill="1" applyBorder="1" applyAlignment="1">
      <alignment horizontal="left" wrapText="1"/>
    </xf>
    <xf numFmtId="14" fontId="5" fillId="0" borderId="3" xfId="0" applyNumberFormat="1" applyFont="1" applyFill="1" applyBorder="1" applyAlignment="1">
      <alignment horizontal="left" vertical="center" wrapText="1"/>
    </xf>
    <xf numFmtId="0" fontId="5" fillId="0" borderId="3" xfId="0" applyFont="1" applyFill="1" applyBorder="1" applyAlignment="1">
      <alignment horizontal="left" vertical="top" wrapText="1"/>
    </xf>
    <xf numFmtId="0" fontId="4" fillId="0" borderId="2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6" xfId="0" applyFont="1" applyFill="1" applyBorder="1" applyAlignment="1">
      <alignment vertical="center" wrapText="1"/>
    </xf>
    <xf numFmtId="0" fontId="5" fillId="0" borderId="21" xfId="0" applyFont="1" applyFill="1" applyBorder="1" applyAlignment="1">
      <alignment horizontal="center" vertical="center" wrapText="1"/>
    </xf>
    <xf numFmtId="0" fontId="4" fillId="0" borderId="6" xfId="0" applyFont="1" applyFill="1" applyBorder="1" applyAlignment="1">
      <alignment horizontal="justify" vertical="top" wrapText="1"/>
    </xf>
    <xf numFmtId="14" fontId="4" fillId="0"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166" fontId="4" fillId="0" borderId="6" xfId="0" applyNumberFormat="1" applyFont="1" applyFill="1" applyBorder="1" applyAlignment="1">
      <alignment horizontal="right" vertical="center" wrapText="1"/>
    </xf>
    <xf numFmtId="14" fontId="5" fillId="0" borderId="6" xfId="0" applyNumberFormat="1" applyFont="1" applyFill="1" applyBorder="1" applyAlignment="1">
      <alignment horizontal="right" vertical="center" wrapText="1"/>
    </xf>
    <xf numFmtId="4" fontId="5" fillId="0" borderId="3" xfId="0" applyNumberFormat="1" applyFont="1" applyFill="1" applyBorder="1" applyAlignment="1">
      <alignment horizontal="right" vertical="center"/>
    </xf>
    <xf numFmtId="4" fontId="5" fillId="0" borderId="5" xfId="0" applyNumberFormat="1" applyFont="1" applyFill="1" applyBorder="1" applyAlignment="1">
      <alignment vertical="center"/>
    </xf>
    <xf numFmtId="0" fontId="5" fillId="0" borderId="15" xfId="0" applyFont="1" applyFill="1" applyBorder="1" applyAlignment="1">
      <alignment horizontal="left" vertical="center" wrapText="1"/>
    </xf>
    <xf numFmtId="14" fontId="5" fillId="0" borderId="5" xfId="0" applyNumberFormat="1" applyFont="1" applyFill="1" applyBorder="1" applyAlignment="1">
      <alignment horizontal="right" vertical="center" wrapText="1"/>
    </xf>
    <xf numFmtId="4" fontId="5" fillId="0" borderId="5" xfId="0" applyNumberFormat="1" applyFont="1" applyFill="1" applyBorder="1" applyAlignment="1">
      <alignment horizontal="right" vertical="center"/>
    </xf>
    <xf numFmtId="0" fontId="4" fillId="0" borderId="15" xfId="0" applyFont="1" applyFill="1" applyBorder="1" applyAlignment="1">
      <alignment horizontal="left" vertical="center" wrapText="1"/>
    </xf>
    <xf numFmtId="0" fontId="4" fillId="0" borderId="15" xfId="0" applyFont="1" applyFill="1" applyBorder="1" applyAlignment="1">
      <alignment horizontal="left" vertical="top" wrapText="1"/>
    </xf>
    <xf numFmtId="0" fontId="5" fillId="0" borderId="0" xfId="0" applyFont="1" applyFill="1"/>
    <xf numFmtId="0" fontId="5" fillId="0" borderId="0" xfId="0" applyFont="1" applyFill="1" applyAlignment="1">
      <alignment horizontal="center" wrapText="1"/>
    </xf>
    <xf numFmtId="0" fontId="5" fillId="0" borderId="0" xfId="0" applyFont="1" applyFill="1" applyAlignment="1">
      <alignment horizontal="center"/>
    </xf>
    <xf numFmtId="168" fontId="5" fillId="0" borderId="0" xfId="0" applyNumberFormat="1" applyFont="1" applyFill="1"/>
    <xf numFmtId="4" fontId="5" fillId="0" borderId="0" xfId="0" applyNumberFormat="1" applyFont="1" applyFill="1"/>
    <xf numFmtId="0" fontId="4" fillId="0" borderId="0" xfId="0" applyFont="1" applyFill="1" applyAlignment="1">
      <alignment horizontal="center" vertical="center"/>
    </xf>
    <xf numFmtId="0" fontId="5" fillId="0" borderId="0" xfId="0" applyFont="1" applyFill="1" applyAlignment="1">
      <alignment horizontal="left" vertical="center"/>
    </xf>
    <xf numFmtId="4" fontId="5" fillId="0" borderId="0" xfId="0" applyNumberFormat="1" applyFont="1" applyFill="1" applyAlignment="1">
      <alignment horizontal="center" vertical="center" wrapText="1"/>
    </xf>
    <xf numFmtId="0" fontId="4" fillId="0" borderId="0" xfId="0" applyFont="1" applyFill="1" applyAlignment="1">
      <alignment horizontal="left" vertical="center"/>
    </xf>
    <xf numFmtId="0" fontId="12" fillId="0" borderId="0" xfId="0" applyFont="1" applyFill="1"/>
    <xf numFmtId="0" fontId="4" fillId="2" borderId="23"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6" fillId="2" borderId="8" xfId="0" applyNumberFormat="1" applyFont="1" applyFill="1" applyBorder="1" applyAlignment="1">
      <alignment horizontal="center" vertical="center" wrapText="1"/>
    </xf>
    <xf numFmtId="4" fontId="6" fillId="2" borderId="12" xfId="0" applyNumberFormat="1"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3" xfId="0" applyFont="1" applyFill="1" applyBorder="1" applyAlignment="1">
      <alignment horizontal="center" vertical="center" wrapText="1"/>
    </xf>
    <xf numFmtId="4" fontId="6" fillId="2" borderId="1" xfId="0" applyNumberFormat="1" applyFont="1" applyFill="1" applyBorder="1" applyAlignment="1">
      <alignment vertical="center" wrapText="1"/>
    </xf>
    <xf numFmtId="4" fontId="6" fillId="2" borderId="1" xfId="0" applyNumberFormat="1" applyFont="1" applyFill="1" applyBorder="1" applyAlignment="1">
      <alignment vertical="center" wrapText="1"/>
    </xf>
    <xf numFmtId="3" fontId="6" fillId="2" borderId="1" xfId="0" applyNumberFormat="1" applyFont="1" applyFill="1" applyBorder="1" applyAlignment="1">
      <alignment vertical="center" wrapText="1"/>
    </xf>
    <xf numFmtId="4" fontId="6" fillId="2" borderId="3" xfId="0" applyNumberFormat="1" applyFont="1" applyFill="1" applyBorder="1" applyAlignment="1">
      <alignment vertical="center" wrapText="1"/>
    </xf>
    <xf numFmtId="0" fontId="4" fillId="2" borderId="2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4" fontId="6" fillId="2" borderId="9" xfId="0" applyNumberFormat="1" applyFont="1" applyFill="1" applyBorder="1" applyAlignment="1">
      <alignment horizontal="center" vertical="center" wrapText="1"/>
    </xf>
    <xf numFmtId="4" fontId="6" fillId="2" borderId="14" xfId="0" applyNumberFormat="1"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4" fontId="6" fillId="2" borderId="3" xfId="0" applyNumberFormat="1" applyFont="1" applyFill="1" applyBorder="1" applyAlignment="1">
      <alignment vertical="center" wrapText="1"/>
    </xf>
    <xf numFmtId="4" fontId="6" fillId="2" borderId="6" xfId="0" applyNumberFormat="1" applyFont="1" applyFill="1" applyBorder="1" applyAlignment="1">
      <alignment vertical="center" wrapText="1"/>
    </xf>
    <xf numFmtId="3" fontId="6" fillId="2" borderId="3" xfId="0" applyNumberFormat="1" applyFont="1" applyFill="1" applyBorder="1" applyAlignment="1">
      <alignment vertical="center" wrapText="1"/>
    </xf>
    <xf numFmtId="0" fontId="4" fillId="2" borderId="1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5" xfId="0" applyFont="1" applyFill="1" applyBorder="1" applyAlignment="1">
      <alignment horizontal="center" vertical="center" wrapText="1"/>
    </xf>
    <xf numFmtId="168" fontId="6" fillId="2" borderId="3" xfId="0" applyNumberFormat="1" applyFont="1" applyFill="1" applyBorder="1" applyAlignment="1">
      <alignment vertical="center" wrapText="1"/>
    </xf>
    <xf numFmtId="4" fontId="6" fillId="2" borderId="20" xfId="0" applyNumberFormat="1" applyFont="1" applyFill="1" applyBorder="1" applyAlignment="1">
      <alignment vertical="center" wrapText="1"/>
    </xf>
  </cellXfs>
  <cellStyles count="17">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 name="Normal 6" xfId="16" xr:uid="{00000000-0005-0000-0000-000010000000}"/>
  </cellStyles>
  <dxfs count="0"/>
  <tableStyles count="0" defaultTableStyle="TableStyleMedium2" defaultPivotStyle="PivotStyleLight16"/>
  <colors>
    <mruColors>
      <color rgb="FFFF66FF"/>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1074"/>
  <sheetViews>
    <sheetView tabSelected="1" zoomScale="70" zoomScaleNormal="70" workbookViewId="0">
      <pane ySplit="3" topLeftCell="A4" activePane="bottomLeft" state="frozen"/>
      <selection pane="bottomLeft" activeCell="AH7" sqref="AH7"/>
    </sheetView>
  </sheetViews>
  <sheetFormatPr defaultColWidth="9.42578125" defaultRowHeight="15.75" x14ac:dyDescent="0.25"/>
  <cols>
    <col min="1" max="1" width="7" style="179" customWidth="1"/>
    <col min="2" max="2" width="12.5703125" style="179" customWidth="1"/>
    <col min="3" max="3" width="13.42578125" style="179" customWidth="1"/>
    <col min="4" max="4" width="14.42578125" style="179" customWidth="1"/>
    <col min="5" max="5" width="18.5703125" style="179" customWidth="1"/>
    <col min="6" max="6" width="25.5703125" style="119" customWidth="1"/>
    <col min="7" max="7" width="26" style="119" customWidth="1"/>
    <col min="8" max="8" width="23.5703125" style="180" customWidth="1"/>
    <col min="9" max="9" width="135.5703125" style="179" customWidth="1"/>
    <col min="10" max="10" width="20.5703125" style="181" customWidth="1"/>
    <col min="11" max="11" width="20" style="181" customWidth="1"/>
    <col min="12" max="13" width="24.42578125" style="181" customWidth="1"/>
    <col min="14" max="14" width="31.5703125" style="181" customWidth="1"/>
    <col min="15" max="15" width="20.42578125" style="181" customWidth="1"/>
    <col min="16" max="16" width="17" style="181" customWidth="1"/>
    <col min="17" max="17" width="29.42578125" style="181" customWidth="1"/>
    <col min="18" max="18" width="26" style="179" customWidth="1"/>
    <col min="19" max="19" width="24.5703125" style="179" customWidth="1"/>
    <col min="20" max="20" width="21.5703125" style="179" customWidth="1"/>
    <col min="21" max="21" width="23.42578125" style="179" customWidth="1"/>
    <col min="22" max="22" width="24" style="182" customWidth="1"/>
    <col min="23" max="23" width="22.5703125" style="182" customWidth="1"/>
    <col min="24" max="24" width="25.42578125" style="179" customWidth="1"/>
    <col min="25" max="25" width="19.42578125" style="179" customWidth="1"/>
    <col min="26" max="27" width="19.5703125" style="179" customWidth="1"/>
    <col min="28" max="28" width="20" style="179" customWidth="1"/>
    <col min="29" max="29" width="18.140625" style="179" customWidth="1"/>
    <col min="30" max="30" width="29" style="179" customWidth="1"/>
    <col min="31" max="31" width="18.5703125" style="179" customWidth="1"/>
    <col min="32" max="32" width="21.5703125" style="179" customWidth="1"/>
    <col min="33" max="33" width="27.5703125" style="179" customWidth="1"/>
    <col min="34" max="34" width="25" style="43" customWidth="1"/>
    <col min="35" max="35" width="23.42578125" style="179" customWidth="1"/>
    <col min="36" max="36" width="22.42578125" style="179" bestFit="1" customWidth="1"/>
    <col min="37" max="40" width="9.42578125" style="179"/>
    <col min="41" max="41" width="10" style="179" bestFit="1" customWidth="1"/>
    <col min="42" max="16384" width="9.42578125" style="179"/>
  </cols>
  <sheetData>
    <row r="1" spans="1:37 16382:16382" s="179" customFormat="1" ht="89.25" customHeight="1" x14ac:dyDescent="0.25">
      <c r="A1" s="189" t="s">
        <v>0</v>
      </c>
      <c r="B1" s="190" t="s">
        <v>364</v>
      </c>
      <c r="C1" s="191" t="s">
        <v>1186</v>
      </c>
      <c r="D1" s="191" t="s">
        <v>8</v>
      </c>
      <c r="E1" s="191" t="s">
        <v>142</v>
      </c>
      <c r="F1" s="191" t="s">
        <v>1</v>
      </c>
      <c r="G1" s="191" t="s">
        <v>14</v>
      </c>
      <c r="H1" s="190" t="s">
        <v>156</v>
      </c>
      <c r="I1" s="192" t="s">
        <v>16</v>
      </c>
      <c r="J1" s="192" t="s">
        <v>15</v>
      </c>
      <c r="K1" s="192" t="s">
        <v>17</v>
      </c>
      <c r="L1" s="192" t="s">
        <v>18</v>
      </c>
      <c r="M1" s="192" t="s">
        <v>2</v>
      </c>
      <c r="N1" s="192" t="s">
        <v>19</v>
      </c>
      <c r="O1" s="192" t="s">
        <v>3</v>
      </c>
      <c r="P1" s="192" t="s">
        <v>4</v>
      </c>
      <c r="Q1" s="192" t="s">
        <v>20</v>
      </c>
      <c r="R1" s="193" t="s">
        <v>9</v>
      </c>
      <c r="S1" s="194"/>
      <c r="T1" s="194"/>
      <c r="U1" s="194"/>
      <c r="V1" s="194"/>
      <c r="W1" s="194"/>
      <c r="X1" s="194"/>
      <c r="Y1" s="195"/>
      <c r="Z1" s="195"/>
      <c r="AA1" s="196"/>
      <c r="AB1" s="197" t="s">
        <v>4</v>
      </c>
      <c r="AC1" s="197"/>
      <c r="AD1" s="198" t="s">
        <v>139</v>
      </c>
      <c r="AE1" s="199"/>
      <c r="AF1" s="198" t="s">
        <v>5</v>
      </c>
      <c r="AG1" s="200" t="s">
        <v>13</v>
      </c>
      <c r="AH1" s="200" t="s">
        <v>6</v>
      </c>
      <c r="AI1" s="201" t="s">
        <v>22</v>
      </c>
      <c r="AJ1" s="201"/>
    </row>
    <row r="2" spans="1:37 16382:16382" s="179" customFormat="1" ht="15.75" customHeight="1" x14ac:dyDescent="0.25">
      <c r="A2" s="202"/>
      <c r="B2" s="203"/>
      <c r="C2" s="204"/>
      <c r="D2" s="204"/>
      <c r="E2" s="204"/>
      <c r="F2" s="204"/>
      <c r="G2" s="204"/>
      <c r="H2" s="203"/>
      <c r="I2" s="205"/>
      <c r="J2" s="205"/>
      <c r="K2" s="205"/>
      <c r="L2" s="205"/>
      <c r="M2" s="205"/>
      <c r="N2" s="205"/>
      <c r="O2" s="205"/>
      <c r="P2" s="205"/>
      <c r="Q2" s="205"/>
      <c r="R2" s="206" t="s">
        <v>10</v>
      </c>
      <c r="S2" s="207"/>
      <c r="T2" s="207"/>
      <c r="U2" s="207"/>
      <c r="V2" s="208"/>
      <c r="W2" s="209"/>
      <c r="X2" s="201" t="s">
        <v>12</v>
      </c>
      <c r="Y2" s="210"/>
      <c r="Z2" s="210"/>
      <c r="AA2" s="211" t="s">
        <v>21</v>
      </c>
      <c r="AB2" s="210"/>
      <c r="AC2" s="210"/>
      <c r="AD2" s="201"/>
      <c r="AE2" s="201" t="s">
        <v>1440</v>
      </c>
      <c r="AF2" s="201"/>
      <c r="AG2" s="212"/>
      <c r="AH2" s="212"/>
      <c r="AI2" s="201" t="s">
        <v>7</v>
      </c>
      <c r="AJ2" s="201" t="s">
        <v>23</v>
      </c>
    </row>
    <row r="3" spans="1:37 16382:16382" s="179" customFormat="1" ht="36.75" customHeight="1" thickBot="1" x14ac:dyDescent="0.3">
      <c r="A3" s="213"/>
      <c r="B3" s="214"/>
      <c r="C3" s="204"/>
      <c r="D3" s="204"/>
      <c r="E3" s="204"/>
      <c r="F3" s="204"/>
      <c r="G3" s="204"/>
      <c r="H3" s="215"/>
      <c r="I3" s="205"/>
      <c r="J3" s="205"/>
      <c r="K3" s="205"/>
      <c r="L3" s="205"/>
      <c r="M3" s="205"/>
      <c r="N3" s="205"/>
      <c r="O3" s="205"/>
      <c r="P3" s="205"/>
      <c r="Q3" s="205"/>
      <c r="R3" s="210" t="s">
        <v>7</v>
      </c>
      <c r="S3" s="210" t="s">
        <v>150</v>
      </c>
      <c r="T3" s="210" t="s">
        <v>149</v>
      </c>
      <c r="U3" s="210" t="s">
        <v>11</v>
      </c>
      <c r="V3" s="216" t="s">
        <v>150</v>
      </c>
      <c r="W3" s="216" t="s">
        <v>149</v>
      </c>
      <c r="X3" s="201"/>
      <c r="Y3" s="210" t="s">
        <v>150</v>
      </c>
      <c r="Z3" s="210" t="s">
        <v>149</v>
      </c>
      <c r="AA3" s="217"/>
      <c r="AB3" s="210" t="s">
        <v>150</v>
      </c>
      <c r="AC3" s="210" t="s">
        <v>149</v>
      </c>
      <c r="AD3" s="201"/>
      <c r="AE3" s="201"/>
      <c r="AF3" s="201"/>
      <c r="AG3" s="212"/>
      <c r="AH3" s="212"/>
      <c r="AI3" s="201"/>
      <c r="AJ3" s="201"/>
    </row>
    <row r="4" spans="1:37 16382:16382" s="179" customFormat="1" ht="178.5" customHeight="1" x14ac:dyDescent="0.25">
      <c r="A4" s="6">
        <v>1</v>
      </c>
      <c r="B4" s="7">
        <v>110755</v>
      </c>
      <c r="C4" s="8">
        <v>121</v>
      </c>
      <c r="D4" s="9" t="s">
        <v>1639</v>
      </c>
      <c r="E4" s="10" t="s">
        <v>277</v>
      </c>
      <c r="F4" s="11" t="s">
        <v>212</v>
      </c>
      <c r="G4" s="8" t="s">
        <v>213</v>
      </c>
      <c r="H4" s="8" t="s">
        <v>151</v>
      </c>
      <c r="I4" s="12" t="s">
        <v>2617</v>
      </c>
      <c r="J4" s="13">
        <v>43145</v>
      </c>
      <c r="K4" s="13">
        <v>43630</v>
      </c>
      <c r="L4" s="14">
        <f t="shared" ref="L4:L98" si="0">R4/AD4*100</f>
        <v>84.999999517641427</v>
      </c>
      <c r="M4" s="8">
        <v>7</v>
      </c>
      <c r="N4" s="8" t="s">
        <v>221</v>
      </c>
      <c r="O4" s="8" t="s">
        <v>216</v>
      </c>
      <c r="P4" s="15" t="s">
        <v>174</v>
      </c>
      <c r="Q4" s="11" t="s">
        <v>34</v>
      </c>
      <c r="R4" s="16">
        <f t="shared" ref="R4:R6" si="1">S4+T4</f>
        <v>352434.92</v>
      </c>
      <c r="S4" s="17">
        <v>352434.92</v>
      </c>
      <c r="T4" s="16">
        <v>0</v>
      </c>
      <c r="U4" s="18">
        <f t="shared" ref="U4:U96" si="2">V4+W4</f>
        <v>53844.59</v>
      </c>
      <c r="V4" s="19">
        <v>53844.59</v>
      </c>
      <c r="W4" s="20">
        <v>0</v>
      </c>
      <c r="X4" s="18">
        <f t="shared" ref="X4" si="3">Y4+Z4</f>
        <v>8349.81</v>
      </c>
      <c r="Y4" s="17">
        <v>8349.81</v>
      </c>
      <c r="Z4" s="18">
        <v>0</v>
      </c>
      <c r="AA4" s="16">
        <f>AB4+AC4</f>
        <v>0</v>
      </c>
      <c r="AB4" s="16">
        <v>0</v>
      </c>
      <c r="AC4" s="16">
        <v>0</v>
      </c>
      <c r="AD4" s="16">
        <f>R4+U4+X4+AA4</f>
        <v>414629.32</v>
      </c>
      <c r="AE4" s="16">
        <v>0</v>
      </c>
      <c r="AF4" s="16">
        <f t="shared" ref="AF4:AF53" si="4">AD4+AE4</f>
        <v>414629.32</v>
      </c>
      <c r="AG4" s="21" t="s">
        <v>857</v>
      </c>
      <c r="AH4" s="22" t="s">
        <v>151</v>
      </c>
      <c r="AI4" s="23">
        <v>327238.19</v>
      </c>
      <c r="AJ4" s="23">
        <v>49995.08</v>
      </c>
      <c r="AK4" s="119"/>
      <c r="XFB4" s="179">
        <f>SUM(A4:XFA4)</f>
        <v>2233494.5499995179</v>
      </c>
    </row>
    <row r="5" spans="1:37 16382:16382" s="179" customFormat="1" ht="164.25" customHeight="1" x14ac:dyDescent="0.25">
      <c r="A5" s="6">
        <v>2</v>
      </c>
      <c r="B5" s="11">
        <v>109854</v>
      </c>
      <c r="C5" s="11">
        <v>116</v>
      </c>
      <c r="D5" s="9" t="s">
        <v>1639</v>
      </c>
      <c r="E5" s="24" t="s">
        <v>277</v>
      </c>
      <c r="F5" s="11" t="s">
        <v>300</v>
      </c>
      <c r="G5" s="11" t="s">
        <v>1550</v>
      </c>
      <c r="H5" s="11" t="s">
        <v>1550</v>
      </c>
      <c r="I5" s="12" t="s">
        <v>1897</v>
      </c>
      <c r="J5" s="25">
        <v>43186</v>
      </c>
      <c r="K5" s="25">
        <v>43551</v>
      </c>
      <c r="L5" s="26">
        <f t="shared" si="0"/>
        <v>85.000000944809514</v>
      </c>
      <c r="M5" s="11">
        <v>7</v>
      </c>
      <c r="N5" s="11" t="s">
        <v>221</v>
      </c>
      <c r="O5" s="11" t="s">
        <v>301</v>
      </c>
      <c r="P5" s="27" t="s">
        <v>174</v>
      </c>
      <c r="Q5" s="11" t="s">
        <v>34</v>
      </c>
      <c r="R5" s="1">
        <f t="shared" si="1"/>
        <v>359860.9</v>
      </c>
      <c r="S5" s="2">
        <v>359860.9</v>
      </c>
      <c r="T5" s="2">
        <v>0</v>
      </c>
      <c r="U5" s="1">
        <f t="shared" si="2"/>
        <v>55037.54</v>
      </c>
      <c r="V5" s="28">
        <v>55037.54</v>
      </c>
      <c r="W5" s="28">
        <v>0</v>
      </c>
      <c r="X5" s="1">
        <f>Y5+Z5</f>
        <v>8467.32</v>
      </c>
      <c r="Y5" s="2">
        <v>8467.32</v>
      </c>
      <c r="Z5" s="2">
        <v>0</v>
      </c>
      <c r="AA5" s="2">
        <f t="shared" ref="AA5:AA11" si="5">AB5+AC5</f>
        <v>0</v>
      </c>
      <c r="AB5" s="2">
        <v>0</v>
      </c>
      <c r="AC5" s="2">
        <v>0</v>
      </c>
      <c r="AD5" s="16">
        <f t="shared" ref="AD5:AD68" si="6">R5+U5+X5+AA5</f>
        <v>423365.76</v>
      </c>
      <c r="AE5" s="2">
        <v>0</v>
      </c>
      <c r="AF5" s="2">
        <f t="shared" si="4"/>
        <v>423365.76</v>
      </c>
      <c r="AG5" s="21" t="s">
        <v>857</v>
      </c>
      <c r="AH5" s="29" t="s">
        <v>294</v>
      </c>
      <c r="AI5" s="30">
        <v>267801.62000000005</v>
      </c>
      <c r="AJ5" s="30">
        <v>40957.890000000007</v>
      </c>
    </row>
    <row r="6" spans="1:37 16382:16382" s="179" customFormat="1" ht="204.75" x14ac:dyDescent="0.25">
      <c r="A6" s="6">
        <v>3</v>
      </c>
      <c r="B6" s="31">
        <v>119560</v>
      </c>
      <c r="C6" s="11">
        <v>471</v>
      </c>
      <c r="D6" s="9" t="s">
        <v>1639</v>
      </c>
      <c r="E6" s="24" t="s">
        <v>457</v>
      </c>
      <c r="F6" s="11" t="s">
        <v>505</v>
      </c>
      <c r="G6" s="11" t="s">
        <v>504</v>
      </c>
      <c r="H6" s="11" t="s">
        <v>283</v>
      </c>
      <c r="I6" s="32" t="s">
        <v>2618</v>
      </c>
      <c r="J6" s="25">
        <v>43265</v>
      </c>
      <c r="K6" s="25">
        <v>43752</v>
      </c>
      <c r="L6" s="26">
        <f t="shared" si="0"/>
        <v>84.216178284166972</v>
      </c>
      <c r="M6" s="11">
        <v>7</v>
      </c>
      <c r="N6" s="11" t="s">
        <v>221</v>
      </c>
      <c r="O6" s="11" t="s">
        <v>506</v>
      </c>
      <c r="P6" s="27" t="s">
        <v>174</v>
      </c>
      <c r="Q6" s="11" t="s">
        <v>34</v>
      </c>
      <c r="R6" s="1">
        <f t="shared" si="1"/>
        <v>336316.07</v>
      </c>
      <c r="S6" s="2">
        <v>336316.07</v>
      </c>
      <c r="T6" s="2">
        <v>0</v>
      </c>
      <c r="U6" s="1">
        <f t="shared" si="2"/>
        <v>55045.45</v>
      </c>
      <c r="V6" s="28">
        <v>55045.45</v>
      </c>
      <c r="W6" s="28">
        <v>0</v>
      </c>
      <c r="X6" s="1">
        <f t="shared" ref="X6:X98" si="7">Y6+Z6</f>
        <v>7987.01</v>
      </c>
      <c r="Y6" s="2">
        <v>7987.01</v>
      </c>
      <c r="Z6" s="2">
        <v>0</v>
      </c>
      <c r="AA6" s="2">
        <f t="shared" si="5"/>
        <v>0</v>
      </c>
      <c r="AB6" s="2">
        <v>0</v>
      </c>
      <c r="AC6" s="2">
        <v>0</v>
      </c>
      <c r="AD6" s="16">
        <f t="shared" si="6"/>
        <v>399348.53</v>
      </c>
      <c r="AE6" s="2">
        <v>0</v>
      </c>
      <c r="AF6" s="2">
        <f t="shared" si="4"/>
        <v>399348.53</v>
      </c>
      <c r="AG6" s="21" t="s">
        <v>857</v>
      </c>
      <c r="AH6" s="29" t="s">
        <v>294</v>
      </c>
      <c r="AI6" s="30">
        <v>271156.57999999996</v>
      </c>
      <c r="AJ6" s="30">
        <v>44248.240000000005</v>
      </c>
    </row>
    <row r="7" spans="1:37 16382:16382" s="179" customFormat="1" ht="141.75" x14ac:dyDescent="0.25">
      <c r="A7" s="6">
        <v>4</v>
      </c>
      <c r="B7" s="31">
        <v>117934</v>
      </c>
      <c r="C7" s="11">
        <v>417</v>
      </c>
      <c r="D7" s="32" t="s">
        <v>1640</v>
      </c>
      <c r="E7" s="24" t="s">
        <v>507</v>
      </c>
      <c r="F7" s="11" t="s">
        <v>1898</v>
      </c>
      <c r="G7" s="11" t="s">
        <v>504</v>
      </c>
      <c r="H7" s="8" t="s">
        <v>151</v>
      </c>
      <c r="I7" s="33" t="s">
        <v>2619</v>
      </c>
      <c r="J7" s="25">
        <v>43278</v>
      </c>
      <c r="K7" s="25">
        <v>43765</v>
      </c>
      <c r="L7" s="26">
        <f t="shared" si="0"/>
        <v>84.999998780098935</v>
      </c>
      <c r="M7" s="11">
        <v>7</v>
      </c>
      <c r="N7" s="11" t="s">
        <v>221</v>
      </c>
      <c r="O7" s="11" t="s">
        <v>506</v>
      </c>
      <c r="P7" s="27" t="s">
        <v>174</v>
      </c>
      <c r="Q7" s="11" t="s">
        <v>34</v>
      </c>
      <c r="R7" s="1">
        <f>S7+T7</f>
        <v>243872.23</v>
      </c>
      <c r="S7" s="2">
        <v>243872.23</v>
      </c>
      <c r="T7" s="2">
        <v>0</v>
      </c>
      <c r="U7" s="1">
        <f t="shared" si="2"/>
        <v>37298.080000000002</v>
      </c>
      <c r="V7" s="28">
        <v>37298.080000000002</v>
      </c>
      <c r="W7" s="28">
        <v>0</v>
      </c>
      <c r="X7" s="1">
        <f t="shared" si="7"/>
        <v>5738.2</v>
      </c>
      <c r="Y7" s="2">
        <v>5738.2</v>
      </c>
      <c r="Z7" s="2">
        <v>0</v>
      </c>
      <c r="AA7" s="2">
        <f t="shared" si="5"/>
        <v>0</v>
      </c>
      <c r="AB7" s="34">
        <v>0</v>
      </c>
      <c r="AC7" s="34">
        <v>0</v>
      </c>
      <c r="AD7" s="16">
        <f t="shared" si="6"/>
        <v>286908.51</v>
      </c>
      <c r="AE7" s="2">
        <v>0</v>
      </c>
      <c r="AF7" s="2">
        <f t="shared" si="4"/>
        <v>286908.51</v>
      </c>
      <c r="AG7" s="21" t="s">
        <v>857</v>
      </c>
      <c r="AH7" s="35"/>
      <c r="AI7" s="30">
        <v>223752.58</v>
      </c>
      <c r="AJ7" s="30">
        <v>34220.97</v>
      </c>
    </row>
    <row r="8" spans="1:37 16382:16382" s="179" customFormat="1" ht="230.25" customHeight="1" x14ac:dyDescent="0.25">
      <c r="A8" s="6">
        <v>5</v>
      </c>
      <c r="B8" s="31">
        <v>118740</v>
      </c>
      <c r="C8" s="11">
        <v>436</v>
      </c>
      <c r="D8" s="32" t="s">
        <v>1640</v>
      </c>
      <c r="E8" s="24" t="s">
        <v>507</v>
      </c>
      <c r="F8" s="31" t="s">
        <v>729</v>
      </c>
      <c r="G8" s="11" t="s">
        <v>213</v>
      </c>
      <c r="H8" s="8" t="s">
        <v>151</v>
      </c>
      <c r="I8" s="32" t="s">
        <v>2620</v>
      </c>
      <c r="J8" s="25">
        <v>43321</v>
      </c>
      <c r="K8" s="25">
        <v>43808</v>
      </c>
      <c r="L8" s="26">
        <f t="shared" si="0"/>
        <v>85.000000362805537</v>
      </c>
      <c r="M8" s="11">
        <v>7</v>
      </c>
      <c r="N8" s="11" t="s">
        <v>221</v>
      </c>
      <c r="O8" s="11" t="s">
        <v>216</v>
      </c>
      <c r="P8" s="27" t="s">
        <v>174</v>
      </c>
      <c r="Q8" s="11" t="s">
        <v>34</v>
      </c>
      <c r="R8" s="1">
        <f t="shared" ref="R8:R10" si="8">S8+T8</f>
        <v>234285.28</v>
      </c>
      <c r="S8" s="2">
        <v>234285.28</v>
      </c>
      <c r="T8" s="2">
        <v>0</v>
      </c>
      <c r="U8" s="1">
        <f t="shared" si="2"/>
        <v>35831.870000000003</v>
      </c>
      <c r="V8" s="28">
        <v>35831.870000000003</v>
      </c>
      <c r="W8" s="28"/>
      <c r="X8" s="1">
        <f t="shared" si="7"/>
        <v>5512.59</v>
      </c>
      <c r="Y8" s="2">
        <v>5512.59</v>
      </c>
      <c r="Z8" s="2">
        <v>0</v>
      </c>
      <c r="AA8" s="2">
        <f t="shared" si="5"/>
        <v>0</v>
      </c>
      <c r="AB8" s="36">
        <v>0</v>
      </c>
      <c r="AC8" s="36">
        <v>0</v>
      </c>
      <c r="AD8" s="16">
        <f t="shared" si="6"/>
        <v>275629.74000000005</v>
      </c>
      <c r="AE8" s="2"/>
      <c r="AF8" s="2">
        <f t="shared" si="4"/>
        <v>275629.74000000005</v>
      </c>
      <c r="AG8" s="21" t="s">
        <v>857</v>
      </c>
      <c r="AH8" s="35"/>
      <c r="AI8" s="30">
        <v>204891.55</v>
      </c>
      <c r="AJ8" s="30">
        <v>31336.359999999997</v>
      </c>
    </row>
    <row r="9" spans="1:37 16382:16382" s="179" customFormat="1" ht="219.6" customHeight="1" x14ac:dyDescent="0.25">
      <c r="A9" s="6">
        <v>6</v>
      </c>
      <c r="B9" s="31">
        <v>119862</v>
      </c>
      <c r="C9" s="11">
        <v>483</v>
      </c>
      <c r="D9" s="9" t="s">
        <v>1639</v>
      </c>
      <c r="E9" s="11" t="s">
        <v>457</v>
      </c>
      <c r="F9" s="31" t="s">
        <v>749</v>
      </c>
      <c r="G9" s="11" t="s">
        <v>750</v>
      </c>
      <c r="H9" s="8" t="s">
        <v>151</v>
      </c>
      <c r="I9" s="32" t="s">
        <v>751</v>
      </c>
      <c r="J9" s="25">
        <v>43325</v>
      </c>
      <c r="K9" s="25">
        <v>43629</v>
      </c>
      <c r="L9" s="26">
        <f t="shared" si="0"/>
        <v>84.999998288155666</v>
      </c>
      <c r="M9" s="11">
        <v>7</v>
      </c>
      <c r="N9" s="11" t="s">
        <v>752</v>
      </c>
      <c r="O9" s="11" t="s">
        <v>753</v>
      </c>
      <c r="P9" s="27" t="s">
        <v>174</v>
      </c>
      <c r="Q9" s="11" t="s">
        <v>34</v>
      </c>
      <c r="R9" s="1">
        <f t="shared" si="8"/>
        <v>223443.21</v>
      </c>
      <c r="S9" s="2">
        <v>223443.21</v>
      </c>
      <c r="T9" s="2">
        <v>0</v>
      </c>
      <c r="U9" s="1">
        <f t="shared" si="2"/>
        <v>34173.67</v>
      </c>
      <c r="V9" s="28">
        <v>34173.67</v>
      </c>
      <c r="W9" s="28">
        <v>0</v>
      </c>
      <c r="X9" s="1">
        <f t="shared" si="7"/>
        <v>5257.4900000000007</v>
      </c>
      <c r="Y9" s="2">
        <v>5257.4900000000007</v>
      </c>
      <c r="Z9" s="2">
        <v>0</v>
      </c>
      <c r="AA9" s="2">
        <f t="shared" si="5"/>
        <v>0</v>
      </c>
      <c r="AB9" s="37">
        <v>0</v>
      </c>
      <c r="AC9" s="37">
        <v>0</v>
      </c>
      <c r="AD9" s="16">
        <f t="shared" si="6"/>
        <v>262874.37</v>
      </c>
      <c r="AE9" s="2"/>
      <c r="AF9" s="2">
        <f t="shared" si="4"/>
        <v>262874.37</v>
      </c>
      <c r="AG9" s="21" t="s">
        <v>857</v>
      </c>
      <c r="AH9" s="35"/>
      <c r="AI9" s="30">
        <v>197238.88999999998</v>
      </c>
      <c r="AJ9" s="30">
        <v>30165.95</v>
      </c>
      <c r="AK9" s="184"/>
    </row>
    <row r="10" spans="1:37 16382:16382" s="179" customFormat="1" ht="219.6" customHeight="1" x14ac:dyDescent="0.25">
      <c r="A10" s="6">
        <v>7</v>
      </c>
      <c r="B10" s="31">
        <v>126492</v>
      </c>
      <c r="C10" s="11">
        <v>568</v>
      </c>
      <c r="D10" s="9" t="s">
        <v>1639</v>
      </c>
      <c r="E10" s="11" t="s">
        <v>899</v>
      </c>
      <c r="F10" s="31" t="s">
        <v>950</v>
      </c>
      <c r="G10" s="11" t="s">
        <v>1550</v>
      </c>
      <c r="H10" s="8" t="s">
        <v>151</v>
      </c>
      <c r="I10" s="32" t="s">
        <v>1888</v>
      </c>
      <c r="J10" s="25">
        <v>43462</v>
      </c>
      <c r="K10" s="25">
        <v>44132</v>
      </c>
      <c r="L10" s="26">
        <f t="shared" si="0"/>
        <v>84.999999417414912</v>
      </c>
      <c r="M10" s="11">
        <v>7</v>
      </c>
      <c r="N10" s="11" t="s">
        <v>752</v>
      </c>
      <c r="O10" s="11" t="s">
        <v>301</v>
      </c>
      <c r="P10" s="27" t="s">
        <v>174</v>
      </c>
      <c r="Q10" s="11" t="s">
        <v>34</v>
      </c>
      <c r="R10" s="1">
        <f t="shared" si="8"/>
        <v>948359.35</v>
      </c>
      <c r="S10" s="2">
        <v>948359.35</v>
      </c>
      <c r="T10" s="2">
        <v>0</v>
      </c>
      <c r="U10" s="1">
        <f t="shared" si="2"/>
        <v>145043.20000000001</v>
      </c>
      <c r="V10" s="28">
        <v>145043.20000000001</v>
      </c>
      <c r="W10" s="28">
        <v>0</v>
      </c>
      <c r="X10" s="1">
        <f t="shared" si="7"/>
        <v>22314.34</v>
      </c>
      <c r="Y10" s="2">
        <v>22314.34</v>
      </c>
      <c r="Z10" s="2">
        <v>0</v>
      </c>
      <c r="AA10" s="2">
        <f t="shared" si="5"/>
        <v>0</v>
      </c>
      <c r="AB10" s="37">
        <v>0</v>
      </c>
      <c r="AC10" s="37">
        <v>0</v>
      </c>
      <c r="AD10" s="16">
        <f t="shared" si="6"/>
        <v>1115716.8900000001</v>
      </c>
      <c r="AE10" s="2"/>
      <c r="AF10" s="2">
        <f t="shared" si="4"/>
        <v>1115716.8900000001</v>
      </c>
      <c r="AG10" s="38" t="s">
        <v>857</v>
      </c>
      <c r="AH10" s="35" t="s">
        <v>1595</v>
      </c>
      <c r="AI10" s="30">
        <f>596988.87+37314.15+135631.95+85902.49</f>
        <v>855837.46</v>
      </c>
      <c r="AJ10" s="30">
        <f>91304.18+5706.87+20743.71+13138.03</f>
        <v>130892.78999999998</v>
      </c>
    </row>
    <row r="11" spans="1:37 16382:16382" s="179" customFormat="1" ht="294.75" customHeight="1" x14ac:dyDescent="0.25">
      <c r="A11" s="6">
        <v>8</v>
      </c>
      <c r="B11" s="31">
        <v>126520</v>
      </c>
      <c r="C11" s="11">
        <v>550</v>
      </c>
      <c r="D11" s="9" t="s">
        <v>1639</v>
      </c>
      <c r="E11" s="11" t="s">
        <v>899</v>
      </c>
      <c r="F11" s="31" t="s">
        <v>973</v>
      </c>
      <c r="G11" s="11" t="s">
        <v>750</v>
      </c>
      <c r="H11" s="8" t="s">
        <v>151</v>
      </c>
      <c r="I11" s="33" t="s">
        <v>974</v>
      </c>
      <c r="J11" s="25">
        <v>43504</v>
      </c>
      <c r="K11" s="25">
        <v>44294</v>
      </c>
      <c r="L11" s="26">
        <f t="shared" si="0"/>
        <v>84.999999104679475</v>
      </c>
      <c r="M11" s="11">
        <v>7</v>
      </c>
      <c r="N11" s="11" t="s">
        <v>752</v>
      </c>
      <c r="O11" s="11" t="s">
        <v>301</v>
      </c>
      <c r="P11" s="27" t="s">
        <v>174</v>
      </c>
      <c r="Q11" s="11" t="s">
        <v>34</v>
      </c>
      <c r="R11" s="1">
        <f t="shared" ref="R11:R14" si="9">S11+T11</f>
        <v>2231044.54</v>
      </c>
      <c r="S11" s="2">
        <v>2231044.54</v>
      </c>
      <c r="T11" s="2">
        <v>0</v>
      </c>
      <c r="U11" s="1">
        <f t="shared" si="2"/>
        <v>341218.6</v>
      </c>
      <c r="V11" s="28">
        <v>341218.6</v>
      </c>
      <c r="W11" s="28">
        <v>0</v>
      </c>
      <c r="X11" s="1">
        <f t="shared" si="7"/>
        <v>52495.17</v>
      </c>
      <c r="Y11" s="2">
        <v>52495.17</v>
      </c>
      <c r="Z11" s="2">
        <v>0</v>
      </c>
      <c r="AA11" s="2">
        <f t="shared" si="5"/>
        <v>0</v>
      </c>
      <c r="AB11" s="37">
        <v>0</v>
      </c>
      <c r="AC11" s="37">
        <v>0</v>
      </c>
      <c r="AD11" s="16">
        <f t="shared" si="6"/>
        <v>2624758.31</v>
      </c>
      <c r="AE11" s="2"/>
      <c r="AF11" s="2">
        <f t="shared" si="4"/>
        <v>2624758.31</v>
      </c>
      <c r="AG11" s="38" t="s">
        <v>857</v>
      </c>
      <c r="AH11" s="38" t="s">
        <v>1107</v>
      </c>
      <c r="AI11" s="30">
        <f>1036154.83+266876.43+120061.79+31991.73+36553.52</f>
        <v>1491638.3</v>
      </c>
      <c r="AJ11" s="30">
        <f>158470.74+40816.4+18362.4+4892.85+5590.54</f>
        <v>228132.93</v>
      </c>
    </row>
    <row r="12" spans="1:37 16382:16382" s="179" customFormat="1" ht="294.75" customHeight="1" x14ac:dyDescent="0.25">
      <c r="A12" s="6">
        <v>9</v>
      </c>
      <c r="B12" s="31">
        <v>126539</v>
      </c>
      <c r="C12" s="11">
        <v>574</v>
      </c>
      <c r="D12" s="9" t="s">
        <v>1639</v>
      </c>
      <c r="E12" s="11" t="s">
        <v>899</v>
      </c>
      <c r="F12" s="31" t="s">
        <v>1021</v>
      </c>
      <c r="G12" s="11" t="s">
        <v>213</v>
      </c>
      <c r="H12" s="8" t="s">
        <v>151</v>
      </c>
      <c r="I12" s="33" t="s">
        <v>2621</v>
      </c>
      <c r="J12" s="25">
        <v>43552</v>
      </c>
      <c r="K12" s="25">
        <v>44467</v>
      </c>
      <c r="L12" s="26">
        <f t="shared" si="0"/>
        <v>85.000000056453686</v>
      </c>
      <c r="M12" s="11">
        <v>7</v>
      </c>
      <c r="N12" s="11" t="s">
        <v>221</v>
      </c>
      <c r="O12" s="11" t="s">
        <v>216</v>
      </c>
      <c r="P12" s="27" t="s">
        <v>174</v>
      </c>
      <c r="Q12" s="11" t="s">
        <v>34</v>
      </c>
      <c r="R12" s="1">
        <f t="shared" si="9"/>
        <v>3011318.02</v>
      </c>
      <c r="S12" s="2">
        <v>3011318.02</v>
      </c>
      <c r="T12" s="2">
        <v>0</v>
      </c>
      <c r="U12" s="1">
        <f t="shared" si="2"/>
        <v>460554.52</v>
      </c>
      <c r="V12" s="28">
        <v>460554.52</v>
      </c>
      <c r="W12" s="28">
        <v>0</v>
      </c>
      <c r="X12" s="1">
        <f t="shared" si="7"/>
        <v>70854.539999999994</v>
      </c>
      <c r="Y12" s="2">
        <v>70854.539999999994</v>
      </c>
      <c r="Z12" s="2">
        <v>0</v>
      </c>
      <c r="AA12" s="2">
        <f>AB12+AC12</f>
        <v>0</v>
      </c>
      <c r="AB12" s="37">
        <v>0</v>
      </c>
      <c r="AC12" s="37">
        <v>0</v>
      </c>
      <c r="AD12" s="16">
        <f t="shared" si="6"/>
        <v>3542727.08</v>
      </c>
      <c r="AE12" s="2">
        <v>65688</v>
      </c>
      <c r="AF12" s="2">
        <f t="shared" si="4"/>
        <v>3608415.08</v>
      </c>
      <c r="AG12" s="38" t="s">
        <v>857</v>
      </c>
      <c r="AH12" s="38" t="s">
        <v>151</v>
      </c>
      <c r="AI12" s="30">
        <f>254185.09+31457.65+24031.2+22651.14+23082.6+834624.57+1453443.29</f>
        <v>2643475.54</v>
      </c>
      <c r="AJ12" s="30">
        <f>38875.36+4811.17+3675.36+3464.29+3530.28+127648.46+222291.34</f>
        <v>404296.26</v>
      </c>
    </row>
    <row r="13" spans="1:37 16382:16382" s="179" customFormat="1" ht="236.25" x14ac:dyDescent="0.25">
      <c r="A13" s="6">
        <v>10</v>
      </c>
      <c r="B13" s="31">
        <v>126063</v>
      </c>
      <c r="C13" s="11">
        <v>512</v>
      </c>
      <c r="D13" s="9" t="s">
        <v>1639</v>
      </c>
      <c r="E13" s="11" t="s">
        <v>899</v>
      </c>
      <c r="F13" s="31" t="s">
        <v>1027</v>
      </c>
      <c r="G13" s="11" t="s">
        <v>504</v>
      </c>
      <c r="H13" s="11" t="s">
        <v>636</v>
      </c>
      <c r="I13" s="33" t="s">
        <v>2622</v>
      </c>
      <c r="J13" s="25">
        <v>43552</v>
      </c>
      <c r="K13" s="25">
        <v>44740</v>
      </c>
      <c r="L13" s="26">
        <f t="shared" si="0"/>
        <v>84.460725488426988</v>
      </c>
      <c r="M13" s="11">
        <v>7</v>
      </c>
      <c r="N13" s="11" t="s">
        <v>221</v>
      </c>
      <c r="O13" s="11" t="s">
        <v>506</v>
      </c>
      <c r="P13" s="27" t="s">
        <v>174</v>
      </c>
      <c r="Q13" s="11" t="s">
        <v>34</v>
      </c>
      <c r="R13" s="1">
        <f t="shared" si="9"/>
        <v>2848176.35</v>
      </c>
      <c r="S13" s="2">
        <v>2848176.35</v>
      </c>
      <c r="T13" s="2">
        <v>0</v>
      </c>
      <c r="U13" s="1">
        <f t="shared" si="2"/>
        <v>456570.1</v>
      </c>
      <c r="V13" s="28">
        <v>456570.1</v>
      </c>
      <c r="W13" s="28">
        <v>0</v>
      </c>
      <c r="X13" s="1">
        <f t="shared" si="7"/>
        <v>46049.22</v>
      </c>
      <c r="Y13" s="2">
        <v>46049.22</v>
      </c>
      <c r="Z13" s="2">
        <v>0</v>
      </c>
      <c r="AA13" s="2">
        <f t="shared" ref="AA13:AA14" si="10">AB13+AC13</f>
        <v>21394.58</v>
      </c>
      <c r="AB13" s="37">
        <v>21394.58</v>
      </c>
      <c r="AC13" s="37">
        <v>0</v>
      </c>
      <c r="AD13" s="16">
        <f t="shared" si="6"/>
        <v>3372190.2500000005</v>
      </c>
      <c r="AE13" s="2">
        <v>0</v>
      </c>
      <c r="AF13" s="2">
        <f t="shared" si="4"/>
        <v>3372190.2500000005</v>
      </c>
      <c r="AG13" s="38" t="s">
        <v>857</v>
      </c>
      <c r="AH13" s="38" t="s">
        <v>1781</v>
      </c>
      <c r="AI13" s="30">
        <f>746401.81-6086.31+287473.55+59837.21+61023.45+435280.65+86771.92-15305.18+74534.23-304.29+54393.09+37331.36+698438.95-7111.45+26350.08+309147.28</f>
        <v>2848176.3499999996</v>
      </c>
      <c r="AJ13" s="30">
        <f>86363.65+15926.41+11939.57+10559.52+29480.6+48234.8+15312.68+15305.18+11863.7+304.29+11488.85+9249.5+88842.51+7111.45+48493.25</f>
        <v>410475.96</v>
      </c>
    </row>
    <row r="14" spans="1:37 16382:16382" s="179" customFormat="1" ht="141.75" x14ac:dyDescent="0.25">
      <c r="A14" s="6">
        <v>11</v>
      </c>
      <c r="B14" s="31">
        <v>128599</v>
      </c>
      <c r="C14" s="11">
        <v>637</v>
      </c>
      <c r="D14" s="9" t="s">
        <v>1639</v>
      </c>
      <c r="E14" s="11" t="s">
        <v>1071</v>
      </c>
      <c r="F14" s="31" t="s">
        <v>1110</v>
      </c>
      <c r="G14" s="11" t="s">
        <v>1550</v>
      </c>
      <c r="H14" s="8" t="s">
        <v>151</v>
      </c>
      <c r="I14" s="33" t="s">
        <v>1889</v>
      </c>
      <c r="J14" s="25">
        <v>43634</v>
      </c>
      <c r="K14" s="25">
        <v>44669</v>
      </c>
      <c r="L14" s="26">
        <f t="shared" si="0"/>
        <v>85</v>
      </c>
      <c r="M14" s="11">
        <v>7</v>
      </c>
      <c r="N14" s="11" t="s">
        <v>752</v>
      </c>
      <c r="O14" s="11" t="s">
        <v>301</v>
      </c>
      <c r="P14" s="27" t="s">
        <v>174</v>
      </c>
      <c r="Q14" s="11" t="s">
        <v>34</v>
      </c>
      <c r="R14" s="1">
        <f t="shared" si="9"/>
        <v>848667.88</v>
      </c>
      <c r="S14" s="2">
        <v>848667.88</v>
      </c>
      <c r="T14" s="2">
        <v>0</v>
      </c>
      <c r="U14" s="1">
        <f t="shared" si="2"/>
        <v>129796.26</v>
      </c>
      <c r="V14" s="28">
        <v>129796.26</v>
      </c>
      <c r="W14" s="28">
        <v>0</v>
      </c>
      <c r="X14" s="1">
        <f t="shared" si="7"/>
        <v>19968.66</v>
      </c>
      <c r="Y14" s="2">
        <v>19968.66</v>
      </c>
      <c r="Z14" s="2">
        <v>0</v>
      </c>
      <c r="AA14" s="2">
        <f t="shared" si="10"/>
        <v>0</v>
      </c>
      <c r="AB14" s="37">
        <v>0</v>
      </c>
      <c r="AC14" s="37">
        <v>0</v>
      </c>
      <c r="AD14" s="16">
        <f t="shared" si="6"/>
        <v>998432.8</v>
      </c>
      <c r="AE14" s="2">
        <v>0</v>
      </c>
      <c r="AF14" s="2">
        <f t="shared" si="4"/>
        <v>998432.8</v>
      </c>
      <c r="AG14" s="38" t="s">
        <v>857</v>
      </c>
      <c r="AH14" s="38" t="s">
        <v>1847</v>
      </c>
      <c r="AI14" s="30">
        <f>81051.49+105245.93+35474.75+122545.35+82881.8+82103.2+44512.8+45398.5+225652.73</f>
        <v>824866.55</v>
      </c>
      <c r="AJ14" s="30">
        <f>8948.51+19544.04+5425.55+18742.23+12676.04+12556.96+6807.84+6943.3+34511.59</f>
        <v>126156.06</v>
      </c>
    </row>
    <row r="15" spans="1:37 16382:16382" s="179" customFormat="1" ht="409.5" x14ac:dyDescent="0.25">
      <c r="A15" s="6">
        <v>12</v>
      </c>
      <c r="B15" s="31">
        <v>135372</v>
      </c>
      <c r="C15" s="11">
        <v>802</v>
      </c>
      <c r="D15" s="9" t="s">
        <v>1639</v>
      </c>
      <c r="E15" s="24" t="s">
        <v>1441</v>
      </c>
      <c r="F15" s="31" t="s">
        <v>1442</v>
      </c>
      <c r="G15" s="11" t="s">
        <v>750</v>
      </c>
      <c r="H15" s="8" t="s">
        <v>151</v>
      </c>
      <c r="I15" s="12" t="s">
        <v>1890</v>
      </c>
      <c r="J15" s="25">
        <v>43949</v>
      </c>
      <c r="K15" s="25">
        <v>45044</v>
      </c>
      <c r="L15" s="26">
        <f t="shared" si="0"/>
        <v>84.99999988061586</v>
      </c>
      <c r="M15" s="11">
        <v>7</v>
      </c>
      <c r="N15" s="11" t="s">
        <v>752</v>
      </c>
      <c r="O15" s="11" t="s">
        <v>750</v>
      </c>
      <c r="P15" s="27" t="s">
        <v>174</v>
      </c>
      <c r="Q15" s="11" t="s">
        <v>34</v>
      </c>
      <c r="R15" s="2">
        <f>S15+T15</f>
        <v>2847949.34</v>
      </c>
      <c r="S15" s="2">
        <v>2847949.34</v>
      </c>
      <c r="T15" s="2">
        <v>0</v>
      </c>
      <c r="U15" s="1">
        <f t="shared" si="2"/>
        <v>435568.73</v>
      </c>
      <c r="V15" s="28">
        <v>435568.73</v>
      </c>
      <c r="W15" s="28">
        <v>0</v>
      </c>
      <c r="X15" s="1">
        <f t="shared" si="7"/>
        <v>67010.570000000007</v>
      </c>
      <c r="Y15" s="2">
        <v>67010.570000000007</v>
      </c>
      <c r="Z15" s="2">
        <v>0</v>
      </c>
      <c r="AA15" s="2">
        <f>AB15+AC15</f>
        <v>0</v>
      </c>
      <c r="AB15" s="2">
        <v>0</v>
      </c>
      <c r="AC15" s="2">
        <v>0</v>
      </c>
      <c r="AD15" s="16">
        <f t="shared" si="6"/>
        <v>3350528.6399999997</v>
      </c>
      <c r="AE15" s="2">
        <v>76569.36</v>
      </c>
      <c r="AF15" s="2">
        <f t="shared" si="4"/>
        <v>3427097.9999999995</v>
      </c>
      <c r="AG15" s="38" t="s">
        <v>486</v>
      </c>
      <c r="AH15" s="38" t="s">
        <v>2362</v>
      </c>
      <c r="AI15" s="30">
        <f>17501.5+29868.15+334717.81-23634.13+656644.35+379213.57+161193.15+10857.05+111277.9+303475.92-9225.81</f>
        <v>1971889.4599999997</v>
      </c>
      <c r="AJ15" s="30">
        <f>2676.7+4568.07+23634.13+124371.34+57997.36+24653.07+1660.49+17018.98+31524.08+9225.81</f>
        <v>297330.02999999997</v>
      </c>
    </row>
    <row r="16" spans="1:37 16382:16382" s="179" customFormat="1" ht="236.25" x14ac:dyDescent="0.25">
      <c r="A16" s="6">
        <v>13</v>
      </c>
      <c r="B16" s="31">
        <v>136003</v>
      </c>
      <c r="C16" s="11">
        <v>773</v>
      </c>
      <c r="D16" s="9" t="s">
        <v>1639</v>
      </c>
      <c r="E16" s="24" t="s">
        <v>1441</v>
      </c>
      <c r="F16" s="31" t="s">
        <v>1544</v>
      </c>
      <c r="G16" s="11" t="s">
        <v>504</v>
      </c>
      <c r="H16" s="8" t="s">
        <v>151</v>
      </c>
      <c r="I16" s="12" t="s">
        <v>2623</v>
      </c>
      <c r="J16" s="25">
        <v>44001</v>
      </c>
      <c r="K16" s="25">
        <v>44823</v>
      </c>
      <c r="L16" s="26">
        <f t="shared" si="0"/>
        <v>84.999999794981022</v>
      </c>
      <c r="M16" s="11">
        <v>7</v>
      </c>
      <c r="N16" s="11" t="s">
        <v>752</v>
      </c>
      <c r="O16" s="11" t="s">
        <v>504</v>
      </c>
      <c r="P16" s="27" t="s">
        <v>174</v>
      </c>
      <c r="Q16" s="11" t="s">
        <v>34</v>
      </c>
      <c r="R16" s="2">
        <f>S16+T16</f>
        <v>2280276.66</v>
      </c>
      <c r="S16" s="2">
        <v>2280276.66</v>
      </c>
      <c r="T16" s="2">
        <v>0</v>
      </c>
      <c r="U16" s="1">
        <f t="shared" si="2"/>
        <v>348748.2</v>
      </c>
      <c r="V16" s="28">
        <v>348748.2</v>
      </c>
      <c r="W16" s="28">
        <v>0</v>
      </c>
      <c r="X16" s="1">
        <f t="shared" si="7"/>
        <v>53653.57</v>
      </c>
      <c r="Y16" s="2">
        <v>53653.57</v>
      </c>
      <c r="Z16" s="2">
        <v>0</v>
      </c>
      <c r="AA16" s="2">
        <f>AB16+AC16</f>
        <v>0</v>
      </c>
      <c r="AB16" s="2">
        <v>0</v>
      </c>
      <c r="AC16" s="2">
        <v>0</v>
      </c>
      <c r="AD16" s="16">
        <f t="shared" si="6"/>
        <v>2682678.4300000002</v>
      </c>
      <c r="AE16" s="2">
        <v>0</v>
      </c>
      <c r="AF16" s="2">
        <f t="shared" si="4"/>
        <v>2682678.4300000002</v>
      </c>
      <c r="AG16" s="38" t="s">
        <v>486</v>
      </c>
      <c r="AH16" s="38" t="s">
        <v>1929</v>
      </c>
      <c r="AI16" s="30">
        <f>138492.45+0+43604.62+35902.3+1476161.93</f>
        <v>1694161.2999999998</v>
      </c>
      <c r="AJ16" s="30">
        <f>21181.2+0+6668.94+5490.94+225765.95</f>
        <v>259107.03000000003</v>
      </c>
    </row>
    <row r="17" spans="1:36" s="179" customFormat="1" ht="141.75" x14ac:dyDescent="0.25">
      <c r="A17" s="6">
        <v>14</v>
      </c>
      <c r="B17" s="31">
        <v>136237</v>
      </c>
      <c r="C17" s="11">
        <v>810</v>
      </c>
      <c r="D17" s="9" t="s">
        <v>1639</v>
      </c>
      <c r="E17" s="24" t="s">
        <v>1441</v>
      </c>
      <c r="F17" s="31" t="s">
        <v>1899</v>
      </c>
      <c r="G17" s="11" t="s">
        <v>1550</v>
      </c>
      <c r="H17" s="8" t="s">
        <v>151</v>
      </c>
      <c r="I17" s="12" t="s">
        <v>1551</v>
      </c>
      <c r="J17" s="25">
        <v>43998</v>
      </c>
      <c r="K17" s="25">
        <v>44608</v>
      </c>
      <c r="L17" s="26">
        <f t="shared" si="0"/>
        <v>85</v>
      </c>
      <c r="M17" s="11">
        <v>7</v>
      </c>
      <c r="N17" s="11" t="s">
        <v>752</v>
      </c>
      <c r="O17" s="11" t="s">
        <v>1550</v>
      </c>
      <c r="P17" s="27" t="s">
        <v>174</v>
      </c>
      <c r="Q17" s="11" t="s">
        <v>34</v>
      </c>
      <c r="R17" s="2">
        <f>S17+T17</f>
        <v>834599.19</v>
      </c>
      <c r="S17" s="2">
        <v>834599.19</v>
      </c>
      <c r="T17" s="2">
        <v>0</v>
      </c>
      <c r="U17" s="1">
        <f t="shared" si="2"/>
        <v>127644.59</v>
      </c>
      <c r="V17" s="28">
        <v>127644.59</v>
      </c>
      <c r="W17" s="28">
        <v>0</v>
      </c>
      <c r="X17" s="1">
        <f t="shared" si="7"/>
        <v>19637.62</v>
      </c>
      <c r="Y17" s="2">
        <v>19637.62</v>
      </c>
      <c r="Z17" s="2">
        <v>0</v>
      </c>
      <c r="AA17" s="2">
        <f>AB17+AC17</f>
        <v>0</v>
      </c>
      <c r="AB17" s="2">
        <v>0</v>
      </c>
      <c r="AC17" s="2">
        <v>0</v>
      </c>
      <c r="AD17" s="16">
        <f t="shared" si="6"/>
        <v>981881.39999999991</v>
      </c>
      <c r="AE17" s="2">
        <v>0</v>
      </c>
      <c r="AF17" s="2">
        <f t="shared" si="4"/>
        <v>981881.39999999991</v>
      </c>
      <c r="AG17" s="38" t="s">
        <v>857</v>
      </c>
      <c r="AH17" s="38" t="s">
        <v>1922</v>
      </c>
      <c r="AI17" s="30">
        <f>62006.65+123779-12443.6-3551.15+123779-12163.84+142914.24-7333.3+345870.45+57117.49</f>
        <v>819974.94</v>
      </c>
      <c r="AJ17" s="30">
        <f>9483.37+12443.6+4041.05+12163.84+7833.28+7333.3+44442.97+27666.53</f>
        <v>125407.94</v>
      </c>
    </row>
    <row r="18" spans="1:36" s="179" customFormat="1" ht="141.75" x14ac:dyDescent="0.25">
      <c r="A18" s="6">
        <v>15</v>
      </c>
      <c r="B18" s="31">
        <v>136017</v>
      </c>
      <c r="C18" s="11">
        <v>855</v>
      </c>
      <c r="D18" s="9" t="s">
        <v>1639</v>
      </c>
      <c r="E18" s="24" t="s">
        <v>1441</v>
      </c>
      <c r="F18" s="31" t="s">
        <v>1582</v>
      </c>
      <c r="G18" s="11" t="s">
        <v>213</v>
      </c>
      <c r="H18" s="8" t="s">
        <v>151</v>
      </c>
      <c r="I18" s="12" t="s">
        <v>1583</v>
      </c>
      <c r="J18" s="25">
        <v>44021</v>
      </c>
      <c r="K18" s="25">
        <v>45116</v>
      </c>
      <c r="L18" s="26">
        <f t="shared" si="0"/>
        <v>85.000000121607897</v>
      </c>
      <c r="M18" s="11">
        <v>7</v>
      </c>
      <c r="N18" s="11" t="s">
        <v>752</v>
      </c>
      <c r="O18" s="11" t="s">
        <v>216</v>
      </c>
      <c r="P18" s="27" t="s">
        <v>174</v>
      </c>
      <c r="Q18" s="11" t="s">
        <v>34</v>
      </c>
      <c r="R18" s="2">
        <f>S18+T18</f>
        <v>2096903.27</v>
      </c>
      <c r="S18" s="2">
        <v>2096903.27</v>
      </c>
      <c r="T18" s="2">
        <v>0</v>
      </c>
      <c r="U18" s="1">
        <f t="shared" si="2"/>
        <v>320702.84999999998</v>
      </c>
      <c r="V18" s="28">
        <v>320702.84999999998</v>
      </c>
      <c r="W18" s="28">
        <v>0</v>
      </c>
      <c r="X18" s="1">
        <f t="shared" si="7"/>
        <v>49338.9</v>
      </c>
      <c r="Y18" s="2">
        <v>49338.9</v>
      </c>
      <c r="Z18" s="2">
        <v>0</v>
      </c>
      <c r="AA18" s="2">
        <f>AB18+AC18</f>
        <v>0</v>
      </c>
      <c r="AB18" s="2">
        <v>0</v>
      </c>
      <c r="AC18" s="2">
        <v>0</v>
      </c>
      <c r="AD18" s="16">
        <f t="shared" si="6"/>
        <v>2466945.02</v>
      </c>
      <c r="AE18" s="2">
        <v>0</v>
      </c>
      <c r="AF18" s="2">
        <f t="shared" si="4"/>
        <v>2466945.02</v>
      </c>
      <c r="AG18" s="38" t="s">
        <v>486</v>
      </c>
      <c r="AH18" s="38" t="s">
        <v>2562</v>
      </c>
      <c r="AI18" s="30">
        <f>23885+52537.57+46083.6+77627.1+46472.05+31201.8+35294.55</f>
        <v>313101.67</v>
      </c>
      <c r="AJ18" s="30">
        <f>3653+8035.15+7048.08+11872.38+7107.49+4772.04+5397.99</f>
        <v>47886.13</v>
      </c>
    </row>
    <row r="19" spans="1:36" s="179" customFormat="1" ht="189" x14ac:dyDescent="0.25">
      <c r="A19" s="6">
        <v>16</v>
      </c>
      <c r="B19" s="31">
        <v>152084</v>
      </c>
      <c r="C19" s="11">
        <v>1130</v>
      </c>
      <c r="D19" s="9" t="s">
        <v>1640</v>
      </c>
      <c r="E19" s="24" t="s">
        <v>1807</v>
      </c>
      <c r="F19" s="31" t="s">
        <v>1942</v>
      </c>
      <c r="G19" s="11" t="s">
        <v>1550</v>
      </c>
      <c r="H19" s="11" t="s">
        <v>1943</v>
      </c>
      <c r="I19" s="12" t="s">
        <v>2624</v>
      </c>
      <c r="J19" s="25">
        <v>44543</v>
      </c>
      <c r="K19" s="25">
        <v>45029</v>
      </c>
      <c r="L19" s="26">
        <f t="shared" si="0"/>
        <v>85.000001326025981</v>
      </c>
      <c r="M19" s="11">
        <v>7</v>
      </c>
      <c r="N19" s="11" t="s">
        <v>752</v>
      </c>
      <c r="O19" s="11" t="s">
        <v>301</v>
      </c>
      <c r="P19" s="27" t="s">
        <v>174</v>
      </c>
      <c r="Q19" s="11" t="s">
        <v>34</v>
      </c>
      <c r="R19" s="2">
        <f>S19+T19</f>
        <v>352557.2</v>
      </c>
      <c r="S19" s="2">
        <v>352557.2</v>
      </c>
      <c r="T19" s="2">
        <v>0</v>
      </c>
      <c r="U19" s="1">
        <f t="shared" si="2"/>
        <v>43500.86</v>
      </c>
      <c r="V19" s="28">
        <v>43500.86</v>
      </c>
      <c r="W19" s="28">
        <v>0</v>
      </c>
      <c r="X19" s="1">
        <f t="shared" si="7"/>
        <v>18715.11</v>
      </c>
      <c r="Y19" s="2">
        <v>18715.11</v>
      </c>
      <c r="Z19" s="2">
        <v>0</v>
      </c>
      <c r="AA19" s="2">
        <f>AB19+AC19</f>
        <v>0</v>
      </c>
      <c r="AB19" s="2">
        <v>0</v>
      </c>
      <c r="AC19" s="2">
        <v>0</v>
      </c>
      <c r="AD19" s="16">
        <f t="shared" si="6"/>
        <v>414773.17</v>
      </c>
      <c r="AE19" s="2">
        <v>0</v>
      </c>
      <c r="AF19" s="2">
        <f t="shared" si="4"/>
        <v>414773.17</v>
      </c>
      <c r="AG19" s="38" t="s">
        <v>486</v>
      </c>
      <c r="AH19" s="35"/>
      <c r="AI19" s="30">
        <f>47624.85</f>
        <v>47624.85</v>
      </c>
      <c r="AJ19" s="30">
        <f>5671.15</f>
        <v>5671.15</v>
      </c>
    </row>
    <row r="20" spans="1:36" s="179" customFormat="1" ht="141.75" x14ac:dyDescent="0.25">
      <c r="A20" s="6">
        <v>17</v>
      </c>
      <c r="B20" s="31">
        <v>120637</v>
      </c>
      <c r="C20" s="11">
        <v>86</v>
      </c>
      <c r="D20" s="9" t="s">
        <v>1639</v>
      </c>
      <c r="E20" s="24" t="s">
        <v>277</v>
      </c>
      <c r="F20" s="11" t="s">
        <v>228</v>
      </c>
      <c r="G20" s="11" t="s">
        <v>229</v>
      </c>
      <c r="H20" s="8" t="s">
        <v>151</v>
      </c>
      <c r="I20" s="12" t="s">
        <v>2625</v>
      </c>
      <c r="J20" s="25">
        <v>43145</v>
      </c>
      <c r="K20" s="25">
        <v>43510</v>
      </c>
      <c r="L20" s="26">
        <f t="shared" si="0"/>
        <v>85.000001183738732</v>
      </c>
      <c r="M20" s="11">
        <v>5</v>
      </c>
      <c r="N20" s="11" t="s">
        <v>230</v>
      </c>
      <c r="O20" s="11" t="s">
        <v>230</v>
      </c>
      <c r="P20" s="27" t="s">
        <v>174</v>
      </c>
      <c r="Q20" s="11" t="s">
        <v>34</v>
      </c>
      <c r="R20" s="2">
        <f t="shared" ref="R20:R22" si="11">S20+T20</f>
        <v>359031.93</v>
      </c>
      <c r="S20" s="40">
        <v>359031.93</v>
      </c>
      <c r="T20" s="2">
        <v>0</v>
      </c>
      <c r="U20" s="1">
        <f t="shared" si="2"/>
        <v>54910.76</v>
      </c>
      <c r="V20" s="28">
        <v>54910.76</v>
      </c>
      <c r="W20" s="28">
        <v>0</v>
      </c>
      <c r="X20" s="1">
        <f t="shared" si="7"/>
        <v>8447.81</v>
      </c>
      <c r="Y20" s="2">
        <v>8447.81</v>
      </c>
      <c r="Z20" s="2">
        <v>0</v>
      </c>
      <c r="AA20" s="2">
        <f>AB20+AC20</f>
        <v>0</v>
      </c>
      <c r="AB20" s="2">
        <v>0</v>
      </c>
      <c r="AC20" s="2">
        <v>0</v>
      </c>
      <c r="AD20" s="16">
        <f t="shared" si="6"/>
        <v>422390.5</v>
      </c>
      <c r="AE20" s="2">
        <v>0</v>
      </c>
      <c r="AF20" s="2">
        <f t="shared" si="4"/>
        <v>422390.5</v>
      </c>
      <c r="AG20" s="21" t="s">
        <v>857</v>
      </c>
      <c r="AH20" s="29" t="s">
        <v>151</v>
      </c>
      <c r="AI20" s="30">
        <v>282511.96000000002</v>
      </c>
      <c r="AJ20" s="30">
        <v>43207.69</v>
      </c>
    </row>
    <row r="21" spans="1:36" s="179" customFormat="1" ht="141.75" x14ac:dyDescent="0.25">
      <c r="A21" s="6">
        <v>18</v>
      </c>
      <c r="B21" s="31">
        <v>119520</v>
      </c>
      <c r="C21" s="31">
        <v>465</v>
      </c>
      <c r="D21" s="9" t="s">
        <v>1639</v>
      </c>
      <c r="E21" s="32" t="s">
        <v>457</v>
      </c>
      <c r="F21" s="11" t="s">
        <v>619</v>
      </c>
      <c r="G21" s="11" t="s">
        <v>620</v>
      </c>
      <c r="H21" s="8" t="s">
        <v>151</v>
      </c>
      <c r="I21" s="32" t="s">
        <v>1891</v>
      </c>
      <c r="J21" s="25">
        <v>43292</v>
      </c>
      <c r="K21" s="25">
        <v>44176</v>
      </c>
      <c r="L21" s="26">
        <f t="shared" si="0"/>
        <v>85.000019787644845</v>
      </c>
      <c r="M21" s="39">
        <v>5</v>
      </c>
      <c r="N21" s="11" t="s">
        <v>230</v>
      </c>
      <c r="O21" s="11" t="s">
        <v>230</v>
      </c>
      <c r="P21" s="39" t="s">
        <v>174</v>
      </c>
      <c r="Q21" s="11" t="s">
        <v>34</v>
      </c>
      <c r="R21" s="2">
        <f t="shared" si="11"/>
        <v>231962.98</v>
      </c>
      <c r="S21" s="30">
        <v>231962.98</v>
      </c>
      <c r="T21" s="41">
        <v>0</v>
      </c>
      <c r="U21" s="1">
        <f t="shared" si="2"/>
        <v>35476.620000000003</v>
      </c>
      <c r="V21" s="42">
        <v>35476.620000000003</v>
      </c>
      <c r="W21" s="42">
        <v>0</v>
      </c>
      <c r="X21" s="1">
        <f t="shared" si="7"/>
        <v>5457.96</v>
      </c>
      <c r="Y21" s="30">
        <v>5457.96</v>
      </c>
      <c r="Z21" s="30">
        <v>0</v>
      </c>
      <c r="AA21" s="2">
        <f t="shared" ref="AA21:AA22" si="12">AB21+AC21</f>
        <v>0</v>
      </c>
      <c r="AB21" s="37">
        <v>0</v>
      </c>
      <c r="AC21" s="37">
        <v>0</v>
      </c>
      <c r="AD21" s="16">
        <f t="shared" si="6"/>
        <v>272897.56000000006</v>
      </c>
      <c r="AE21" s="35">
        <v>0</v>
      </c>
      <c r="AF21" s="2">
        <f t="shared" si="4"/>
        <v>272897.56000000006</v>
      </c>
      <c r="AG21" s="38" t="s">
        <v>857</v>
      </c>
      <c r="AH21" s="38" t="s">
        <v>1347</v>
      </c>
      <c r="AI21" s="30">
        <f>152403.68+22268.18</f>
        <v>174671.86</v>
      </c>
      <c r="AJ21" s="30">
        <f>23308.79+3405.71</f>
        <v>26714.5</v>
      </c>
    </row>
    <row r="22" spans="1:36" s="179" customFormat="1" ht="141.75" x14ac:dyDescent="0.25">
      <c r="A22" s="6">
        <v>19</v>
      </c>
      <c r="B22" s="31">
        <v>116692</v>
      </c>
      <c r="C22" s="11">
        <v>408</v>
      </c>
      <c r="D22" s="32" t="s">
        <v>1640</v>
      </c>
      <c r="E22" s="32" t="s">
        <v>507</v>
      </c>
      <c r="F22" s="11" t="s">
        <v>730</v>
      </c>
      <c r="G22" s="11" t="s">
        <v>620</v>
      </c>
      <c r="H22" s="8" t="s">
        <v>151</v>
      </c>
      <c r="I22" s="43" t="s">
        <v>731</v>
      </c>
      <c r="J22" s="25">
        <v>43321</v>
      </c>
      <c r="K22" s="25">
        <v>43899</v>
      </c>
      <c r="L22" s="26">
        <f t="shared" si="0"/>
        <v>85.000000534892237</v>
      </c>
      <c r="M22" s="11">
        <v>5</v>
      </c>
      <c r="N22" s="11" t="s">
        <v>230</v>
      </c>
      <c r="O22" s="11" t="s">
        <v>230</v>
      </c>
      <c r="P22" s="39" t="s">
        <v>174</v>
      </c>
      <c r="Q22" s="11" t="s">
        <v>34</v>
      </c>
      <c r="R22" s="2">
        <f t="shared" si="11"/>
        <v>317821.02</v>
      </c>
      <c r="S22" s="30">
        <v>317821.02</v>
      </c>
      <c r="T22" s="41">
        <v>0</v>
      </c>
      <c r="U22" s="1">
        <f t="shared" si="2"/>
        <v>48607.91</v>
      </c>
      <c r="V22" s="42">
        <v>48607.91</v>
      </c>
      <c r="W22" s="42">
        <v>0</v>
      </c>
      <c r="X22" s="1">
        <f t="shared" si="7"/>
        <v>7478.15</v>
      </c>
      <c r="Y22" s="30">
        <v>7478.15</v>
      </c>
      <c r="Z22" s="30">
        <v>0</v>
      </c>
      <c r="AA22" s="2">
        <f t="shared" si="12"/>
        <v>0</v>
      </c>
      <c r="AB22" s="37">
        <v>0</v>
      </c>
      <c r="AC22" s="37">
        <v>0</v>
      </c>
      <c r="AD22" s="16">
        <f t="shared" si="6"/>
        <v>373907.08000000007</v>
      </c>
      <c r="AE22" s="38">
        <v>0</v>
      </c>
      <c r="AF22" s="2">
        <f t="shared" si="4"/>
        <v>373907.08000000007</v>
      </c>
      <c r="AG22" s="38" t="s">
        <v>857</v>
      </c>
      <c r="AH22" s="38" t="s">
        <v>1381</v>
      </c>
      <c r="AI22" s="30">
        <v>181528.22</v>
      </c>
      <c r="AJ22" s="30">
        <v>27763.119999999999</v>
      </c>
    </row>
    <row r="23" spans="1:36" s="179" customFormat="1" ht="267.75" x14ac:dyDescent="0.25">
      <c r="A23" s="6">
        <v>20</v>
      </c>
      <c r="B23" s="31">
        <v>126495</v>
      </c>
      <c r="C23" s="11">
        <v>558</v>
      </c>
      <c r="D23" s="9" t="s">
        <v>1639</v>
      </c>
      <c r="E23" s="32" t="s">
        <v>899</v>
      </c>
      <c r="F23" s="11" t="s">
        <v>1044</v>
      </c>
      <c r="G23" s="11" t="s">
        <v>229</v>
      </c>
      <c r="H23" s="8" t="s">
        <v>151</v>
      </c>
      <c r="I23" s="44" t="s">
        <v>2626</v>
      </c>
      <c r="J23" s="25">
        <v>43570</v>
      </c>
      <c r="K23" s="25">
        <v>44607</v>
      </c>
      <c r="L23" s="26">
        <f t="shared" si="0"/>
        <v>85</v>
      </c>
      <c r="M23" s="11">
        <v>5</v>
      </c>
      <c r="N23" s="11" t="s">
        <v>230</v>
      </c>
      <c r="O23" s="11" t="s">
        <v>230</v>
      </c>
      <c r="P23" s="39" t="s">
        <v>174</v>
      </c>
      <c r="Q23" s="11" t="s">
        <v>34</v>
      </c>
      <c r="R23" s="2">
        <f t="shared" ref="R23" si="13">S23+T23</f>
        <v>3025356.04</v>
      </c>
      <c r="S23" s="30">
        <v>3025356.04</v>
      </c>
      <c r="T23" s="41">
        <v>0</v>
      </c>
      <c r="U23" s="1">
        <f t="shared" si="2"/>
        <v>462701.51</v>
      </c>
      <c r="V23" s="42">
        <v>462701.51</v>
      </c>
      <c r="W23" s="42">
        <v>0</v>
      </c>
      <c r="X23" s="1">
        <f t="shared" si="7"/>
        <v>71184.850000000006</v>
      </c>
      <c r="Y23" s="30">
        <v>71184.850000000006</v>
      </c>
      <c r="Z23" s="30">
        <v>0</v>
      </c>
      <c r="AA23" s="2">
        <f>AB23+AC23</f>
        <v>0</v>
      </c>
      <c r="AB23" s="2">
        <v>0</v>
      </c>
      <c r="AC23" s="2">
        <v>0</v>
      </c>
      <c r="AD23" s="16">
        <f t="shared" si="6"/>
        <v>3559242.4</v>
      </c>
      <c r="AE23" s="38">
        <v>0</v>
      </c>
      <c r="AF23" s="2">
        <f t="shared" si="4"/>
        <v>3559242.4</v>
      </c>
      <c r="AG23" s="38" t="s">
        <v>857</v>
      </c>
      <c r="AH23" s="38" t="s">
        <v>1631</v>
      </c>
      <c r="AI23" s="30">
        <f>82686.68+124620.54+166745.78+1978538.51</f>
        <v>2352591.5099999998</v>
      </c>
      <c r="AJ23" s="30">
        <f>12646.21+19059.61+25502.29+302600</f>
        <v>359808.11</v>
      </c>
    </row>
    <row r="24" spans="1:36" s="179" customFormat="1" ht="141.75" x14ac:dyDescent="0.25">
      <c r="A24" s="6">
        <v>21</v>
      </c>
      <c r="B24" s="31">
        <v>129702</v>
      </c>
      <c r="C24" s="11">
        <v>676</v>
      </c>
      <c r="D24" s="9" t="s">
        <v>1639</v>
      </c>
      <c r="E24" s="32" t="s">
        <v>1071</v>
      </c>
      <c r="F24" s="11" t="s">
        <v>1271</v>
      </c>
      <c r="G24" s="11" t="s">
        <v>620</v>
      </c>
      <c r="H24" s="8" t="s">
        <v>151</v>
      </c>
      <c r="I24" s="45" t="s">
        <v>2627</v>
      </c>
      <c r="J24" s="25">
        <v>43717</v>
      </c>
      <c r="K24" s="25">
        <v>44874</v>
      </c>
      <c r="L24" s="26">
        <f t="shared" si="0"/>
        <v>85</v>
      </c>
      <c r="M24" s="11">
        <v>5</v>
      </c>
      <c r="N24" s="11" t="s">
        <v>230</v>
      </c>
      <c r="O24" s="11" t="s">
        <v>230</v>
      </c>
      <c r="P24" s="39" t="s">
        <v>174</v>
      </c>
      <c r="Q24" s="11" t="s">
        <v>34</v>
      </c>
      <c r="R24" s="2">
        <f>S24+T24</f>
        <v>396508</v>
      </c>
      <c r="S24" s="30">
        <v>396508</v>
      </c>
      <c r="T24" s="41">
        <v>0</v>
      </c>
      <c r="U24" s="1">
        <f t="shared" si="2"/>
        <v>60642.400000000001</v>
      </c>
      <c r="V24" s="42">
        <v>60642.400000000001</v>
      </c>
      <c r="W24" s="42">
        <v>0</v>
      </c>
      <c r="X24" s="1">
        <f t="shared" si="7"/>
        <v>9329.6</v>
      </c>
      <c r="Y24" s="30">
        <v>9329.6</v>
      </c>
      <c r="Z24" s="30">
        <v>0</v>
      </c>
      <c r="AA24" s="2">
        <f>AB24+AC24</f>
        <v>0</v>
      </c>
      <c r="AB24" s="37">
        <v>0</v>
      </c>
      <c r="AC24" s="37">
        <v>0</v>
      </c>
      <c r="AD24" s="16">
        <f t="shared" si="6"/>
        <v>466480</v>
      </c>
      <c r="AE24" s="38">
        <v>0</v>
      </c>
      <c r="AF24" s="2">
        <f t="shared" si="4"/>
        <v>466480</v>
      </c>
      <c r="AG24" s="38" t="s">
        <v>486</v>
      </c>
      <c r="AH24" s="38" t="s">
        <v>2478</v>
      </c>
      <c r="AI24" s="30">
        <v>1112.6500000000001</v>
      </c>
      <c r="AJ24" s="30">
        <v>170.17</v>
      </c>
    </row>
    <row r="25" spans="1:36" s="179" customFormat="1" ht="173.25" x14ac:dyDescent="0.25">
      <c r="A25" s="6">
        <v>22</v>
      </c>
      <c r="B25" s="31">
        <v>152186</v>
      </c>
      <c r="C25" s="11">
        <v>1139</v>
      </c>
      <c r="D25" s="9" t="s">
        <v>1640</v>
      </c>
      <c r="E25" s="24" t="s">
        <v>1807</v>
      </c>
      <c r="F25" s="31" t="s">
        <v>1944</v>
      </c>
      <c r="G25" s="11" t="s">
        <v>229</v>
      </c>
      <c r="H25" s="8" t="s">
        <v>151</v>
      </c>
      <c r="I25" s="44" t="s">
        <v>1945</v>
      </c>
      <c r="J25" s="25">
        <v>44544</v>
      </c>
      <c r="K25" s="25">
        <v>45030</v>
      </c>
      <c r="L25" s="26">
        <f t="shared" si="0"/>
        <v>85</v>
      </c>
      <c r="M25" s="11">
        <v>5</v>
      </c>
      <c r="N25" s="11" t="s">
        <v>230</v>
      </c>
      <c r="O25" s="11" t="s">
        <v>230</v>
      </c>
      <c r="P25" s="39" t="s">
        <v>174</v>
      </c>
      <c r="Q25" s="11" t="s">
        <v>34</v>
      </c>
      <c r="R25" s="2">
        <f>S25+T25</f>
        <v>256921</v>
      </c>
      <c r="S25" s="30">
        <v>256921</v>
      </c>
      <c r="T25" s="41">
        <v>0</v>
      </c>
      <c r="U25" s="1">
        <f t="shared" si="2"/>
        <v>39293.800000000003</v>
      </c>
      <c r="V25" s="42">
        <v>39293.800000000003</v>
      </c>
      <c r="W25" s="42">
        <v>0</v>
      </c>
      <c r="X25" s="1">
        <f t="shared" si="7"/>
        <v>6045.2</v>
      </c>
      <c r="Y25" s="30">
        <v>6045.2</v>
      </c>
      <c r="Z25" s="30">
        <v>0</v>
      </c>
      <c r="AA25" s="2">
        <f>AB25+AC25</f>
        <v>0</v>
      </c>
      <c r="AB25" s="37">
        <v>0</v>
      </c>
      <c r="AC25" s="37">
        <v>0</v>
      </c>
      <c r="AD25" s="16">
        <f t="shared" si="6"/>
        <v>302260</v>
      </c>
      <c r="AE25" s="38">
        <v>0</v>
      </c>
      <c r="AF25" s="2">
        <f t="shared" si="4"/>
        <v>302260</v>
      </c>
      <c r="AG25" s="38" t="s">
        <v>486</v>
      </c>
      <c r="AH25" s="38"/>
      <c r="AI25" s="30">
        <v>1264.3800000000001</v>
      </c>
      <c r="AJ25" s="30">
        <v>193.38</v>
      </c>
    </row>
    <row r="26" spans="1:36" s="179" customFormat="1" ht="141.75" x14ac:dyDescent="0.25">
      <c r="A26" s="6">
        <v>23</v>
      </c>
      <c r="B26" s="31">
        <v>155162</v>
      </c>
      <c r="C26" s="11">
        <v>1216</v>
      </c>
      <c r="D26" s="9" t="s">
        <v>1639</v>
      </c>
      <c r="E26" s="24" t="s">
        <v>2024</v>
      </c>
      <c r="F26" s="31" t="s">
        <v>2139</v>
      </c>
      <c r="G26" s="11" t="s">
        <v>229</v>
      </c>
      <c r="H26" s="8" t="s">
        <v>151</v>
      </c>
      <c r="I26" s="44" t="s">
        <v>2628</v>
      </c>
      <c r="J26" s="25">
        <v>44663</v>
      </c>
      <c r="K26" s="25">
        <v>45150</v>
      </c>
      <c r="L26" s="26">
        <f t="shared" si="0"/>
        <v>85.000000479151623</v>
      </c>
      <c r="M26" s="11">
        <v>5</v>
      </c>
      <c r="N26" s="11" t="s">
        <v>230</v>
      </c>
      <c r="O26" s="11" t="s">
        <v>230</v>
      </c>
      <c r="P26" s="39" t="s">
        <v>174</v>
      </c>
      <c r="Q26" s="11" t="s">
        <v>34</v>
      </c>
      <c r="R26" s="2">
        <f>S26+T26</f>
        <v>1773968.71</v>
      </c>
      <c r="S26" s="30">
        <v>1773968.71</v>
      </c>
      <c r="T26" s="41">
        <v>0</v>
      </c>
      <c r="U26" s="1">
        <f t="shared" si="2"/>
        <v>271312.84999999998</v>
      </c>
      <c r="V26" s="42">
        <v>271312.84999999998</v>
      </c>
      <c r="W26" s="42">
        <v>0</v>
      </c>
      <c r="X26" s="1">
        <f t="shared" si="7"/>
        <v>41740.44</v>
      </c>
      <c r="Y26" s="30">
        <v>41740.44</v>
      </c>
      <c r="Z26" s="30">
        <v>0</v>
      </c>
      <c r="AA26" s="2">
        <f>AB26+AC26</f>
        <v>0</v>
      </c>
      <c r="AB26" s="37">
        <v>0</v>
      </c>
      <c r="AC26" s="37">
        <v>0</v>
      </c>
      <c r="AD26" s="16">
        <f t="shared" si="6"/>
        <v>2087022</v>
      </c>
      <c r="AE26" s="38">
        <v>0</v>
      </c>
      <c r="AF26" s="2">
        <f t="shared" si="4"/>
        <v>2087022</v>
      </c>
      <c r="AG26" s="38" t="s">
        <v>486</v>
      </c>
      <c r="AH26" s="38"/>
      <c r="AI26" s="30">
        <v>0</v>
      </c>
      <c r="AJ26" s="30">
        <v>0</v>
      </c>
    </row>
    <row r="27" spans="1:36" s="179" customFormat="1" ht="141.75" x14ac:dyDescent="0.25">
      <c r="A27" s="6">
        <v>24</v>
      </c>
      <c r="B27" s="31">
        <v>120652</v>
      </c>
      <c r="C27" s="11">
        <v>91</v>
      </c>
      <c r="D27" s="9" t="s">
        <v>1639</v>
      </c>
      <c r="E27" s="24" t="s">
        <v>277</v>
      </c>
      <c r="F27" s="11" t="s">
        <v>198</v>
      </c>
      <c r="G27" s="11" t="s">
        <v>575</v>
      </c>
      <c r="H27" s="8" t="s">
        <v>151</v>
      </c>
      <c r="I27" s="46" t="s">
        <v>203</v>
      </c>
      <c r="J27" s="25">
        <v>43145</v>
      </c>
      <c r="K27" s="25">
        <v>43510</v>
      </c>
      <c r="L27" s="26">
        <f t="shared" si="0"/>
        <v>84.999999389755786</v>
      </c>
      <c r="M27" s="11">
        <v>3</v>
      </c>
      <c r="N27" s="11" t="s">
        <v>200</v>
      </c>
      <c r="O27" s="11" t="s">
        <v>202</v>
      </c>
      <c r="P27" s="27" t="s">
        <v>174</v>
      </c>
      <c r="Q27" s="11" t="s">
        <v>34</v>
      </c>
      <c r="R27" s="2">
        <f t="shared" ref="R27" si="14">S27+T27</f>
        <v>348221.24</v>
      </c>
      <c r="S27" s="2">
        <v>348221.24</v>
      </c>
      <c r="T27" s="2">
        <v>0</v>
      </c>
      <c r="U27" s="1">
        <f t="shared" si="2"/>
        <v>53257.37</v>
      </c>
      <c r="V27" s="28">
        <v>53257.37</v>
      </c>
      <c r="W27" s="28">
        <v>0</v>
      </c>
      <c r="X27" s="1">
        <f t="shared" si="7"/>
        <v>8193.44</v>
      </c>
      <c r="Y27" s="2">
        <v>8193.44</v>
      </c>
      <c r="Z27" s="2">
        <v>0</v>
      </c>
      <c r="AA27" s="2">
        <f>AB27+AC27</f>
        <v>0</v>
      </c>
      <c r="AB27" s="2">
        <v>0</v>
      </c>
      <c r="AC27" s="2">
        <v>0</v>
      </c>
      <c r="AD27" s="16">
        <f t="shared" si="6"/>
        <v>409672.05</v>
      </c>
      <c r="AE27" s="2">
        <v>0</v>
      </c>
      <c r="AF27" s="2">
        <f t="shared" si="4"/>
        <v>409672.05</v>
      </c>
      <c r="AG27" s="21" t="s">
        <v>857</v>
      </c>
      <c r="AH27" s="29" t="s">
        <v>892</v>
      </c>
      <c r="AI27" s="30">
        <v>334492.68000000005</v>
      </c>
      <c r="AJ27" s="30">
        <v>51157.71</v>
      </c>
    </row>
    <row r="28" spans="1:36" s="179" customFormat="1" ht="141.75" x14ac:dyDescent="0.25">
      <c r="A28" s="6">
        <v>25</v>
      </c>
      <c r="B28" s="31">
        <v>118191</v>
      </c>
      <c r="C28" s="47">
        <v>423</v>
      </c>
      <c r="D28" s="32" t="s">
        <v>1640</v>
      </c>
      <c r="E28" s="24" t="s">
        <v>507</v>
      </c>
      <c r="F28" s="11" t="s">
        <v>574</v>
      </c>
      <c r="G28" s="11" t="s">
        <v>575</v>
      </c>
      <c r="H28" s="8" t="s">
        <v>151</v>
      </c>
      <c r="I28" s="12" t="s">
        <v>576</v>
      </c>
      <c r="J28" s="25">
        <v>43284</v>
      </c>
      <c r="K28" s="25">
        <v>43649</v>
      </c>
      <c r="L28" s="26">
        <f t="shared" si="0"/>
        <v>85.000001358659858</v>
      </c>
      <c r="M28" s="11">
        <v>3</v>
      </c>
      <c r="N28" s="11" t="s">
        <v>200</v>
      </c>
      <c r="O28" s="11" t="s">
        <v>202</v>
      </c>
      <c r="P28" s="27" t="s">
        <v>174</v>
      </c>
      <c r="Q28" s="11" t="s">
        <v>34</v>
      </c>
      <c r="R28" s="48">
        <v>250246.6</v>
      </c>
      <c r="S28" s="30">
        <v>250246.6</v>
      </c>
      <c r="T28" s="2">
        <v>0</v>
      </c>
      <c r="U28" s="1">
        <f t="shared" si="2"/>
        <v>38273</v>
      </c>
      <c r="V28" s="49">
        <v>38273</v>
      </c>
      <c r="W28" s="28">
        <v>0</v>
      </c>
      <c r="X28" s="1">
        <f t="shared" si="7"/>
        <v>5888.16</v>
      </c>
      <c r="Y28" s="2">
        <v>5888.16</v>
      </c>
      <c r="Z28" s="2">
        <v>0</v>
      </c>
      <c r="AA28" s="2">
        <f t="shared" ref="AA28:AA47" si="15">AB28+AC28</f>
        <v>0</v>
      </c>
      <c r="AB28" s="2">
        <v>0</v>
      </c>
      <c r="AC28" s="2">
        <v>0</v>
      </c>
      <c r="AD28" s="16">
        <f t="shared" si="6"/>
        <v>294407.75999999995</v>
      </c>
      <c r="AE28" s="2"/>
      <c r="AF28" s="2">
        <f t="shared" si="4"/>
        <v>294407.75999999995</v>
      </c>
      <c r="AG28" s="21" t="s">
        <v>857</v>
      </c>
      <c r="AH28" s="29" t="s">
        <v>151</v>
      </c>
      <c r="AI28" s="30">
        <v>234372.19999999998</v>
      </c>
      <c r="AJ28" s="30">
        <v>35845.47</v>
      </c>
    </row>
    <row r="29" spans="1:36" s="179" customFormat="1" ht="141.75" x14ac:dyDescent="0.25">
      <c r="A29" s="6">
        <v>26</v>
      </c>
      <c r="B29" s="31">
        <v>118741</v>
      </c>
      <c r="C29" s="11">
        <v>459</v>
      </c>
      <c r="D29" s="9" t="s">
        <v>1639</v>
      </c>
      <c r="E29" s="32" t="s">
        <v>457</v>
      </c>
      <c r="F29" s="11" t="s">
        <v>597</v>
      </c>
      <c r="G29" s="11" t="s">
        <v>598</v>
      </c>
      <c r="H29" s="8" t="s">
        <v>151</v>
      </c>
      <c r="I29" s="32" t="s">
        <v>2629</v>
      </c>
      <c r="J29" s="25">
        <v>43290</v>
      </c>
      <c r="K29" s="25">
        <v>43778</v>
      </c>
      <c r="L29" s="26">
        <f t="shared" si="0"/>
        <v>85.00000356420064</v>
      </c>
      <c r="M29" s="11">
        <v>3</v>
      </c>
      <c r="N29" s="25" t="s">
        <v>200</v>
      </c>
      <c r="O29" s="25" t="s">
        <v>202</v>
      </c>
      <c r="P29" s="25" t="s">
        <v>174</v>
      </c>
      <c r="Q29" s="11" t="s">
        <v>34</v>
      </c>
      <c r="R29" s="1">
        <v>512737.71</v>
      </c>
      <c r="S29" s="2">
        <v>512737.71</v>
      </c>
      <c r="T29" s="2">
        <v>0</v>
      </c>
      <c r="U29" s="1">
        <f t="shared" si="2"/>
        <v>78418.69</v>
      </c>
      <c r="V29" s="28">
        <v>78418.69</v>
      </c>
      <c r="W29" s="28">
        <v>0</v>
      </c>
      <c r="X29" s="1">
        <f t="shared" si="7"/>
        <v>12064.41</v>
      </c>
      <c r="Y29" s="2">
        <v>12064.41</v>
      </c>
      <c r="Z29" s="2">
        <v>0</v>
      </c>
      <c r="AA29" s="2">
        <f t="shared" si="15"/>
        <v>0</v>
      </c>
      <c r="AB29" s="2">
        <v>0</v>
      </c>
      <c r="AC29" s="2">
        <v>0</v>
      </c>
      <c r="AD29" s="16">
        <f t="shared" si="6"/>
        <v>603220.81000000006</v>
      </c>
      <c r="AE29" s="35"/>
      <c r="AF29" s="2">
        <f t="shared" si="4"/>
        <v>603220.81000000006</v>
      </c>
      <c r="AG29" s="21" t="s">
        <v>857</v>
      </c>
      <c r="AH29" s="35"/>
      <c r="AI29" s="30">
        <f>329928.18</f>
        <v>329928.18</v>
      </c>
      <c r="AJ29" s="30">
        <v>50459.58</v>
      </c>
    </row>
    <row r="30" spans="1:36" s="179" customFormat="1" ht="141.75" x14ac:dyDescent="0.25">
      <c r="A30" s="6">
        <v>27</v>
      </c>
      <c r="B30" s="31">
        <v>126349</v>
      </c>
      <c r="C30" s="11">
        <v>566</v>
      </c>
      <c r="D30" s="9" t="s">
        <v>1639</v>
      </c>
      <c r="E30" s="32" t="s">
        <v>899</v>
      </c>
      <c r="F30" s="11" t="s">
        <v>961</v>
      </c>
      <c r="G30" s="11" t="s">
        <v>575</v>
      </c>
      <c r="H30" s="8" t="s">
        <v>151</v>
      </c>
      <c r="I30" s="32" t="s">
        <v>962</v>
      </c>
      <c r="J30" s="25">
        <v>43482</v>
      </c>
      <c r="K30" s="25">
        <v>44547</v>
      </c>
      <c r="L30" s="26">
        <f t="shared" si="0"/>
        <v>85.000000750761799</v>
      </c>
      <c r="M30" s="11">
        <v>3</v>
      </c>
      <c r="N30" s="25" t="s">
        <v>200</v>
      </c>
      <c r="O30" s="25" t="s">
        <v>202</v>
      </c>
      <c r="P30" s="25" t="s">
        <v>174</v>
      </c>
      <c r="Q30" s="11" t="s">
        <v>34</v>
      </c>
      <c r="R30" s="1">
        <f>S30+T30</f>
        <v>3396550.05</v>
      </c>
      <c r="S30" s="2">
        <v>3396550.05</v>
      </c>
      <c r="T30" s="2">
        <v>0</v>
      </c>
      <c r="U30" s="1">
        <f t="shared" si="2"/>
        <v>519472.32</v>
      </c>
      <c r="V30" s="28">
        <v>519472.32</v>
      </c>
      <c r="W30" s="28">
        <v>0</v>
      </c>
      <c r="X30" s="1">
        <f t="shared" si="7"/>
        <v>79918.83</v>
      </c>
      <c r="Y30" s="2">
        <v>79918.83</v>
      </c>
      <c r="Z30" s="2">
        <v>0</v>
      </c>
      <c r="AA30" s="2">
        <f>AB30+AC30</f>
        <v>0</v>
      </c>
      <c r="AB30" s="2">
        <v>0</v>
      </c>
      <c r="AC30" s="2">
        <v>0</v>
      </c>
      <c r="AD30" s="16">
        <f t="shared" si="6"/>
        <v>3995941.1999999997</v>
      </c>
      <c r="AE30" s="35">
        <v>0</v>
      </c>
      <c r="AF30" s="2">
        <f t="shared" si="4"/>
        <v>3995941.1999999997</v>
      </c>
      <c r="AG30" s="38" t="s">
        <v>857</v>
      </c>
      <c r="AH30" s="38" t="s">
        <v>1800</v>
      </c>
      <c r="AI30" s="30">
        <f>571396.75+311875.46+135188.65+671264.55+7347.4+9570.15+1140863.71+14280+112308.8+26117.67</f>
        <v>3000213.1399999997</v>
      </c>
      <c r="AJ30" s="30">
        <f>87390.09+47698.6+20675.91+102663.99+1123.72+1463.67+174485.04+2184+17176.64+3994.46</f>
        <v>458856.12000000005</v>
      </c>
    </row>
    <row r="31" spans="1:36" s="179" customFormat="1" ht="141.75" x14ac:dyDescent="0.25">
      <c r="A31" s="6">
        <v>28</v>
      </c>
      <c r="B31" s="31">
        <v>128987</v>
      </c>
      <c r="C31" s="11">
        <v>649</v>
      </c>
      <c r="D31" s="9" t="s">
        <v>1639</v>
      </c>
      <c r="E31" s="50" t="s">
        <v>1071</v>
      </c>
      <c r="F31" s="31" t="s">
        <v>1097</v>
      </c>
      <c r="G31" s="11" t="s">
        <v>598</v>
      </c>
      <c r="H31" s="8" t="s">
        <v>151</v>
      </c>
      <c r="I31" s="32" t="s">
        <v>2630</v>
      </c>
      <c r="J31" s="25">
        <v>43626</v>
      </c>
      <c r="K31" s="25">
        <v>44814</v>
      </c>
      <c r="L31" s="26">
        <f t="shared" si="0"/>
        <v>85.000000101931988</v>
      </c>
      <c r="M31" s="11">
        <v>3</v>
      </c>
      <c r="N31" s="25" t="s">
        <v>200</v>
      </c>
      <c r="O31" s="25" t="s">
        <v>202</v>
      </c>
      <c r="P31" s="25" t="s">
        <v>174</v>
      </c>
      <c r="Q31" s="11" t="s">
        <v>34</v>
      </c>
      <c r="R31" s="1">
        <f>S31+T31</f>
        <v>2501668.17</v>
      </c>
      <c r="S31" s="2">
        <v>2501668.17</v>
      </c>
      <c r="T31" s="2">
        <v>0</v>
      </c>
      <c r="U31" s="1">
        <f t="shared" si="2"/>
        <v>382608.07</v>
      </c>
      <c r="V31" s="28">
        <v>382608.07</v>
      </c>
      <c r="W31" s="28">
        <v>0</v>
      </c>
      <c r="X31" s="1">
        <f t="shared" si="7"/>
        <v>58862.78</v>
      </c>
      <c r="Y31" s="2">
        <v>58862.78</v>
      </c>
      <c r="Z31" s="2">
        <v>0</v>
      </c>
      <c r="AA31" s="2">
        <f>AB31+AC31</f>
        <v>0</v>
      </c>
      <c r="AB31" s="2">
        <v>0</v>
      </c>
      <c r="AC31" s="2">
        <v>0</v>
      </c>
      <c r="AD31" s="16">
        <f t="shared" si="6"/>
        <v>2943139.0199999996</v>
      </c>
      <c r="AE31" s="51">
        <v>0</v>
      </c>
      <c r="AF31" s="2">
        <f t="shared" si="4"/>
        <v>2943139.0199999996</v>
      </c>
      <c r="AG31" s="38" t="s">
        <v>857</v>
      </c>
      <c r="AH31" s="38" t="s">
        <v>3112</v>
      </c>
      <c r="AI31" s="30">
        <f>172108.45+69321.51+212559.13+207716.59+176610.66+97419.49+160542.85+209481.3+68912.47</f>
        <v>1374672.4500000002</v>
      </c>
      <c r="AJ31" s="30">
        <f>26322.47+10602.12+32509.04+31768.42+27011.04+14899.45+24553.61+32038.33+10539.55</f>
        <v>210244.03000000003</v>
      </c>
    </row>
    <row r="32" spans="1:36" s="179" customFormat="1" ht="141.75" x14ac:dyDescent="0.25">
      <c r="A32" s="6">
        <v>29</v>
      </c>
      <c r="B32" s="31">
        <v>135776</v>
      </c>
      <c r="C32" s="11">
        <v>799</v>
      </c>
      <c r="D32" s="9" t="s">
        <v>1639</v>
      </c>
      <c r="E32" s="24" t="s">
        <v>1441</v>
      </c>
      <c r="F32" s="31" t="s">
        <v>1900</v>
      </c>
      <c r="G32" s="11" t="s">
        <v>575</v>
      </c>
      <c r="H32" s="8" t="s">
        <v>151</v>
      </c>
      <c r="I32" s="32" t="s">
        <v>1498</v>
      </c>
      <c r="J32" s="25">
        <v>43969</v>
      </c>
      <c r="K32" s="25">
        <v>44913</v>
      </c>
      <c r="L32" s="26">
        <f t="shared" si="0"/>
        <v>85.000000325618146</v>
      </c>
      <c r="M32" s="11">
        <v>3</v>
      </c>
      <c r="N32" s="25" t="s">
        <v>200</v>
      </c>
      <c r="O32" s="25" t="s">
        <v>202</v>
      </c>
      <c r="P32" s="25" t="s">
        <v>174</v>
      </c>
      <c r="Q32" s="11" t="s">
        <v>34</v>
      </c>
      <c r="R32" s="1">
        <f>S32+T32</f>
        <v>783125.93</v>
      </c>
      <c r="S32" s="2">
        <v>783125.93</v>
      </c>
      <c r="T32" s="2">
        <v>0</v>
      </c>
      <c r="U32" s="1">
        <f t="shared" si="2"/>
        <v>119772.2</v>
      </c>
      <c r="V32" s="28">
        <v>119772.2</v>
      </c>
      <c r="W32" s="28">
        <v>0</v>
      </c>
      <c r="X32" s="1">
        <f t="shared" si="7"/>
        <v>18426.490000000002</v>
      </c>
      <c r="Y32" s="2">
        <v>18426.490000000002</v>
      </c>
      <c r="Z32" s="2">
        <v>0</v>
      </c>
      <c r="AA32" s="2">
        <f>AB32+AC32</f>
        <v>0</v>
      </c>
      <c r="AB32" s="2">
        <v>0</v>
      </c>
      <c r="AC32" s="2">
        <v>0</v>
      </c>
      <c r="AD32" s="16">
        <f t="shared" si="6"/>
        <v>921324.62</v>
      </c>
      <c r="AE32" s="51">
        <v>0</v>
      </c>
      <c r="AF32" s="2">
        <f t="shared" si="4"/>
        <v>921324.62</v>
      </c>
      <c r="AG32" s="38" t="s">
        <v>486</v>
      </c>
      <c r="AH32" s="38" t="s">
        <v>1811</v>
      </c>
      <c r="AI32" s="30">
        <f>27777.15+74882.45+3759.55+6011.2+5931.3</f>
        <v>118361.65000000001</v>
      </c>
      <c r="AJ32" s="30">
        <f>4248.27+11452.61+574.99+919.36+907.14</f>
        <v>18102.37</v>
      </c>
    </row>
    <row r="33" spans="1:36" s="179" customFormat="1" ht="189" x14ac:dyDescent="0.25">
      <c r="A33" s="6">
        <v>30</v>
      </c>
      <c r="B33" s="31">
        <v>154877</v>
      </c>
      <c r="C33" s="11">
        <v>1241</v>
      </c>
      <c r="D33" s="9" t="s">
        <v>1639</v>
      </c>
      <c r="E33" s="24" t="s">
        <v>2024</v>
      </c>
      <c r="F33" s="31" t="s">
        <v>2208</v>
      </c>
      <c r="G33" s="11" t="s">
        <v>2207</v>
      </c>
      <c r="H33" s="8" t="s">
        <v>151</v>
      </c>
      <c r="I33" s="32" t="s">
        <v>2631</v>
      </c>
      <c r="J33" s="25">
        <v>44691</v>
      </c>
      <c r="K33" s="25">
        <v>45179</v>
      </c>
      <c r="L33" s="26">
        <f t="shared" si="0"/>
        <v>84.999999965049</v>
      </c>
      <c r="M33" s="11">
        <v>3</v>
      </c>
      <c r="N33" s="25" t="s">
        <v>200</v>
      </c>
      <c r="O33" s="25" t="s">
        <v>2209</v>
      </c>
      <c r="P33" s="25" t="s">
        <v>174</v>
      </c>
      <c r="Q33" s="11" t="s">
        <v>34</v>
      </c>
      <c r="R33" s="1">
        <f>S33+T33</f>
        <v>3647964.03</v>
      </c>
      <c r="S33" s="2">
        <v>3647964.03</v>
      </c>
      <c r="T33" s="2">
        <v>0</v>
      </c>
      <c r="U33" s="1">
        <f t="shared" si="2"/>
        <v>557923.91</v>
      </c>
      <c r="V33" s="28">
        <v>557923.91</v>
      </c>
      <c r="W33" s="28">
        <v>0</v>
      </c>
      <c r="X33" s="1">
        <f t="shared" si="7"/>
        <v>85834.45</v>
      </c>
      <c r="Y33" s="2">
        <v>85834.45</v>
      </c>
      <c r="Z33" s="2">
        <v>0</v>
      </c>
      <c r="AA33" s="2">
        <f>AB33+AC33</f>
        <v>0</v>
      </c>
      <c r="AB33" s="2">
        <v>0</v>
      </c>
      <c r="AC33" s="2">
        <v>0</v>
      </c>
      <c r="AD33" s="16">
        <f t="shared" si="6"/>
        <v>4291722.3899999997</v>
      </c>
      <c r="AE33" s="51">
        <v>0</v>
      </c>
      <c r="AF33" s="2">
        <f t="shared" si="4"/>
        <v>4291722.3899999997</v>
      </c>
      <c r="AG33" s="38" t="s">
        <v>486</v>
      </c>
      <c r="AH33" s="38"/>
      <c r="AI33" s="30">
        <v>429000</v>
      </c>
      <c r="AJ33" s="30">
        <v>0</v>
      </c>
    </row>
    <row r="34" spans="1:36" s="179" customFormat="1" ht="141.75" x14ac:dyDescent="0.25">
      <c r="A34" s="6">
        <v>31</v>
      </c>
      <c r="B34" s="31">
        <v>119613</v>
      </c>
      <c r="C34" s="11">
        <v>461</v>
      </c>
      <c r="D34" s="9" t="s">
        <v>1639</v>
      </c>
      <c r="E34" s="32" t="s">
        <v>457</v>
      </c>
      <c r="F34" s="11" t="s">
        <v>1901</v>
      </c>
      <c r="G34" s="11" t="s">
        <v>726</v>
      </c>
      <c r="H34" s="8" t="s">
        <v>151</v>
      </c>
      <c r="I34" s="32" t="s">
        <v>2632</v>
      </c>
      <c r="J34" s="25">
        <v>43320</v>
      </c>
      <c r="K34" s="25">
        <v>43646</v>
      </c>
      <c r="L34" s="26">
        <f t="shared" si="0"/>
        <v>85.00000179686964</v>
      </c>
      <c r="M34" s="11">
        <v>1</v>
      </c>
      <c r="N34" s="11" t="s">
        <v>290</v>
      </c>
      <c r="O34" s="11" t="s">
        <v>290</v>
      </c>
      <c r="P34" s="25" t="s">
        <v>174</v>
      </c>
      <c r="Q34" s="11" t="s">
        <v>34</v>
      </c>
      <c r="R34" s="2">
        <f t="shared" ref="R34" si="16">S34+T34</f>
        <v>236522.45</v>
      </c>
      <c r="S34" s="2">
        <v>236522.45</v>
      </c>
      <c r="T34" s="2">
        <v>0</v>
      </c>
      <c r="U34" s="1">
        <f t="shared" si="2"/>
        <v>36174.019999999997</v>
      </c>
      <c r="V34" s="52">
        <v>36174.019999999997</v>
      </c>
      <c r="W34" s="53">
        <v>0</v>
      </c>
      <c r="X34" s="1">
        <f t="shared" si="7"/>
        <v>5565.23</v>
      </c>
      <c r="Y34" s="40">
        <v>5565.23</v>
      </c>
      <c r="Z34" s="54">
        <v>0</v>
      </c>
      <c r="AA34" s="2">
        <v>0</v>
      </c>
      <c r="AB34" s="2">
        <v>0</v>
      </c>
      <c r="AC34" s="2">
        <v>0</v>
      </c>
      <c r="AD34" s="16">
        <f t="shared" si="6"/>
        <v>278261.7</v>
      </c>
      <c r="AE34" s="2">
        <v>37449.300000000003</v>
      </c>
      <c r="AF34" s="2">
        <f t="shared" si="4"/>
        <v>315711</v>
      </c>
      <c r="AG34" s="21" t="s">
        <v>857</v>
      </c>
      <c r="AH34" s="29" t="s">
        <v>1079</v>
      </c>
      <c r="AI34" s="30">
        <v>227036.25</v>
      </c>
      <c r="AJ34" s="30">
        <v>34723.18</v>
      </c>
    </row>
    <row r="35" spans="1:36" s="179" customFormat="1" ht="283.5" x14ac:dyDescent="0.25">
      <c r="A35" s="6">
        <v>32</v>
      </c>
      <c r="B35" s="31">
        <v>118515</v>
      </c>
      <c r="C35" s="11">
        <v>429</v>
      </c>
      <c r="D35" s="32" t="s">
        <v>1640</v>
      </c>
      <c r="E35" s="32" t="s">
        <v>507</v>
      </c>
      <c r="F35" s="11" t="s">
        <v>768</v>
      </c>
      <c r="G35" s="11" t="s">
        <v>726</v>
      </c>
      <c r="H35" s="8" t="s">
        <v>151</v>
      </c>
      <c r="I35" s="32" t="s">
        <v>769</v>
      </c>
      <c r="J35" s="25">
        <v>43333</v>
      </c>
      <c r="K35" s="25">
        <v>43820</v>
      </c>
      <c r="L35" s="26">
        <f t="shared" si="0"/>
        <v>85</v>
      </c>
      <c r="M35" s="11">
        <v>1</v>
      </c>
      <c r="N35" s="11" t="s">
        <v>290</v>
      </c>
      <c r="O35" s="11" t="s">
        <v>290</v>
      </c>
      <c r="P35" s="25" t="s">
        <v>174</v>
      </c>
      <c r="Q35" s="11" t="s">
        <v>34</v>
      </c>
      <c r="R35" s="2">
        <f t="shared" ref="R35:R36" si="17">S35+T35</f>
        <v>339452.6</v>
      </c>
      <c r="S35" s="30">
        <v>339452.6</v>
      </c>
      <c r="T35" s="30">
        <v>0</v>
      </c>
      <c r="U35" s="1">
        <f t="shared" si="2"/>
        <v>51916.28</v>
      </c>
      <c r="V35" s="42">
        <v>51916.28</v>
      </c>
      <c r="W35" s="55">
        <v>0</v>
      </c>
      <c r="X35" s="1">
        <f t="shared" si="7"/>
        <v>7987.12</v>
      </c>
      <c r="Y35" s="30">
        <v>7987.12</v>
      </c>
      <c r="Z35" s="30">
        <v>0</v>
      </c>
      <c r="AA35" s="2">
        <f t="shared" si="15"/>
        <v>0</v>
      </c>
      <c r="AB35" s="2">
        <v>0</v>
      </c>
      <c r="AC35" s="2">
        <v>0</v>
      </c>
      <c r="AD35" s="16">
        <f t="shared" si="6"/>
        <v>399356</v>
      </c>
      <c r="AE35" s="2">
        <v>58024.99</v>
      </c>
      <c r="AF35" s="2">
        <f t="shared" si="4"/>
        <v>457380.99</v>
      </c>
      <c r="AG35" s="38" t="s">
        <v>857</v>
      </c>
      <c r="AH35" s="29" t="s">
        <v>151</v>
      </c>
      <c r="AI35" s="30">
        <v>321570.08</v>
      </c>
      <c r="AJ35" s="30">
        <v>49181.31</v>
      </c>
    </row>
    <row r="36" spans="1:36" s="179" customFormat="1" ht="157.5" x14ac:dyDescent="0.25">
      <c r="A36" s="6">
        <v>33</v>
      </c>
      <c r="B36" s="31">
        <v>126161</v>
      </c>
      <c r="C36" s="11">
        <v>571</v>
      </c>
      <c r="D36" s="9" t="s">
        <v>1639</v>
      </c>
      <c r="E36" s="32" t="s">
        <v>899</v>
      </c>
      <c r="F36" s="11" t="s">
        <v>920</v>
      </c>
      <c r="G36" s="11" t="s">
        <v>287</v>
      </c>
      <c r="H36" s="8" t="s">
        <v>151</v>
      </c>
      <c r="I36" s="32" t="s">
        <v>921</v>
      </c>
      <c r="J36" s="25">
        <v>43444</v>
      </c>
      <c r="K36" s="25">
        <v>44691</v>
      </c>
      <c r="L36" s="26">
        <f t="shared" si="0"/>
        <v>84.999999835393808</v>
      </c>
      <c r="M36" s="11">
        <v>1</v>
      </c>
      <c r="N36" s="11" t="s">
        <v>290</v>
      </c>
      <c r="O36" s="11" t="s">
        <v>290</v>
      </c>
      <c r="P36" s="25" t="s">
        <v>174</v>
      </c>
      <c r="Q36" s="11" t="s">
        <v>34</v>
      </c>
      <c r="R36" s="2">
        <f t="shared" si="17"/>
        <v>2323727.9300000002</v>
      </c>
      <c r="S36" s="30">
        <v>2323727.9300000002</v>
      </c>
      <c r="T36" s="30">
        <v>0</v>
      </c>
      <c r="U36" s="1">
        <f t="shared" si="2"/>
        <v>355393.68</v>
      </c>
      <c r="V36" s="42">
        <v>355393.68</v>
      </c>
      <c r="W36" s="55">
        <v>0</v>
      </c>
      <c r="X36" s="1">
        <f t="shared" si="7"/>
        <v>54675.96</v>
      </c>
      <c r="Y36" s="30">
        <v>54675.96</v>
      </c>
      <c r="Z36" s="30">
        <v>0</v>
      </c>
      <c r="AA36" s="2">
        <f t="shared" si="15"/>
        <v>0</v>
      </c>
      <c r="AB36" s="2">
        <v>0</v>
      </c>
      <c r="AC36" s="2">
        <v>0</v>
      </c>
      <c r="AD36" s="16">
        <f t="shared" si="6"/>
        <v>2733797.5700000003</v>
      </c>
      <c r="AE36" s="2">
        <v>80920</v>
      </c>
      <c r="AF36" s="2">
        <f t="shared" si="4"/>
        <v>2814717.5700000003</v>
      </c>
      <c r="AG36" s="38" t="s">
        <v>857</v>
      </c>
      <c r="AH36" s="29" t="s">
        <v>1818</v>
      </c>
      <c r="AI36" s="30">
        <f>250763.77+23449.8+19694.5+1046062.95+19963.1+59091.83+236490.4+39448.5+58262.4+14191.35+86759.48+263614.85</f>
        <v>2117792.9300000002</v>
      </c>
      <c r="AJ36" s="30">
        <f>38352.11+3586.44+3012.1+159986.1+3053.18+9037.57+36169.12+6033.3+8910.72+2170.43+13269.1+40317.57</f>
        <v>323897.73999999993</v>
      </c>
    </row>
    <row r="37" spans="1:36" s="179" customFormat="1" ht="141.75" x14ac:dyDescent="0.25">
      <c r="A37" s="6">
        <v>34</v>
      </c>
      <c r="B37" s="31">
        <v>128880</v>
      </c>
      <c r="C37" s="11">
        <v>652</v>
      </c>
      <c r="D37" s="9" t="s">
        <v>1639</v>
      </c>
      <c r="E37" s="32" t="s">
        <v>1071</v>
      </c>
      <c r="F37" s="11" t="s">
        <v>1131</v>
      </c>
      <c r="G37" s="11" t="s">
        <v>726</v>
      </c>
      <c r="H37" s="8" t="s">
        <v>151</v>
      </c>
      <c r="I37" s="32" t="s">
        <v>1132</v>
      </c>
      <c r="J37" s="25">
        <v>43643</v>
      </c>
      <c r="K37" s="25">
        <v>44557</v>
      </c>
      <c r="L37" s="26">
        <f t="shared" si="0"/>
        <v>85</v>
      </c>
      <c r="M37" s="11">
        <v>1</v>
      </c>
      <c r="N37" s="11" t="s">
        <v>290</v>
      </c>
      <c r="O37" s="11" t="s">
        <v>290</v>
      </c>
      <c r="P37" s="25" t="s">
        <v>174</v>
      </c>
      <c r="Q37" s="11" t="s">
        <v>34</v>
      </c>
      <c r="R37" s="2">
        <f>S37+T37</f>
        <v>2545487.35</v>
      </c>
      <c r="S37" s="30">
        <v>2545487.35</v>
      </c>
      <c r="T37" s="30">
        <v>0</v>
      </c>
      <c r="U37" s="1">
        <f t="shared" si="2"/>
        <v>389309.83</v>
      </c>
      <c r="V37" s="42">
        <v>389309.83</v>
      </c>
      <c r="W37" s="42">
        <v>0</v>
      </c>
      <c r="X37" s="1">
        <f t="shared" si="7"/>
        <v>59893.82</v>
      </c>
      <c r="Y37" s="30">
        <v>59893.82</v>
      </c>
      <c r="Z37" s="30">
        <v>0</v>
      </c>
      <c r="AA37" s="2">
        <f>AB37+AC37</f>
        <v>0</v>
      </c>
      <c r="AB37" s="1">
        <v>0</v>
      </c>
      <c r="AC37" s="1">
        <v>0</v>
      </c>
      <c r="AD37" s="16">
        <f t="shared" si="6"/>
        <v>2994691</v>
      </c>
      <c r="AE37" s="2">
        <v>0</v>
      </c>
      <c r="AF37" s="2">
        <f t="shared" si="4"/>
        <v>2994691</v>
      </c>
      <c r="AG37" s="38" t="s">
        <v>857</v>
      </c>
      <c r="AH37" s="29" t="s">
        <v>1689</v>
      </c>
      <c r="AI37" s="30">
        <f>1923767.25+34464.05+214238.9+30679.2+21241.5+23456.06</f>
        <v>2247846.9600000004</v>
      </c>
      <c r="AJ37" s="30">
        <f>294223.22+5270.97+32765.95+4692.12+3248.7+3587.4</f>
        <v>343788.36</v>
      </c>
    </row>
    <row r="38" spans="1:36" s="179" customFormat="1" ht="141.75" x14ac:dyDescent="0.25">
      <c r="A38" s="6">
        <v>35</v>
      </c>
      <c r="B38" s="31">
        <v>120769</v>
      </c>
      <c r="C38" s="11">
        <v>96</v>
      </c>
      <c r="D38" s="9" t="s">
        <v>1639</v>
      </c>
      <c r="E38" s="24" t="s">
        <v>277</v>
      </c>
      <c r="F38" s="11" t="s">
        <v>1902</v>
      </c>
      <c r="G38" s="11" t="s">
        <v>287</v>
      </c>
      <c r="H38" s="11" t="s">
        <v>288</v>
      </c>
      <c r="I38" s="45" t="s">
        <v>289</v>
      </c>
      <c r="J38" s="25">
        <v>43186</v>
      </c>
      <c r="K38" s="25">
        <v>43673</v>
      </c>
      <c r="L38" s="26">
        <f t="shared" si="0"/>
        <v>84.154097257132506</v>
      </c>
      <c r="M38" s="11">
        <v>1</v>
      </c>
      <c r="N38" s="11" t="s">
        <v>290</v>
      </c>
      <c r="O38" s="11" t="s">
        <v>290</v>
      </c>
      <c r="P38" s="27" t="s">
        <v>174</v>
      </c>
      <c r="Q38" s="11" t="s">
        <v>34</v>
      </c>
      <c r="R38" s="2">
        <f t="shared" ref="R38:R45" si="18">S38+T38</f>
        <v>357519.4</v>
      </c>
      <c r="S38" s="2">
        <v>357519.4</v>
      </c>
      <c r="T38" s="2">
        <v>0</v>
      </c>
      <c r="U38" s="1">
        <f t="shared" si="2"/>
        <v>58822.79</v>
      </c>
      <c r="V38" s="28">
        <v>58822.79</v>
      </c>
      <c r="W38" s="28">
        <v>0</v>
      </c>
      <c r="X38" s="1">
        <f t="shared" si="7"/>
        <v>8496.7800000000007</v>
      </c>
      <c r="Y38" s="2">
        <v>8496.7800000000007</v>
      </c>
      <c r="Z38" s="2">
        <v>0</v>
      </c>
      <c r="AA38" s="2">
        <f t="shared" ref="AA38" si="19">AB38+AC38</f>
        <v>0</v>
      </c>
      <c r="AB38" s="2">
        <v>0</v>
      </c>
      <c r="AC38" s="2">
        <v>0</v>
      </c>
      <c r="AD38" s="16">
        <f t="shared" si="6"/>
        <v>424838.97000000003</v>
      </c>
      <c r="AE38" s="2">
        <v>0</v>
      </c>
      <c r="AF38" s="2">
        <f t="shared" si="4"/>
        <v>424838.97000000003</v>
      </c>
      <c r="AG38" s="38" t="s">
        <v>857</v>
      </c>
      <c r="AH38" s="29" t="s">
        <v>151</v>
      </c>
      <c r="AI38" s="30">
        <v>328987.4200000001</v>
      </c>
      <c r="AJ38" s="30">
        <v>54146.78</v>
      </c>
    </row>
    <row r="39" spans="1:36" s="179" customFormat="1" ht="267.75" x14ac:dyDescent="0.25">
      <c r="A39" s="6">
        <v>36</v>
      </c>
      <c r="B39" s="31">
        <v>128863</v>
      </c>
      <c r="C39" s="11">
        <v>638</v>
      </c>
      <c r="D39" s="9" t="s">
        <v>1639</v>
      </c>
      <c r="E39" s="24" t="s">
        <v>1071</v>
      </c>
      <c r="F39" s="11" t="s">
        <v>1195</v>
      </c>
      <c r="G39" s="11" t="s">
        <v>1196</v>
      </c>
      <c r="H39" s="8" t="s">
        <v>151</v>
      </c>
      <c r="I39" s="45" t="s">
        <v>2633</v>
      </c>
      <c r="J39" s="25">
        <v>43679</v>
      </c>
      <c r="K39" s="25">
        <v>44471</v>
      </c>
      <c r="L39" s="26">
        <f t="shared" si="0"/>
        <v>84.99999967540424</v>
      </c>
      <c r="M39" s="11">
        <v>1</v>
      </c>
      <c r="N39" s="11" t="s">
        <v>290</v>
      </c>
      <c r="O39" s="11" t="s">
        <v>1197</v>
      </c>
      <c r="P39" s="27" t="s">
        <v>174</v>
      </c>
      <c r="Q39" s="11" t="s">
        <v>34</v>
      </c>
      <c r="R39" s="2">
        <f t="shared" si="18"/>
        <v>2356777.4300000002</v>
      </c>
      <c r="S39" s="2">
        <v>2356777.4300000002</v>
      </c>
      <c r="T39" s="2">
        <v>0</v>
      </c>
      <c r="U39" s="1">
        <f t="shared" si="2"/>
        <v>360448.32</v>
      </c>
      <c r="V39" s="28">
        <v>360448.32</v>
      </c>
      <c r="W39" s="28">
        <v>0</v>
      </c>
      <c r="X39" s="1">
        <f t="shared" si="7"/>
        <v>55453.59</v>
      </c>
      <c r="Y39" s="2">
        <v>55453.59</v>
      </c>
      <c r="Z39" s="2">
        <v>0</v>
      </c>
      <c r="AA39" s="2">
        <v>0</v>
      </c>
      <c r="AB39" s="2">
        <v>0</v>
      </c>
      <c r="AC39" s="2">
        <v>0</v>
      </c>
      <c r="AD39" s="16">
        <f t="shared" si="6"/>
        <v>2772679.34</v>
      </c>
      <c r="AE39" s="2">
        <v>0</v>
      </c>
      <c r="AF39" s="2">
        <f t="shared" si="4"/>
        <v>2772679.34</v>
      </c>
      <c r="AG39" s="38" t="s">
        <v>857</v>
      </c>
      <c r="AH39" s="29" t="s">
        <v>1734</v>
      </c>
      <c r="AI39" s="30">
        <f>2811.97+97537.5+36969.05+997291.46+249334.75+469958.2+472269.35+4652.9</f>
        <v>2330825.1799999997</v>
      </c>
      <c r="AJ39" s="30">
        <f>430.07+14917.5+5654.09+152526.93+38133.55+71875.96+72229.43+711.62</f>
        <v>356479.15</v>
      </c>
    </row>
    <row r="40" spans="1:36" s="179" customFormat="1" ht="267.75" x14ac:dyDescent="0.25">
      <c r="A40" s="6">
        <v>37</v>
      </c>
      <c r="B40" s="31">
        <v>135485</v>
      </c>
      <c r="C40" s="11">
        <v>790</v>
      </c>
      <c r="D40" s="9" t="s">
        <v>1639</v>
      </c>
      <c r="E40" s="24" t="s">
        <v>1441</v>
      </c>
      <c r="F40" s="11" t="s">
        <v>1449</v>
      </c>
      <c r="G40" s="11" t="s">
        <v>1196</v>
      </c>
      <c r="H40" s="8" t="s">
        <v>151</v>
      </c>
      <c r="I40" s="12" t="s">
        <v>2634</v>
      </c>
      <c r="J40" s="25">
        <v>43949</v>
      </c>
      <c r="K40" s="25">
        <v>44832</v>
      </c>
      <c r="L40" s="26">
        <f t="shared" si="0"/>
        <v>85.000000553699934</v>
      </c>
      <c r="M40" s="11">
        <v>1</v>
      </c>
      <c r="N40" s="11" t="s">
        <v>290</v>
      </c>
      <c r="O40" s="11" t="s">
        <v>1197</v>
      </c>
      <c r="P40" s="27" t="s">
        <v>174</v>
      </c>
      <c r="Q40" s="11" t="s">
        <v>1450</v>
      </c>
      <c r="R40" s="2">
        <f t="shared" si="18"/>
        <v>2302691.2400000002</v>
      </c>
      <c r="S40" s="2">
        <v>2302691.2400000002</v>
      </c>
      <c r="T40" s="2">
        <v>0</v>
      </c>
      <c r="U40" s="1">
        <f t="shared" si="2"/>
        <v>352176.29</v>
      </c>
      <c r="V40" s="28">
        <v>352176.29</v>
      </c>
      <c r="W40" s="28">
        <v>0</v>
      </c>
      <c r="X40" s="1">
        <f t="shared" si="7"/>
        <v>54180.969999999994</v>
      </c>
      <c r="Y40" s="2">
        <v>54180.969999999994</v>
      </c>
      <c r="Z40" s="2">
        <v>0</v>
      </c>
      <c r="AA40" s="2">
        <v>0</v>
      </c>
      <c r="AB40" s="2">
        <v>0</v>
      </c>
      <c r="AC40" s="2">
        <v>0</v>
      </c>
      <c r="AD40" s="16">
        <f t="shared" si="6"/>
        <v>2709048.5000000005</v>
      </c>
      <c r="AE40" s="2">
        <v>0</v>
      </c>
      <c r="AF40" s="2">
        <f t="shared" si="4"/>
        <v>2709048.5000000005</v>
      </c>
      <c r="AG40" s="38" t="s">
        <v>486</v>
      </c>
      <c r="AH40" s="29" t="s">
        <v>1843</v>
      </c>
      <c r="AI40" s="30">
        <f>24515.7+74707.79+52395.7+50365.26+13233.65+1052263.46+19737</f>
        <v>1287218.56</v>
      </c>
      <c r="AJ40" s="30">
        <f>3749.46+11425.9+8013.46+7702.92+2023.97+160934.4+3018.6</f>
        <v>196868.71</v>
      </c>
    </row>
    <row r="41" spans="1:36" s="179" customFormat="1" ht="267.75" x14ac:dyDescent="0.25">
      <c r="A41" s="6">
        <v>38</v>
      </c>
      <c r="B41" s="31">
        <v>136322</v>
      </c>
      <c r="C41" s="11">
        <v>833</v>
      </c>
      <c r="D41" s="9" t="s">
        <v>1639</v>
      </c>
      <c r="E41" s="24" t="s">
        <v>1441</v>
      </c>
      <c r="F41" s="11" t="s">
        <v>1452</v>
      </c>
      <c r="G41" s="11" t="s">
        <v>287</v>
      </c>
      <c r="H41" s="8" t="s">
        <v>151</v>
      </c>
      <c r="I41" s="12" t="s">
        <v>2635</v>
      </c>
      <c r="J41" s="25">
        <v>43957</v>
      </c>
      <c r="K41" s="25">
        <v>44687</v>
      </c>
      <c r="L41" s="26">
        <f t="shared" si="0"/>
        <v>85</v>
      </c>
      <c r="M41" s="11">
        <v>1</v>
      </c>
      <c r="N41" s="11" t="s">
        <v>290</v>
      </c>
      <c r="O41" s="11" t="s">
        <v>290</v>
      </c>
      <c r="P41" s="27" t="s">
        <v>174</v>
      </c>
      <c r="Q41" s="11" t="s">
        <v>1450</v>
      </c>
      <c r="R41" s="2">
        <f t="shared" si="18"/>
        <v>813366.19</v>
      </c>
      <c r="S41" s="2">
        <v>813366.19</v>
      </c>
      <c r="T41" s="2">
        <v>0</v>
      </c>
      <c r="U41" s="1">
        <f t="shared" si="2"/>
        <v>124397.18</v>
      </c>
      <c r="V41" s="28">
        <v>124397.18</v>
      </c>
      <c r="W41" s="28">
        <v>0</v>
      </c>
      <c r="X41" s="1">
        <f t="shared" si="7"/>
        <v>19138.03</v>
      </c>
      <c r="Y41" s="2">
        <v>19138.03</v>
      </c>
      <c r="Z41" s="2">
        <v>0</v>
      </c>
      <c r="AA41" s="2">
        <v>0</v>
      </c>
      <c r="AB41" s="2">
        <v>0</v>
      </c>
      <c r="AC41" s="2">
        <v>0</v>
      </c>
      <c r="AD41" s="16">
        <f t="shared" si="6"/>
        <v>956901.39999999991</v>
      </c>
      <c r="AE41" s="2">
        <v>0</v>
      </c>
      <c r="AF41" s="2">
        <f t="shared" si="4"/>
        <v>956901.39999999991</v>
      </c>
      <c r="AG41" s="38" t="s">
        <v>857</v>
      </c>
      <c r="AH41" s="29" t="s">
        <v>1974</v>
      </c>
      <c r="AI41" s="30">
        <f>35884.37+50135.18+9778.4+63310.55+10298.6+24197.63+118421.46+225302.7+8545.05+12423.6+97068.92</f>
        <v>655366.46000000008</v>
      </c>
      <c r="AJ41" s="30">
        <f>5488.19+7667.73+1495.52+9682.79+1575.08+3700.81+18111.52+34458.06+1306.89+1900.08+14845.84</f>
        <v>100232.51</v>
      </c>
    </row>
    <row r="42" spans="1:36" s="179" customFormat="1" ht="267.75" x14ac:dyDescent="0.25">
      <c r="A42" s="6">
        <v>39</v>
      </c>
      <c r="B42" s="31">
        <v>136013</v>
      </c>
      <c r="C42" s="11">
        <v>808</v>
      </c>
      <c r="D42" s="9" t="s">
        <v>1639</v>
      </c>
      <c r="E42" s="24" t="s">
        <v>1441</v>
      </c>
      <c r="F42" s="11" t="s">
        <v>1555</v>
      </c>
      <c r="G42" s="11" t="s">
        <v>726</v>
      </c>
      <c r="H42" s="8" t="s">
        <v>151</v>
      </c>
      <c r="I42" s="12" t="s">
        <v>2636</v>
      </c>
      <c r="J42" s="25">
        <v>44011</v>
      </c>
      <c r="K42" s="25">
        <v>44924</v>
      </c>
      <c r="L42" s="26">
        <f t="shared" si="0"/>
        <v>85.000000296794198</v>
      </c>
      <c r="M42" s="11">
        <v>1</v>
      </c>
      <c r="N42" s="11" t="s">
        <v>290</v>
      </c>
      <c r="O42" s="11" t="s">
        <v>290</v>
      </c>
      <c r="P42" s="27" t="s">
        <v>174</v>
      </c>
      <c r="Q42" s="11" t="s">
        <v>1450</v>
      </c>
      <c r="R42" s="2">
        <f t="shared" si="18"/>
        <v>2863937.31</v>
      </c>
      <c r="S42" s="2">
        <v>2863937.31</v>
      </c>
      <c r="T42" s="2">
        <v>0</v>
      </c>
      <c r="U42" s="1">
        <f t="shared" si="2"/>
        <v>438012.95</v>
      </c>
      <c r="V42" s="28">
        <v>438012.95</v>
      </c>
      <c r="W42" s="28">
        <v>0</v>
      </c>
      <c r="X42" s="1">
        <f t="shared" si="7"/>
        <v>67387.740000000005</v>
      </c>
      <c r="Y42" s="2">
        <v>67387.740000000005</v>
      </c>
      <c r="Z42" s="2">
        <v>0</v>
      </c>
      <c r="AA42" s="2">
        <v>0</v>
      </c>
      <c r="AB42" s="2">
        <v>0</v>
      </c>
      <c r="AC42" s="2">
        <v>0</v>
      </c>
      <c r="AD42" s="16">
        <f t="shared" si="6"/>
        <v>3369338.0000000005</v>
      </c>
      <c r="AE42" s="2">
        <v>0</v>
      </c>
      <c r="AF42" s="2">
        <f t="shared" si="4"/>
        <v>3369338.0000000005</v>
      </c>
      <c r="AG42" s="38" t="s">
        <v>486</v>
      </c>
      <c r="AH42" s="29" t="s">
        <v>1974</v>
      </c>
      <c r="AI42" s="30">
        <f>164751.47+35609.9+75630.45+54146.7+50044.6+202300+182176.21+47423.2+690084.4+8889.3+44517.05</f>
        <v>1555573.28</v>
      </c>
      <c r="AJ42" s="30">
        <f>25196.79+5446.22+11567.01+8281.26+38593.88+27862.24+7252.96+105542.32+1359.54+6808.49</f>
        <v>237910.71000000002</v>
      </c>
    </row>
    <row r="43" spans="1:36" s="179" customFormat="1" ht="267.75" x14ac:dyDescent="0.25">
      <c r="A43" s="6">
        <v>40</v>
      </c>
      <c r="B43" s="31">
        <v>152175</v>
      </c>
      <c r="C43" s="11">
        <v>1120</v>
      </c>
      <c r="D43" s="9" t="s">
        <v>1640</v>
      </c>
      <c r="E43" s="24" t="s">
        <v>1807</v>
      </c>
      <c r="F43" s="11" t="s">
        <v>1856</v>
      </c>
      <c r="G43" s="11" t="s">
        <v>1196</v>
      </c>
      <c r="H43" s="8" t="s">
        <v>151</v>
      </c>
      <c r="I43" s="12" t="s">
        <v>2637</v>
      </c>
      <c r="J43" s="25">
        <v>44498</v>
      </c>
      <c r="K43" s="25">
        <v>44863</v>
      </c>
      <c r="L43" s="26">
        <f t="shared" si="0"/>
        <v>85.000000000000014</v>
      </c>
      <c r="M43" s="11">
        <v>1</v>
      </c>
      <c r="N43" s="11" t="s">
        <v>290</v>
      </c>
      <c r="O43" s="11" t="s">
        <v>1197</v>
      </c>
      <c r="P43" s="27" t="s">
        <v>174</v>
      </c>
      <c r="Q43" s="11" t="s">
        <v>1450</v>
      </c>
      <c r="R43" s="2">
        <f t="shared" si="18"/>
        <v>352183.9</v>
      </c>
      <c r="S43" s="2">
        <v>352183.9</v>
      </c>
      <c r="T43" s="2">
        <v>0</v>
      </c>
      <c r="U43" s="1">
        <f t="shared" si="2"/>
        <v>53863.42</v>
      </c>
      <c r="V43" s="28">
        <v>53863.42</v>
      </c>
      <c r="W43" s="28">
        <v>0</v>
      </c>
      <c r="X43" s="1">
        <f t="shared" si="7"/>
        <v>8286.68</v>
      </c>
      <c r="Y43" s="2">
        <v>8286.68</v>
      </c>
      <c r="Z43" s="2">
        <v>0</v>
      </c>
      <c r="AA43" s="2">
        <v>0</v>
      </c>
      <c r="AB43" s="2">
        <v>0</v>
      </c>
      <c r="AC43" s="2">
        <v>0</v>
      </c>
      <c r="AD43" s="16">
        <f t="shared" si="6"/>
        <v>414334</v>
      </c>
      <c r="AE43" s="2">
        <v>0</v>
      </c>
      <c r="AF43" s="2">
        <f t="shared" si="4"/>
        <v>414334</v>
      </c>
      <c r="AG43" s="38" t="s">
        <v>486</v>
      </c>
      <c r="AH43" s="29" t="s">
        <v>151</v>
      </c>
      <c r="AI43" s="30">
        <f>111265+35188.09</f>
        <v>146453.09</v>
      </c>
      <c r="AJ43" s="30">
        <f>17017+5381.7</f>
        <v>22398.7</v>
      </c>
    </row>
    <row r="44" spans="1:36" s="179" customFormat="1" ht="267.75" x14ac:dyDescent="0.25">
      <c r="A44" s="6">
        <v>41</v>
      </c>
      <c r="B44" s="31">
        <v>155130</v>
      </c>
      <c r="C44" s="11">
        <v>1190</v>
      </c>
      <c r="D44" s="9" t="s">
        <v>1639</v>
      </c>
      <c r="E44" s="24" t="s">
        <v>2024</v>
      </c>
      <c r="F44" s="11" t="s">
        <v>2221</v>
      </c>
      <c r="G44" s="11" t="s">
        <v>1196</v>
      </c>
      <c r="H44" s="8" t="s">
        <v>151</v>
      </c>
      <c r="I44" s="12" t="s">
        <v>2638</v>
      </c>
      <c r="J44" s="25">
        <v>44697</v>
      </c>
      <c r="K44" s="25">
        <v>45123</v>
      </c>
      <c r="L44" s="26">
        <f t="shared" si="0"/>
        <v>85.000000000000014</v>
      </c>
      <c r="M44" s="11">
        <v>1</v>
      </c>
      <c r="N44" s="11" t="s">
        <v>290</v>
      </c>
      <c r="O44" s="11" t="s">
        <v>1197</v>
      </c>
      <c r="P44" s="27" t="s">
        <v>174</v>
      </c>
      <c r="Q44" s="11" t="s">
        <v>1450</v>
      </c>
      <c r="R44" s="2">
        <f t="shared" si="18"/>
        <v>1186552.3999999999</v>
      </c>
      <c r="S44" s="2">
        <v>1186552.3999999999</v>
      </c>
      <c r="T44" s="2">
        <v>0</v>
      </c>
      <c r="U44" s="1">
        <f t="shared" si="2"/>
        <v>181472.72</v>
      </c>
      <c r="V44" s="28">
        <v>181472.72</v>
      </c>
      <c r="W44" s="28">
        <v>0</v>
      </c>
      <c r="X44" s="1">
        <f t="shared" si="7"/>
        <v>27918.880000000001</v>
      </c>
      <c r="Y44" s="2">
        <v>27918.880000000001</v>
      </c>
      <c r="Z44" s="2">
        <v>0</v>
      </c>
      <c r="AA44" s="2">
        <v>0</v>
      </c>
      <c r="AB44" s="2">
        <v>0</v>
      </c>
      <c r="AC44" s="2">
        <v>0</v>
      </c>
      <c r="AD44" s="16">
        <f t="shared" si="6"/>
        <v>1395943.9999999998</v>
      </c>
      <c r="AE44" s="2">
        <v>0</v>
      </c>
      <c r="AF44" s="2">
        <f t="shared" si="4"/>
        <v>1395943.9999999998</v>
      </c>
      <c r="AG44" s="38" t="s">
        <v>486</v>
      </c>
      <c r="AH44" s="29" t="s">
        <v>151</v>
      </c>
      <c r="AI44" s="30">
        <v>0</v>
      </c>
      <c r="AJ44" s="30">
        <v>0</v>
      </c>
    </row>
    <row r="45" spans="1:36" s="179" customFormat="1" ht="252" x14ac:dyDescent="0.25">
      <c r="A45" s="6">
        <v>42</v>
      </c>
      <c r="B45" s="31">
        <v>155105</v>
      </c>
      <c r="C45" s="11">
        <v>1247</v>
      </c>
      <c r="D45" s="9" t="s">
        <v>1639</v>
      </c>
      <c r="E45" s="24" t="s">
        <v>2024</v>
      </c>
      <c r="F45" s="11" t="s">
        <v>2235</v>
      </c>
      <c r="G45" s="11" t="s">
        <v>287</v>
      </c>
      <c r="H45" s="8" t="s">
        <v>151</v>
      </c>
      <c r="I45" s="12" t="s">
        <v>2639</v>
      </c>
      <c r="J45" s="25">
        <v>44707</v>
      </c>
      <c r="K45" s="25">
        <v>45195</v>
      </c>
      <c r="L45" s="26">
        <f t="shared" si="0"/>
        <v>85</v>
      </c>
      <c r="M45" s="11">
        <v>1</v>
      </c>
      <c r="N45" s="11" t="s">
        <v>290</v>
      </c>
      <c r="O45" s="11" t="s">
        <v>290</v>
      </c>
      <c r="P45" s="27" t="s">
        <v>174</v>
      </c>
      <c r="Q45" s="11" t="s">
        <v>34</v>
      </c>
      <c r="R45" s="2">
        <f t="shared" si="18"/>
        <v>2529859.9300000002</v>
      </c>
      <c r="S45" s="2">
        <v>2529859.9300000002</v>
      </c>
      <c r="T45" s="2">
        <v>0</v>
      </c>
      <c r="U45" s="1">
        <f t="shared" si="2"/>
        <v>386919.75</v>
      </c>
      <c r="V45" s="28">
        <v>386919.75</v>
      </c>
      <c r="W45" s="28">
        <v>0</v>
      </c>
      <c r="X45" s="1">
        <f t="shared" si="7"/>
        <v>59526.12</v>
      </c>
      <c r="Y45" s="2">
        <v>59526.12</v>
      </c>
      <c r="Z45" s="2">
        <v>0</v>
      </c>
      <c r="AA45" s="2">
        <v>0</v>
      </c>
      <c r="AB45" s="2">
        <v>0</v>
      </c>
      <c r="AC45" s="2">
        <v>0</v>
      </c>
      <c r="AD45" s="16">
        <f t="shared" si="6"/>
        <v>2976305.8000000003</v>
      </c>
      <c r="AE45" s="2">
        <v>0</v>
      </c>
      <c r="AF45" s="2">
        <f t="shared" si="4"/>
        <v>2976305.8000000003</v>
      </c>
      <c r="AG45" s="38" t="s">
        <v>486</v>
      </c>
      <c r="AH45" s="29" t="s">
        <v>151</v>
      </c>
      <c r="AI45" s="30">
        <v>0</v>
      </c>
      <c r="AJ45" s="30">
        <v>0</v>
      </c>
    </row>
    <row r="46" spans="1:36" s="179" customFormat="1" ht="186" customHeight="1" x14ac:dyDescent="0.25">
      <c r="A46" s="6">
        <v>43</v>
      </c>
      <c r="B46" s="31">
        <v>122823</v>
      </c>
      <c r="C46" s="11">
        <v>71</v>
      </c>
      <c r="D46" s="9" t="s">
        <v>1639</v>
      </c>
      <c r="E46" s="24" t="s">
        <v>277</v>
      </c>
      <c r="F46" s="27" t="s">
        <v>420</v>
      </c>
      <c r="G46" s="11" t="s">
        <v>418</v>
      </c>
      <c r="H46" s="8" t="s">
        <v>151</v>
      </c>
      <c r="I46" s="12" t="s">
        <v>419</v>
      </c>
      <c r="J46" s="25">
        <v>43244</v>
      </c>
      <c r="K46" s="25">
        <v>43823</v>
      </c>
      <c r="L46" s="26">
        <f t="shared" si="0"/>
        <v>85.000001791562255</v>
      </c>
      <c r="M46" s="11">
        <v>6</v>
      </c>
      <c r="N46" s="11" t="s">
        <v>416</v>
      </c>
      <c r="O46" s="11" t="s">
        <v>417</v>
      </c>
      <c r="P46" s="56" t="s">
        <v>174</v>
      </c>
      <c r="Q46" s="32" t="s">
        <v>34</v>
      </c>
      <c r="R46" s="2">
        <f t="shared" ref="R46:R53" si="20">S46+T46</f>
        <v>355834.7</v>
      </c>
      <c r="S46" s="30">
        <v>355834.7</v>
      </c>
      <c r="T46" s="2">
        <v>0</v>
      </c>
      <c r="U46" s="1">
        <f t="shared" si="2"/>
        <v>54421.769999999982</v>
      </c>
      <c r="V46" s="42">
        <v>54421.769999999982</v>
      </c>
      <c r="W46" s="53">
        <v>0</v>
      </c>
      <c r="X46" s="1">
        <f t="shared" si="7"/>
        <v>8372.58</v>
      </c>
      <c r="Y46" s="40">
        <v>8372.58</v>
      </c>
      <c r="Z46" s="54">
        <v>0</v>
      </c>
      <c r="AA46" s="2">
        <v>0</v>
      </c>
      <c r="AB46" s="2">
        <v>0</v>
      </c>
      <c r="AC46" s="2">
        <v>0</v>
      </c>
      <c r="AD46" s="16">
        <f t="shared" si="6"/>
        <v>418629.05</v>
      </c>
      <c r="AE46" s="2">
        <v>0</v>
      </c>
      <c r="AF46" s="2">
        <f t="shared" si="4"/>
        <v>418629.05</v>
      </c>
      <c r="AG46" s="38" t="s">
        <v>857</v>
      </c>
      <c r="AH46" s="29" t="s">
        <v>1214</v>
      </c>
      <c r="AI46" s="30">
        <v>317160.34000000008</v>
      </c>
      <c r="AJ46" s="30">
        <f>32329.21+5317.87+5421.22+5438.54</f>
        <v>48506.840000000004</v>
      </c>
    </row>
    <row r="47" spans="1:36" s="179" customFormat="1" ht="141.75" x14ac:dyDescent="0.25">
      <c r="A47" s="6">
        <v>44</v>
      </c>
      <c r="B47" s="24">
        <v>119767</v>
      </c>
      <c r="C47" s="24">
        <v>475</v>
      </c>
      <c r="D47" s="9" t="s">
        <v>1639</v>
      </c>
      <c r="E47" s="32" t="s">
        <v>457</v>
      </c>
      <c r="F47" s="27" t="s">
        <v>676</v>
      </c>
      <c r="G47" s="27" t="s">
        <v>677</v>
      </c>
      <c r="H47" s="8" t="s">
        <v>151</v>
      </c>
      <c r="I47" s="12" t="s">
        <v>2640</v>
      </c>
      <c r="J47" s="25">
        <v>43306</v>
      </c>
      <c r="K47" s="25">
        <v>43976</v>
      </c>
      <c r="L47" s="26">
        <f t="shared" si="0"/>
        <v>85.000000000000014</v>
      </c>
      <c r="M47" s="11">
        <v>6</v>
      </c>
      <c r="N47" s="25" t="s">
        <v>416</v>
      </c>
      <c r="O47" s="25" t="s">
        <v>678</v>
      </c>
      <c r="P47" s="25" t="s">
        <v>174</v>
      </c>
      <c r="Q47" s="11" t="s">
        <v>34</v>
      </c>
      <c r="R47" s="2">
        <f t="shared" si="20"/>
        <v>518392.9</v>
      </c>
      <c r="S47" s="2">
        <v>518392.9</v>
      </c>
      <c r="T47" s="2">
        <v>0</v>
      </c>
      <c r="U47" s="1">
        <f t="shared" si="2"/>
        <v>79283.62</v>
      </c>
      <c r="V47" s="42">
        <v>79283.62</v>
      </c>
      <c r="W47" s="53">
        <v>0</v>
      </c>
      <c r="X47" s="1">
        <f t="shared" si="7"/>
        <v>12197.48</v>
      </c>
      <c r="Y47" s="57">
        <v>12197.48</v>
      </c>
      <c r="Z47" s="54">
        <v>0</v>
      </c>
      <c r="AA47" s="2">
        <f t="shared" si="15"/>
        <v>0</v>
      </c>
      <c r="AB47" s="2">
        <v>0</v>
      </c>
      <c r="AC47" s="2">
        <v>0</v>
      </c>
      <c r="AD47" s="16">
        <f t="shared" si="6"/>
        <v>609874</v>
      </c>
      <c r="AE47" s="2">
        <v>0</v>
      </c>
      <c r="AF47" s="2">
        <f t="shared" si="4"/>
        <v>609874</v>
      </c>
      <c r="AG47" s="38" t="s">
        <v>857</v>
      </c>
      <c r="AH47" s="29" t="s">
        <v>1291</v>
      </c>
      <c r="AI47" s="30">
        <f>446121.14+44941.37</f>
        <v>491062.51</v>
      </c>
      <c r="AJ47" s="30">
        <f>68230.29+6873.39</f>
        <v>75103.679999999993</v>
      </c>
    </row>
    <row r="48" spans="1:36" s="179" customFormat="1" ht="269.25" customHeight="1" x14ac:dyDescent="0.25">
      <c r="A48" s="6">
        <v>45</v>
      </c>
      <c r="B48" s="24">
        <v>129383</v>
      </c>
      <c r="C48" s="24">
        <v>685</v>
      </c>
      <c r="D48" s="9" t="s">
        <v>1639</v>
      </c>
      <c r="E48" s="32" t="s">
        <v>1071</v>
      </c>
      <c r="F48" s="27" t="s">
        <v>1156</v>
      </c>
      <c r="G48" s="27" t="s">
        <v>1279</v>
      </c>
      <c r="H48" s="8" t="s">
        <v>151</v>
      </c>
      <c r="I48" s="12" t="s">
        <v>2641</v>
      </c>
      <c r="J48" s="25">
        <v>43657</v>
      </c>
      <c r="K48" s="25">
        <v>44845</v>
      </c>
      <c r="L48" s="26">
        <f t="shared" si="0"/>
        <v>85.000000150473397</v>
      </c>
      <c r="M48" s="11">
        <v>6</v>
      </c>
      <c r="N48" s="25" t="s">
        <v>416</v>
      </c>
      <c r="O48" s="25" t="s">
        <v>1155</v>
      </c>
      <c r="P48" s="25" t="s">
        <v>174</v>
      </c>
      <c r="Q48" s="11" t="s">
        <v>34</v>
      </c>
      <c r="R48" s="2">
        <f t="shared" si="20"/>
        <v>2541977.39</v>
      </c>
      <c r="S48" s="2">
        <v>2541977.39</v>
      </c>
      <c r="T48" s="2">
        <v>0</v>
      </c>
      <c r="U48" s="1">
        <f t="shared" si="2"/>
        <v>388773.02</v>
      </c>
      <c r="V48" s="42">
        <v>388773.02</v>
      </c>
      <c r="W48" s="53">
        <v>0</v>
      </c>
      <c r="X48" s="1">
        <f t="shared" si="7"/>
        <v>59811.22</v>
      </c>
      <c r="Y48" s="57">
        <v>59811.22</v>
      </c>
      <c r="Z48" s="54">
        <v>0</v>
      </c>
      <c r="AA48" s="2">
        <v>0</v>
      </c>
      <c r="AB48" s="2">
        <v>0</v>
      </c>
      <c r="AC48" s="2">
        <v>0</v>
      </c>
      <c r="AD48" s="16">
        <f t="shared" si="6"/>
        <v>2990561.6300000004</v>
      </c>
      <c r="AE48" s="2">
        <v>0</v>
      </c>
      <c r="AF48" s="2">
        <f t="shared" si="4"/>
        <v>2990561.6300000004</v>
      </c>
      <c r="AG48" s="38" t="s">
        <v>486</v>
      </c>
      <c r="AH48" s="29" t="s">
        <v>2363</v>
      </c>
      <c r="AI48" s="30">
        <f>130989.25+2398.77+240645.96</f>
        <v>374033.98</v>
      </c>
      <c r="AJ48" s="30">
        <f>20033.65+366.87+36804.69</f>
        <v>57205.210000000006</v>
      </c>
    </row>
    <row r="49" spans="1:36" s="179" customFormat="1" ht="269.25" customHeight="1" x14ac:dyDescent="0.25">
      <c r="A49" s="6">
        <v>46</v>
      </c>
      <c r="B49" s="24">
        <v>129525</v>
      </c>
      <c r="C49" s="24">
        <v>678</v>
      </c>
      <c r="D49" s="9" t="s">
        <v>1639</v>
      </c>
      <c r="E49" s="24" t="s">
        <v>1071</v>
      </c>
      <c r="F49" s="27" t="s">
        <v>1278</v>
      </c>
      <c r="G49" s="27" t="s">
        <v>677</v>
      </c>
      <c r="H49" s="8" t="s">
        <v>151</v>
      </c>
      <c r="I49" s="12" t="s">
        <v>2642</v>
      </c>
      <c r="J49" s="25">
        <v>43724</v>
      </c>
      <c r="K49" s="25">
        <v>44911</v>
      </c>
      <c r="L49" s="26">
        <f t="shared" si="0"/>
        <v>85.000000715914808</v>
      </c>
      <c r="M49" s="11">
        <v>6</v>
      </c>
      <c r="N49" s="25" t="s">
        <v>416</v>
      </c>
      <c r="O49" s="25" t="s">
        <v>1155</v>
      </c>
      <c r="P49" s="25" t="s">
        <v>174</v>
      </c>
      <c r="Q49" s="11" t="s">
        <v>34</v>
      </c>
      <c r="R49" s="2">
        <f t="shared" si="20"/>
        <v>2255855.02</v>
      </c>
      <c r="S49" s="2">
        <v>2255855.02</v>
      </c>
      <c r="T49" s="2">
        <v>0</v>
      </c>
      <c r="U49" s="1">
        <f t="shared" si="2"/>
        <v>345013.09</v>
      </c>
      <c r="V49" s="42">
        <v>345013.09</v>
      </c>
      <c r="W49" s="53">
        <v>0</v>
      </c>
      <c r="X49" s="1">
        <f t="shared" si="7"/>
        <v>53078.95</v>
      </c>
      <c r="Y49" s="57">
        <v>53078.95</v>
      </c>
      <c r="Z49" s="54">
        <v>0</v>
      </c>
      <c r="AA49" s="2">
        <v>0</v>
      </c>
      <c r="AB49" s="2">
        <v>0</v>
      </c>
      <c r="AC49" s="2">
        <v>0</v>
      </c>
      <c r="AD49" s="16">
        <f t="shared" si="6"/>
        <v>2653947.06</v>
      </c>
      <c r="AE49" s="2">
        <v>0</v>
      </c>
      <c r="AF49" s="2">
        <f t="shared" si="4"/>
        <v>2653947.06</v>
      </c>
      <c r="AG49" s="38" t="s">
        <v>486</v>
      </c>
      <c r="AH49" s="29" t="s">
        <v>2017</v>
      </c>
      <c r="AI49" s="30">
        <f>210000-16810.94-18.2+12969.09+32363.75</f>
        <v>238503.69999999998</v>
      </c>
      <c r="AJ49" s="30">
        <f>16810.94+18.2+14698.15+4949.75</f>
        <v>36477.040000000001</v>
      </c>
    </row>
    <row r="50" spans="1:36" s="179" customFormat="1" ht="267.75" x14ac:dyDescent="0.25">
      <c r="A50" s="6">
        <v>47</v>
      </c>
      <c r="B50" s="58">
        <v>135923</v>
      </c>
      <c r="C50" s="59">
        <v>789</v>
      </c>
      <c r="D50" s="9" t="s">
        <v>1639</v>
      </c>
      <c r="E50" s="60" t="s">
        <v>1441</v>
      </c>
      <c r="F50" s="59" t="s">
        <v>1474</v>
      </c>
      <c r="G50" s="59" t="s">
        <v>1475</v>
      </c>
      <c r="H50" s="8" t="s">
        <v>151</v>
      </c>
      <c r="I50" s="61" t="s">
        <v>1476</v>
      </c>
      <c r="J50" s="62">
        <v>43969</v>
      </c>
      <c r="K50" s="62">
        <v>44548</v>
      </c>
      <c r="L50" s="26">
        <f t="shared" si="0"/>
        <v>85.000001598813043</v>
      </c>
      <c r="M50" s="59">
        <v>6</v>
      </c>
      <c r="N50" s="59" t="s">
        <v>416</v>
      </c>
      <c r="O50" s="59" t="s">
        <v>1477</v>
      </c>
      <c r="P50" s="63" t="s">
        <v>174</v>
      </c>
      <c r="Q50" s="64" t="s">
        <v>1450</v>
      </c>
      <c r="R50" s="2">
        <f t="shared" si="20"/>
        <v>531644.41</v>
      </c>
      <c r="S50" s="65">
        <v>531644.41</v>
      </c>
      <c r="T50" s="65">
        <v>0</v>
      </c>
      <c r="U50" s="1">
        <f t="shared" si="2"/>
        <v>81310.31</v>
      </c>
      <c r="V50" s="66">
        <v>81310.31</v>
      </c>
      <c r="W50" s="66">
        <v>0</v>
      </c>
      <c r="X50" s="1">
        <f t="shared" si="7"/>
        <v>12509.28</v>
      </c>
      <c r="Y50" s="65">
        <v>12509.28</v>
      </c>
      <c r="Z50" s="65">
        <v>0</v>
      </c>
      <c r="AA50" s="2">
        <v>0</v>
      </c>
      <c r="AB50" s="2">
        <v>0</v>
      </c>
      <c r="AC50" s="2">
        <v>0</v>
      </c>
      <c r="AD50" s="16">
        <f t="shared" si="6"/>
        <v>625464</v>
      </c>
      <c r="AE50" s="2">
        <v>0</v>
      </c>
      <c r="AF50" s="2">
        <f t="shared" si="4"/>
        <v>625464</v>
      </c>
      <c r="AG50" s="38" t="s">
        <v>857</v>
      </c>
      <c r="AH50" s="29" t="s">
        <v>1751</v>
      </c>
      <c r="AI50" s="30">
        <f>12749.15+312173.15+131747.89</f>
        <v>456670.19000000006</v>
      </c>
      <c r="AJ50" s="30">
        <f>1949.87+47744.13+20149.67</f>
        <v>69843.67</v>
      </c>
    </row>
    <row r="51" spans="1:36" s="179" customFormat="1" ht="267.75" x14ac:dyDescent="0.25">
      <c r="A51" s="6">
        <v>48</v>
      </c>
      <c r="B51" s="58">
        <v>135973</v>
      </c>
      <c r="C51" s="59">
        <v>820</v>
      </c>
      <c r="D51" s="9" t="s">
        <v>1639</v>
      </c>
      <c r="E51" s="60" t="s">
        <v>1441</v>
      </c>
      <c r="F51" s="59" t="s">
        <v>1546</v>
      </c>
      <c r="G51" s="59" t="s">
        <v>1279</v>
      </c>
      <c r="H51" s="8" t="s">
        <v>151</v>
      </c>
      <c r="I51" s="61" t="s">
        <v>1547</v>
      </c>
      <c r="J51" s="62">
        <v>44001</v>
      </c>
      <c r="K51" s="62">
        <v>45279</v>
      </c>
      <c r="L51" s="26">
        <f t="shared" si="0"/>
        <v>84.999999931221893</v>
      </c>
      <c r="M51" s="59">
        <v>6</v>
      </c>
      <c r="N51" s="59" t="s">
        <v>416</v>
      </c>
      <c r="O51" s="59" t="s">
        <v>1279</v>
      </c>
      <c r="P51" s="63" t="s">
        <v>174</v>
      </c>
      <c r="Q51" s="64" t="s">
        <v>1450</v>
      </c>
      <c r="R51" s="2">
        <f t="shared" si="20"/>
        <v>3089646.17</v>
      </c>
      <c r="S51" s="65">
        <v>3089646.17</v>
      </c>
      <c r="T51" s="65">
        <v>0</v>
      </c>
      <c r="U51" s="1">
        <f t="shared" si="2"/>
        <v>472534.12</v>
      </c>
      <c r="V51" s="66">
        <v>472534.12</v>
      </c>
      <c r="W51" s="66">
        <v>0</v>
      </c>
      <c r="X51" s="1">
        <f t="shared" si="7"/>
        <v>72697.56</v>
      </c>
      <c r="Y51" s="65">
        <v>72697.56</v>
      </c>
      <c r="Z51" s="65">
        <v>0</v>
      </c>
      <c r="AA51" s="2">
        <v>0</v>
      </c>
      <c r="AB51" s="2">
        <v>0</v>
      </c>
      <c r="AC51" s="2">
        <v>0</v>
      </c>
      <c r="AD51" s="16">
        <f t="shared" si="6"/>
        <v>3634877.85</v>
      </c>
      <c r="AE51" s="2">
        <v>0</v>
      </c>
      <c r="AF51" s="2">
        <f t="shared" si="4"/>
        <v>3634877.85</v>
      </c>
      <c r="AG51" s="38" t="s">
        <v>486</v>
      </c>
      <c r="AH51" s="29" t="s">
        <v>3297</v>
      </c>
      <c r="AI51" s="30">
        <f>2528.75+617217.3</f>
        <v>619746.05000000005</v>
      </c>
      <c r="AJ51" s="30">
        <f>386.75+94397.94</f>
        <v>94784.69</v>
      </c>
    </row>
    <row r="52" spans="1:36" s="179" customFormat="1" ht="267.75" x14ac:dyDescent="0.25">
      <c r="A52" s="6">
        <v>49</v>
      </c>
      <c r="B52" s="58">
        <v>152205</v>
      </c>
      <c r="C52" s="59">
        <v>1143</v>
      </c>
      <c r="D52" s="9" t="s">
        <v>1640</v>
      </c>
      <c r="E52" s="24" t="s">
        <v>1807</v>
      </c>
      <c r="F52" s="59" t="s">
        <v>1950</v>
      </c>
      <c r="G52" s="59" t="s">
        <v>1475</v>
      </c>
      <c r="H52" s="8" t="s">
        <v>151</v>
      </c>
      <c r="I52" s="61" t="s">
        <v>2643</v>
      </c>
      <c r="J52" s="62">
        <v>44546</v>
      </c>
      <c r="K52" s="62">
        <v>44911</v>
      </c>
      <c r="L52" s="26">
        <f t="shared" si="0"/>
        <v>85.000001206367202</v>
      </c>
      <c r="M52" s="59">
        <v>6</v>
      </c>
      <c r="N52" s="59" t="s">
        <v>416</v>
      </c>
      <c r="O52" s="59" t="s">
        <v>1477</v>
      </c>
      <c r="P52" s="63" t="s">
        <v>174</v>
      </c>
      <c r="Q52" s="64" t="s">
        <v>1450</v>
      </c>
      <c r="R52" s="2">
        <f t="shared" si="20"/>
        <v>352297.38</v>
      </c>
      <c r="S52" s="65">
        <v>352297.38</v>
      </c>
      <c r="T52" s="65">
        <v>0</v>
      </c>
      <c r="U52" s="1">
        <f t="shared" si="2"/>
        <v>53880.77</v>
      </c>
      <c r="V52" s="66">
        <v>53880.77</v>
      </c>
      <c r="W52" s="66">
        <v>0</v>
      </c>
      <c r="X52" s="1">
        <f t="shared" si="7"/>
        <v>8289.35</v>
      </c>
      <c r="Y52" s="65">
        <v>8289.35</v>
      </c>
      <c r="Z52" s="65">
        <v>0</v>
      </c>
      <c r="AA52" s="2">
        <v>0</v>
      </c>
      <c r="AB52" s="2">
        <v>0</v>
      </c>
      <c r="AC52" s="2">
        <v>0</v>
      </c>
      <c r="AD52" s="16">
        <f t="shared" si="6"/>
        <v>414467.5</v>
      </c>
      <c r="AE52" s="2">
        <v>0</v>
      </c>
      <c r="AF52" s="2">
        <f t="shared" si="4"/>
        <v>414467.5</v>
      </c>
      <c r="AG52" s="38" t="s">
        <v>486</v>
      </c>
      <c r="AH52" s="29"/>
      <c r="AI52" s="30">
        <v>0</v>
      </c>
      <c r="AJ52" s="30">
        <v>0</v>
      </c>
    </row>
    <row r="53" spans="1:36" s="179" customFormat="1" ht="267.75" x14ac:dyDescent="0.25">
      <c r="A53" s="6">
        <v>50</v>
      </c>
      <c r="B53" s="58">
        <v>155163</v>
      </c>
      <c r="C53" s="59">
        <v>1204</v>
      </c>
      <c r="D53" s="9" t="s">
        <v>1639</v>
      </c>
      <c r="E53" s="24" t="s">
        <v>2024</v>
      </c>
      <c r="F53" s="59" t="s">
        <v>2150</v>
      </c>
      <c r="G53" s="59" t="s">
        <v>418</v>
      </c>
      <c r="H53" s="8" t="s">
        <v>151</v>
      </c>
      <c r="I53" s="61" t="s">
        <v>2644</v>
      </c>
      <c r="J53" s="62">
        <v>44665</v>
      </c>
      <c r="K53" s="62">
        <v>45152</v>
      </c>
      <c r="L53" s="26">
        <f t="shared" si="0"/>
        <v>85.000000266827954</v>
      </c>
      <c r="M53" s="59">
        <v>6</v>
      </c>
      <c r="N53" s="59" t="s">
        <v>416</v>
      </c>
      <c r="O53" s="59" t="s">
        <v>417</v>
      </c>
      <c r="P53" s="63" t="s">
        <v>174</v>
      </c>
      <c r="Q53" s="64" t="s">
        <v>1450</v>
      </c>
      <c r="R53" s="2">
        <f t="shared" si="20"/>
        <v>1592786.7</v>
      </c>
      <c r="S53" s="65">
        <v>1592786.7</v>
      </c>
      <c r="T53" s="65">
        <v>0</v>
      </c>
      <c r="U53" s="1">
        <f t="shared" si="2"/>
        <v>243602.67</v>
      </c>
      <c r="V53" s="66">
        <v>243602.67</v>
      </c>
      <c r="W53" s="66">
        <v>0</v>
      </c>
      <c r="X53" s="1">
        <f t="shared" si="7"/>
        <v>37477.33</v>
      </c>
      <c r="Y53" s="65">
        <v>37477.33</v>
      </c>
      <c r="Z53" s="65">
        <v>0</v>
      </c>
      <c r="AA53" s="2">
        <v>0</v>
      </c>
      <c r="AB53" s="2">
        <v>0</v>
      </c>
      <c r="AC53" s="2">
        <v>0</v>
      </c>
      <c r="AD53" s="16">
        <f t="shared" si="6"/>
        <v>1873866.7</v>
      </c>
      <c r="AE53" s="2">
        <v>0</v>
      </c>
      <c r="AF53" s="2">
        <f t="shared" si="4"/>
        <v>1873866.7</v>
      </c>
      <c r="AG53" s="38" t="s">
        <v>486</v>
      </c>
      <c r="AH53" s="29"/>
      <c r="AI53" s="30">
        <v>180000</v>
      </c>
      <c r="AJ53" s="30">
        <v>0</v>
      </c>
    </row>
    <row r="54" spans="1:36" s="185" customFormat="1" ht="141.75" x14ac:dyDescent="0.25">
      <c r="A54" s="6">
        <v>51</v>
      </c>
      <c r="B54" s="31">
        <v>120599</v>
      </c>
      <c r="C54" s="11">
        <v>75</v>
      </c>
      <c r="D54" s="9" t="s">
        <v>1639</v>
      </c>
      <c r="E54" s="24" t="s">
        <v>277</v>
      </c>
      <c r="F54" s="27" t="s">
        <v>204</v>
      </c>
      <c r="G54" s="11" t="s">
        <v>205</v>
      </c>
      <c r="H54" s="8" t="s">
        <v>151</v>
      </c>
      <c r="I54" s="56" t="s">
        <v>679</v>
      </c>
      <c r="J54" s="25">
        <v>43145</v>
      </c>
      <c r="K54" s="25">
        <v>43813</v>
      </c>
      <c r="L54" s="26">
        <f t="shared" si="0"/>
        <v>84.999998786570643</v>
      </c>
      <c r="M54" s="11">
        <v>6</v>
      </c>
      <c r="N54" s="11" t="s">
        <v>218</v>
      </c>
      <c r="O54" s="11" t="s">
        <v>1501</v>
      </c>
      <c r="P54" s="27" t="s">
        <v>174</v>
      </c>
      <c r="Q54" s="32" t="s">
        <v>34</v>
      </c>
      <c r="R54" s="2">
        <f t="shared" ref="R54:R63" si="21">S54+T54</f>
        <v>350247</v>
      </c>
      <c r="S54" s="2">
        <v>350247</v>
      </c>
      <c r="T54" s="2">
        <v>0</v>
      </c>
      <c r="U54" s="1">
        <f t="shared" si="2"/>
        <v>53567.19</v>
      </c>
      <c r="V54" s="42">
        <v>53567.19</v>
      </c>
      <c r="W54" s="53">
        <v>0</v>
      </c>
      <c r="X54" s="1">
        <f t="shared" si="7"/>
        <v>8241.11</v>
      </c>
      <c r="Y54" s="57">
        <v>8241.11</v>
      </c>
      <c r="Z54" s="1">
        <v>0</v>
      </c>
      <c r="AA54" s="2">
        <v>0</v>
      </c>
      <c r="AB54" s="2">
        <v>0</v>
      </c>
      <c r="AC54" s="2">
        <v>0</v>
      </c>
      <c r="AD54" s="16">
        <f t="shared" si="6"/>
        <v>412055.3</v>
      </c>
      <c r="AE54" s="2">
        <v>0</v>
      </c>
      <c r="AF54" s="2">
        <f t="shared" ref="AF54:AF61" si="22">AD54+AE54</f>
        <v>412055.3</v>
      </c>
      <c r="AG54" s="21" t="s">
        <v>857</v>
      </c>
      <c r="AH54" s="29" t="s">
        <v>1106</v>
      </c>
      <c r="AI54" s="30">
        <v>299284.74</v>
      </c>
      <c r="AJ54" s="30">
        <v>45772.95</v>
      </c>
    </row>
    <row r="55" spans="1:36" s="185" customFormat="1" ht="141.75" x14ac:dyDescent="0.25">
      <c r="A55" s="6">
        <v>52</v>
      </c>
      <c r="B55" s="31">
        <v>128636</v>
      </c>
      <c r="C55" s="11">
        <v>687</v>
      </c>
      <c r="D55" s="9" t="s">
        <v>1639</v>
      </c>
      <c r="E55" s="24" t="s">
        <v>1071</v>
      </c>
      <c r="F55" s="67" t="s">
        <v>1303</v>
      </c>
      <c r="G55" s="11" t="s">
        <v>205</v>
      </c>
      <c r="H55" s="8" t="s">
        <v>151</v>
      </c>
      <c r="I55" s="56" t="s">
        <v>1304</v>
      </c>
      <c r="J55" s="25">
        <v>43739</v>
      </c>
      <c r="K55" s="25">
        <v>44287</v>
      </c>
      <c r="L55" s="26">
        <f t="shared" si="0"/>
        <v>85</v>
      </c>
      <c r="M55" s="11">
        <v>6</v>
      </c>
      <c r="N55" s="11" t="s">
        <v>218</v>
      </c>
      <c r="O55" s="11" t="s">
        <v>1501</v>
      </c>
      <c r="P55" s="27" t="s">
        <v>174</v>
      </c>
      <c r="Q55" s="32" t="s">
        <v>34</v>
      </c>
      <c r="R55" s="2">
        <f t="shared" si="21"/>
        <v>1364282.3</v>
      </c>
      <c r="S55" s="2">
        <v>1364282.3</v>
      </c>
      <c r="T55" s="2">
        <v>0</v>
      </c>
      <c r="U55" s="1">
        <f t="shared" si="2"/>
        <v>208654.94</v>
      </c>
      <c r="V55" s="42">
        <v>208654.94</v>
      </c>
      <c r="W55" s="53">
        <v>0</v>
      </c>
      <c r="X55" s="1">
        <f t="shared" si="7"/>
        <v>32100.76</v>
      </c>
      <c r="Y55" s="57">
        <v>32100.76</v>
      </c>
      <c r="Z55" s="1">
        <v>0</v>
      </c>
      <c r="AA55" s="2">
        <v>0</v>
      </c>
      <c r="AB55" s="2">
        <v>0</v>
      </c>
      <c r="AC55" s="2">
        <v>0</v>
      </c>
      <c r="AD55" s="16">
        <f t="shared" si="6"/>
        <v>1605038</v>
      </c>
      <c r="AE55" s="2">
        <v>0</v>
      </c>
      <c r="AF55" s="2">
        <f t="shared" si="22"/>
        <v>1605038</v>
      </c>
      <c r="AG55" s="38" t="s">
        <v>857</v>
      </c>
      <c r="AH55" s="29" t="s">
        <v>1713</v>
      </c>
      <c r="AI55" s="30">
        <f>50302.83+49799.8+40727.75+36651.15+171566.55+974297.03</f>
        <v>1323345.1099999999</v>
      </c>
      <c r="AJ55" s="30">
        <f>7693.37+7616.44+6228.95+5605.47+26239.59+149010.13</f>
        <v>202393.95</v>
      </c>
    </row>
    <row r="56" spans="1:36" s="185" customFormat="1" ht="204.75" x14ac:dyDescent="0.25">
      <c r="A56" s="6">
        <v>53</v>
      </c>
      <c r="B56" s="31">
        <v>129687</v>
      </c>
      <c r="C56" s="11">
        <v>667</v>
      </c>
      <c r="D56" s="9" t="s">
        <v>1639</v>
      </c>
      <c r="E56" s="24" t="s">
        <v>1071</v>
      </c>
      <c r="F56" s="67" t="s">
        <v>1144</v>
      </c>
      <c r="G56" s="11" t="s">
        <v>1145</v>
      </c>
      <c r="H56" s="8" t="s">
        <v>151</v>
      </c>
      <c r="I56" s="56" t="s">
        <v>2645</v>
      </c>
      <c r="J56" s="25">
        <v>43654</v>
      </c>
      <c r="K56" s="25">
        <v>44508</v>
      </c>
      <c r="L56" s="26">
        <f t="shared" si="0"/>
        <v>85</v>
      </c>
      <c r="M56" s="11">
        <f>$M$54</f>
        <v>6</v>
      </c>
      <c r="N56" s="11" t="str">
        <f t="shared" ref="N56" si="23">N54</f>
        <v>Bistrița-Năsăud</v>
      </c>
      <c r="O56" s="11" t="s">
        <v>1501</v>
      </c>
      <c r="P56" s="27" t="s">
        <v>174</v>
      </c>
      <c r="Q56" s="32" t="s">
        <v>34</v>
      </c>
      <c r="R56" s="2">
        <f t="shared" si="21"/>
        <v>2626630.9</v>
      </c>
      <c r="S56" s="2">
        <v>2626630.9</v>
      </c>
      <c r="T56" s="2">
        <v>0</v>
      </c>
      <c r="U56" s="1">
        <f t="shared" si="2"/>
        <v>401720.02</v>
      </c>
      <c r="V56" s="42">
        <v>401720.02</v>
      </c>
      <c r="W56" s="53">
        <v>0</v>
      </c>
      <c r="X56" s="1">
        <f t="shared" si="7"/>
        <v>61803.08</v>
      </c>
      <c r="Y56" s="57">
        <v>61803.08</v>
      </c>
      <c r="Z56" s="1">
        <v>0</v>
      </c>
      <c r="AA56" s="2">
        <v>0</v>
      </c>
      <c r="AB56" s="2">
        <v>0</v>
      </c>
      <c r="AC56" s="2">
        <v>0</v>
      </c>
      <c r="AD56" s="16">
        <f t="shared" si="6"/>
        <v>3090154</v>
      </c>
      <c r="AE56" s="2">
        <v>0</v>
      </c>
      <c r="AF56" s="2">
        <f t="shared" si="22"/>
        <v>3090154</v>
      </c>
      <c r="AG56" s="21" t="s">
        <v>857</v>
      </c>
      <c r="AH56" s="29" t="s">
        <v>1767</v>
      </c>
      <c r="AI56" s="30">
        <f>71886.37+17000+26602.45+30668.85+392844.76+327144.99+42386.4+151027.08+939356.03</f>
        <v>1998916.93</v>
      </c>
      <c r="AJ56" s="30">
        <f>10994.39+2600+4068.61+4690.53+60082.13+50033.94+6482.62+23098.25+143666.23</f>
        <v>305716.7</v>
      </c>
    </row>
    <row r="57" spans="1:36" s="185" customFormat="1" ht="141.75" x14ac:dyDescent="0.25">
      <c r="A57" s="6">
        <v>54</v>
      </c>
      <c r="B57" s="31">
        <v>135977</v>
      </c>
      <c r="C57" s="11">
        <v>766</v>
      </c>
      <c r="D57" s="9" t="s">
        <v>1639</v>
      </c>
      <c r="E57" s="24" t="s">
        <v>1441</v>
      </c>
      <c r="F57" s="11" t="s">
        <v>1499</v>
      </c>
      <c r="G57" s="11" t="s">
        <v>205</v>
      </c>
      <c r="H57" s="8" t="s">
        <v>151</v>
      </c>
      <c r="I57" s="12" t="s">
        <v>1500</v>
      </c>
      <c r="J57" s="25">
        <v>43973</v>
      </c>
      <c r="K57" s="25">
        <v>44826</v>
      </c>
      <c r="L57" s="26">
        <f t="shared" si="0"/>
        <v>84.99999942527073</v>
      </c>
      <c r="M57" s="11">
        <v>6</v>
      </c>
      <c r="N57" s="11" t="s">
        <v>218</v>
      </c>
      <c r="O57" s="11" t="s">
        <v>1501</v>
      </c>
      <c r="P57" s="27" t="s">
        <v>174</v>
      </c>
      <c r="Q57" s="11" t="s">
        <v>34</v>
      </c>
      <c r="R57" s="2">
        <f t="shared" si="21"/>
        <v>665530.76</v>
      </c>
      <c r="S57" s="2">
        <v>665530.76</v>
      </c>
      <c r="T57" s="2">
        <v>0</v>
      </c>
      <c r="U57" s="1">
        <f t="shared" si="2"/>
        <v>101787.06</v>
      </c>
      <c r="V57" s="28">
        <v>101787.06</v>
      </c>
      <c r="W57" s="28">
        <v>0</v>
      </c>
      <c r="X57" s="1">
        <f t="shared" si="7"/>
        <v>15659.55</v>
      </c>
      <c r="Y57" s="2">
        <v>15659.55</v>
      </c>
      <c r="Z57" s="2">
        <v>0</v>
      </c>
      <c r="AA57" s="2">
        <v>0</v>
      </c>
      <c r="AB57" s="2">
        <v>0</v>
      </c>
      <c r="AC57" s="2">
        <v>0</v>
      </c>
      <c r="AD57" s="16">
        <f t="shared" si="6"/>
        <v>782977.37000000011</v>
      </c>
      <c r="AE57" s="2">
        <v>0</v>
      </c>
      <c r="AF57" s="2">
        <f t="shared" si="22"/>
        <v>782977.37000000011</v>
      </c>
      <c r="AG57" s="21" t="s">
        <v>1431</v>
      </c>
      <c r="AH57" s="29" t="s">
        <v>1777</v>
      </c>
      <c r="AI57" s="30">
        <f>35945.1+78297.73-9685.65</f>
        <v>104557.18</v>
      </c>
      <c r="AJ57" s="30">
        <f>5497.48+9685.65</f>
        <v>15183.13</v>
      </c>
    </row>
    <row r="58" spans="1:36" s="185" customFormat="1" ht="204.75" x14ac:dyDescent="0.25">
      <c r="A58" s="6">
        <v>55</v>
      </c>
      <c r="B58" s="31">
        <v>152142</v>
      </c>
      <c r="C58" s="11">
        <v>1119</v>
      </c>
      <c r="D58" s="9" t="s">
        <v>1640</v>
      </c>
      <c r="E58" s="24" t="s">
        <v>1807</v>
      </c>
      <c r="F58" s="31" t="s">
        <v>1932</v>
      </c>
      <c r="G58" s="11" t="s">
        <v>1931</v>
      </c>
      <c r="H58" s="11" t="s">
        <v>1933</v>
      </c>
      <c r="I58" s="12" t="s">
        <v>1934</v>
      </c>
      <c r="J58" s="25">
        <v>44536</v>
      </c>
      <c r="K58" s="25">
        <v>45264</v>
      </c>
      <c r="L58" s="26">
        <f t="shared" si="0"/>
        <v>85.000001747144381</v>
      </c>
      <c r="M58" s="11">
        <v>6</v>
      </c>
      <c r="N58" s="11" t="s">
        <v>218</v>
      </c>
      <c r="O58" s="11" t="s">
        <v>1501</v>
      </c>
      <c r="P58" s="27" t="s">
        <v>174</v>
      </c>
      <c r="Q58" s="11" t="s">
        <v>34</v>
      </c>
      <c r="R58" s="2">
        <f t="shared" si="21"/>
        <v>340555.72</v>
      </c>
      <c r="S58" s="2">
        <v>340555.72</v>
      </c>
      <c r="T58" s="2">
        <v>0</v>
      </c>
      <c r="U58" s="1">
        <f t="shared" si="2"/>
        <v>48197.52</v>
      </c>
      <c r="V58" s="28">
        <v>48197.52</v>
      </c>
      <c r="W58" s="28">
        <v>0</v>
      </c>
      <c r="X58" s="1">
        <f t="shared" si="7"/>
        <v>11900.54</v>
      </c>
      <c r="Y58" s="2">
        <v>11900.54</v>
      </c>
      <c r="Z58" s="2">
        <v>0</v>
      </c>
      <c r="AA58" s="2">
        <v>0</v>
      </c>
      <c r="AB58" s="2">
        <v>0</v>
      </c>
      <c r="AC58" s="2">
        <v>0</v>
      </c>
      <c r="AD58" s="16">
        <f t="shared" si="6"/>
        <v>400653.77999999997</v>
      </c>
      <c r="AE58" s="2">
        <v>0</v>
      </c>
      <c r="AF58" s="2">
        <f t="shared" si="22"/>
        <v>400653.77999999997</v>
      </c>
      <c r="AG58" s="21" t="s">
        <v>1431</v>
      </c>
      <c r="AH58" s="29"/>
      <c r="AI58" s="30">
        <v>0</v>
      </c>
      <c r="AJ58" s="30">
        <v>0</v>
      </c>
    </row>
    <row r="59" spans="1:36" s="185" customFormat="1" ht="189" x14ac:dyDescent="0.25">
      <c r="A59" s="6">
        <v>56</v>
      </c>
      <c r="B59" s="31">
        <v>152089</v>
      </c>
      <c r="C59" s="11">
        <v>1131</v>
      </c>
      <c r="D59" s="9" t="s">
        <v>1640</v>
      </c>
      <c r="E59" s="24" t="s">
        <v>1807</v>
      </c>
      <c r="F59" s="31" t="s">
        <v>1958</v>
      </c>
      <c r="G59" s="11" t="s">
        <v>1501</v>
      </c>
      <c r="H59" s="11" t="s">
        <v>151</v>
      </c>
      <c r="I59" s="12" t="s">
        <v>1959</v>
      </c>
      <c r="J59" s="25">
        <v>44551</v>
      </c>
      <c r="K59" s="25">
        <v>45037</v>
      </c>
      <c r="L59" s="26">
        <f t="shared" si="0"/>
        <v>85.000000000000014</v>
      </c>
      <c r="M59" s="11">
        <v>6</v>
      </c>
      <c r="N59" s="11" t="s">
        <v>218</v>
      </c>
      <c r="O59" s="11" t="s">
        <v>1501</v>
      </c>
      <c r="P59" s="27" t="s">
        <v>174</v>
      </c>
      <c r="Q59" s="11" t="s">
        <v>34</v>
      </c>
      <c r="R59" s="2">
        <f t="shared" si="21"/>
        <v>287741.15000000002</v>
      </c>
      <c r="S59" s="2">
        <v>287741.15000000002</v>
      </c>
      <c r="T59" s="2">
        <v>0</v>
      </c>
      <c r="U59" s="1">
        <f t="shared" si="2"/>
        <v>44007.47</v>
      </c>
      <c r="V59" s="28">
        <v>44007.47</v>
      </c>
      <c r="W59" s="28">
        <v>0</v>
      </c>
      <c r="X59" s="1">
        <f t="shared" si="7"/>
        <v>6770.38</v>
      </c>
      <c r="Y59" s="2">
        <v>6770.38</v>
      </c>
      <c r="Z59" s="2">
        <v>0</v>
      </c>
      <c r="AA59" s="2">
        <v>0</v>
      </c>
      <c r="AB59" s="2">
        <v>0</v>
      </c>
      <c r="AC59" s="2">
        <v>0</v>
      </c>
      <c r="AD59" s="16">
        <f t="shared" si="6"/>
        <v>338519</v>
      </c>
      <c r="AE59" s="2">
        <v>0</v>
      </c>
      <c r="AF59" s="2">
        <f t="shared" si="22"/>
        <v>338519</v>
      </c>
      <c r="AG59" s="21" t="s">
        <v>1431</v>
      </c>
      <c r="AH59" s="29"/>
      <c r="AI59" s="30">
        <v>0</v>
      </c>
      <c r="AJ59" s="30">
        <v>0</v>
      </c>
    </row>
    <row r="60" spans="1:36" s="185" customFormat="1" ht="141.75" x14ac:dyDescent="0.25">
      <c r="A60" s="6">
        <v>57</v>
      </c>
      <c r="B60" s="31">
        <v>155019</v>
      </c>
      <c r="C60" s="11">
        <v>1193</v>
      </c>
      <c r="D60" s="9" t="s">
        <v>1639</v>
      </c>
      <c r="E60" s="24" t="s">
        <v>2024</v>
      </c>
      <c r="F60" s="31" t="s">
        <v>2128</v>
      </c>
      <c r="G60" s="11" t="s">
        <v>1931</v>
      </c>
      <c r="H60" s="11" t="s">
        <v>151</v>
      </c>
      <c r="I60" s="12" t="s">
        <v>2129</v>
      </c>
      <c r="J60" s="25">
        <v>44662</v>
      </c>
      <c r="K60" s="25">
        <v>45149</v>
      </c>
      <c r="L60" s="26">
        <f t="shared" si="0"/>
        <v>85.000000508510922</v>
      </c>
      <c r="M60" s="11">
        <v>6</v>
      </c>
      <c r="N60" s="11" t="s">
        <v>218</v>
      </c>
      <c r="O60" s="11" t="s">
        <v>1501</v>
      </c>
      <c r="P60" s="27" t="s">
        <v>174</v>
      </c>
      <c r="Q60" s="11" t="s">
        <v>34</v>
      </c>
      <c r="R60" s="2">
        <f t="shared" si="21"/>
        <v>2005856.6</v>
      </c>
      <c r="S60" s="2">
        <v>2005856.6</v>
      </c>
      <c r="T60" s="2">
        <v>0</v>
      </c>
      <c r="U60" s="1">
        <f t="shared" si="2"/>
        <v>306778.06</v>
      </c>
      <c r="V60" s="28">
        <v>306778.06</v>
      </c>
      <c r="W60" s="28">
        <v>0</v>
      </c>
      <c r="X60" s="1">
        <f t="shared" si="7"/>
        <v>47196.62</v>
      </c>
      <c r="Y60" s="2">
        <v>47196.62</v>
      </c>
      <c r="Z60" s="2">
        <v>0</v>
      </c>
      <c r="AA60" s="2">
        <v>0</v>
      </c>
      <c r="AB60" s="2">
        <v>0</v>
      </c>
      <c r="AC60" s="2">
        <v>0</v>
      </c>
      <c r="AD60" s="16">
        <f t="shared" si="6"/>
        <v>2359831.2800000003</v>
      </c>
      <c r="AE60" s="2">
        <v>0</v>
      </c>
      <c r="AF60" s="2">
        <f t="shared" si="22"/>
        <v>2359831.2800000003</v>
      </c>
      <c r="AG60" s="21" t="s">
        <v>1431</v>
      </c>
      <c r="AH60" s="29"/>
      <c r="AI60" s="30">
        <v>0</v>
      </c>
      <c r="AJ60" s="30">
        <v>0</v>
      </c>
    </row>
    <row r="61" spans="1:36" s="185" customFormat="1" ht="157.5" x14ac:dyDescent="0.25">
      <c r="A61" s="6">
        <v>58</v>
      </c>
      <c r="B61" s="31">
        <v>154519</v>
      </c>
      <c r="C61" s="11">
        <v>1231</v>
      </c>
      <c r="D61" s="9" t="s">
        <v>1639</v>
      </c>
      <c r="E61" s="24" t="s">
        <v>2024</v>
      </c>
      <c r="F61" s="31" t="s">
        <v>2295</v>
      </c>
      <c r="G61" s="11" t="s">
        <v>1501</v>
      </c>
      <c r="H61" s="11" t="s">
        <v>151</v>
      </c>
      <c r="I61" s="12" t="s">
        <v>2646</v>
      </c>
      <c r="J61" s="25">
        <v>44728</v>
      </c>
      <c r="K61" s="25">
        <v>45215</v>
      </c>
      <c r="L61" s="26">
        <f t="shared" si="0"/>
        <v>85.000000102463531</v>
      </c>
      <c r="M61" s="11">
        <v>6</v>
      </c>
      <c r="N61" s="11" t="s">
        <v>218</v>
      </c>
      <c r="O61" s="11" t="s">
        <v>1501</v>
      </c>
      <c r="P61" s="27" t="s">
        <v>174</v>
      </c>
      <c r="Q61" s="11" t="s">
        <v>34</v>
      </c>
      <c r="R61" s="2">
        <f t="shared" si="21"/>
        <v>1659126.8</v>
      </c>
      <c r="S61" s="2">
        <v>1659126.8</v>
      </c>
      <c r="T61" s="2">
        <v>0</v>
      </c>
      <c r="U61" s="1">
        <f t="shared" si="2"/>
        <v>253748.79</v>
      </c>
      <c r="V61" s="28">
        <v>253748.79</v>
      </c>
      <c r="W61" s="28">
        <v>0</v>
      </c>
      <c r="X61" s="1">
        <f t="shared" si="7"/>
        <v>39038.29</v>
      </c>
      <c r="Y61" s="2">
        <v>39038.29</v>
      </c>
      <c r="Z61" s="2">
        <v>0</v>
      </c>
      <c r="AA61" s="2">
        <v>0</v>
      </c>
      <c r="AB61" s="2">
        <v>0</v>
      </c>
      <c r="AC61" s="2">
        <v>0</v>
      </c>
      <c r="AD61" s="16">
        <f t="shared" si="6"/>
        <v>1951913.8800000001</v>
      </c>
      <c r="AE61" s="2">
        <v>0</v>
      </c>
      <c r="AF61" s="2">
        <f t="shared" si="22"/>
        <v>1951913.8800000001</v>
      </c>
      <c r="AG61" s="21" t="s">
        <v>1431</v>
      </c>
      <c r="AH61" s="29"/>
      <c r="AI61" s="30">
        <v>0</v>
      </c>
      <c r="AJ61" s="30">
        <v>0</v>
      </c>
    </row>
    <row r="62" spans="1:36" s="179" customFormat="1" ht="291" customHeight="1" x14ac:dyDescent="0.25">
      <c r="A62" s="6">
        <v>59</v>
      </c>
      <c r="B62" s="31">
        <v>119593</v>
      </c>
      <c r="C62" s="11">
        <v>467</v>
      </c>
      <c r="D62" s="9" t="s">
        <v>1639</v>
      </c>
      <c r="E62" s="32" t="s">
        <v>457</v>
      </c>
      <c r="F62" s="11" t="s">
        <v>631</v>
      </c>
      <c r="G62" s="11" t="s">
        <v>632</v>
      </c>
      <c r="H62" s="11" t="s">
        <v>283</v>
      </c>
      <c r="I62" s="32" t="s">
        <v>2647</v>
      </c>
      <c r="J62" s="25">
        <v>43293</v>
      </c>
      <c r="K62" s="25">
        <v>43811</v>
      </c>
      <c r="L62" s="26">
        <f t="shared" si="0"/>
        <v>84.262029230668674</v>
      </c>
      <c r="M62" s="11">
        <v>1</v>
      </c>
      <c r="N62" s="11" t="s">
        <v>633</v>
      </c>
      <c r="O62" s="11" t="s">
        <v>633</v>
      </c>
      <c r="P62" s="11" t="s">
        <v>174</v>
      </c>
      <c r="Q62" s="11" t="s">
        <v>34</v>
      </c>
      <c r="R62" s="1">
        <f t="shared" ref="R62" si="24">S62+T62</f>
        <v>349239.24</v>
      </c>
      <c r="S62" s="30">
        <v>349239.24</v>
      </c>
      <c r="T62" s="2">
        <v>0</v>
      </c>
      <c r="U62" s="1">
        <f t="shared" si="2"/>
        <v>56939.5</v>
      </c>
      <c r="V62" s="42">
        <v>56939.5</v>
      </c>
      <c r="W62" s="28">
        <v>0</v>
      </c>
      <c r="X62" s="1">
        <f t="shared" si="7"/>
        <v>4690.93</v>
      </c>
      <c r="Y62" s="30">
        <v>4690.93</v>
      </c>
      <c r="Z62" s="30">
        <v>0</v>
      </c>
      <c r="AA62" s="2">
        <f t="shared" ref="AA62" si="25">AB62+AC62</f>
        <v>3598.44</v>
      </c>
      <c r="AB62" s="2">
        <v>3598.44</v>
      </c>
      <c r="AC62" s="2">
        <v>0</v>
      </c>
      <c r="AD62" s="16">
        <f t="shared" si="6"/>
        <v>414468.11</v>
      </c>
      <c r="AE62" s="35"/>
      <c r="AF62" s="2">
        <f t="shared" ref="AF62" si="26">AD62+AE62</f>
        <v>414468.11</v>
      </c>
      <c r="AG62" s="21" t="s">
        <v>857</v>
      </c>
      <c r="AH62" s="35"/>
      <c r="AI62" s="30">
        <v>304992.26</v>
      </c>
      <c r="AJ62" s="30">
        <v>49408.55</v>
      </c>
    </row>
    <row r="63" spans="1:36" s="179" customFormat="1" ht="215.25" customHeight="1" x14ac:dyDescent="0.25">
      <c r="A63" s="6">
        <v>60</v>
      </c>
      <c r="B63" s="31">
        <v>118690</v>
      </c>
      <c r="C63" s="11">
        <v>433</v>
      </c>
      <c r="D63" s="32" t="s">
        <v>1640</v>
      </c>
      <c r="E63" s="32" t="s">
        <v>507</v>
      </c>
      <c r="F63" s="11" t="s">
        <v>776</v>
      </c>
      <c r="G63" s="11" t="s">
        <v>632</v>
      </c>
      <c r="H63" s="11" t="s">
        <v>782</v>
      </c>
      <c r="I63" s="32" t="s">
        <v>2648</v>
      </c>
      <c r="J63" s="25">
        <v>43333</v>
      </c>
      <c r="K63" s="25">
        <v>43790</v>
      </c>
      <c r="L63" s="26">
        <f t="shared" si="0"/>
        <v>84.169367233766351</v>
      </c>
      <c r="M63" s="11">
        <v>1</v>
      </c>
      <c r="N63" s="11" t="s">
        <v>633</v>
      </c>
      <c r="O63" s="11" t="s">
        <v>633</v>
      </c>
      <c r="P63" s="11" t="s">
        <v>174</v>
      </c>
      <c r="Q63" s="11" t="s">
        <v>777</v>
      </c>
      <c r="R63" s="2">
        <f t="shared" si="21"/>
        <v>242198.44</v>
      </c>
      <c r="S63" s="30">
        <v>242198.44</v>
      </c>
      <c r="T63" s="37">
        <v>0</v>
      </c>
      <c r="U63" s="1">
        <f t="shared" si="2"/>
        <v>39797.81</v>
      </c>
      <c r="V63" s="42">
        <v>39797.81</v>
      </c>
      <c r="W63" s="42">
        <v>0</v>
      </c>
      <c r="X63" s="1">
        <f t="shared" si="7"/>
        <v>5755.04</v>
      </c>
      <c r="Y63" s="30">
        <v>5755.04</v>
      </c>
      <c r="Z63" s="30">
        <v>0</v>
      </c>
      <c r="AA63" s="2">
        <v>0</v>
      </c>
      <c r="AB63" s="37">
        <v>0</v>
      </c>
      <c r="AC63" s="37">
        <v>0</v>
      </c>
      <c r="AD63" s="16">
        <f t="shared" si="6"/>
        <v>287751.28999999998</v>
      </c>
      <c r="AE63" s="35"/>
      <c r="AF63" s="2">
        <f t="shared" ref="AF63" si="27">AD63+AE63</f>
        <v>287751.28999999998</v>
      </c>
      <c r="AG63" s="21" t="s">
        <v>857</v>
      </c>
      <c r="AH63" s="35"/>
      <c r="AI63" s="30">
        <v>204673.28999999998</v>
      </c>
      <c r="AJ63" s="30">
        <v>33582.770000000004</v>
      </c>
    </row>
    <row r="64" spans="1:36" s="179" customFormat="1" ht="141.75" x14ac:dyDescent="0.25">
      <c r="A64" s="6">
        <v>61</v>
      </c>
      <c r="B64" s="31">
        <v>126412</v>
      </c>
      <c r="C64" s="11">
        <v>553</v>
      </c>
      <c r="D64" s="9" t="s">
        <v>1639</v>
      </c>
      <c r="E64" s="32" t="s">
        <v>899</v>
      </c>
      <c r="F64" s="11" t="s">
        <v>1036</v>
      </c>
      <c r="G64" s="11" t="s">
        <v>1037</v>
      </c>
      <c r="H64" s="8" t="s">
        <v>151</v>
      </c>
      <c r="I64" s="32" t="s">
        <v>2649</v>
      </c>
      <c r="J64" s="25">
        <v>43564</v>
      </c>
      <c r="K64" s="25">
        <v>44386</v>
      </c>
      <c r="L64" s="26">
        <f t="shared" si="0"/>
        <v>85.000000068999867</v>
      </c>
      <c r="M64" s="39">
        <v>1</v>
      </c>
      <c r="N64" s="11" t="s">
        <v>633</v>
      </c>
      <c r="O64" s="11" t="s">
        <v>633</v>
      </c>
      <c r="P64" s="11" t="s">
        <v>174</v>
      </c>
      <c r="Q64" s="11" t="s">
        <v>34</v>
      </c>
      <c r="R64" s="2">
        <f t="shared" ref="R64:R69" si="28">S64+T64</f>
        <v>2463772.67</v>
      </c>
      <c r="S64" s="30">
        <v>2463772.67</v>
      </c>
      <c r="T64" s="37">
        <v>0</v>
      </c>
      <c r="U64" s="1">
        <f t="shared" si="2"/>
        <v>376812.29</v>
      </c>
      <c r="V64" s="42">
        <v>376812.29</v>
      </c>
      <c r="W64" s="42">
        <v>0</v>
      </c>
      <c r="X64" s="1">
        <f t="shared" si="7"/>
        <v>57971.12</v>
      </c>
      <c r="Y64" s="30">
        <v>57971.12</v>
      </c>
      <c r="Z64" s="30">
        <v>0</v>
      </c>
      <c r="AA64" s="2">
        <v>0</v>
      </c>
      <c r="AB64" s="37">
        <v>0</v>
      </c>
      <c r="AC64" s="37">
        <v>0</v>
      </c>
      <c r="AD64" s="16">
        <f t="shared" si="6"/>
        <v>2898556.08</v>
      </c>
      <c r="AE64" s="35"/>
      <c r="AF64" s="2">
        <f t="shared" ref="AF64:AF69" si="29">AD64+AE64</f>
        <v>2898556.08</v>
      </c>
      <c r="AG64" s="21" t="s">
        <v>857</v>
      </c>
      <c r="AH64" s="38" t="s">
        <v>1753</v>
      </c>
      <c r="AI64" s="30">
        <f>154953.36+31847.8+249699.67+1140494.35+32440.25+355467.67+474477.07</f>
        <v>2439380.17</v>
      </c>
      <c r="AJ64" s="30">
        <f>23698.73+4870.84+38189.36+174428.55+4961.45+54365.65+72567.08</f>
        <v>373081.66000000003</v>
      </c>
    </row>
    <row r="65" spans="1:37" s="179" customFormat="1" ht="239.25" customHeight="1" x14ac:dyDescent="0.25">
      <c r="A65" s="6">
        <v>62</v>
      </c>
      <c r="B65" s="31">
        <v>128790</v>
      </c>
      <c r="C65" s="31">
        <v>644</v>
      </c>
      <c r="D65" s="9" t="s">
        <v>1639</v>
      </c>
      <c r="E65" s="24" t="s">
        <v>1071</v>
      </c>
      <c r="F65" s="67" t="s">
        <v>1103</v>
      </c>
      <c r="G65" s="11" t="s">
        <v>632</v>
      </c>
      <c r="H65" s="8" t="s">
        <v>151</v>
      </c>
      <c r="I65" s="12" t="s">
        <v>1105</v>
      </c>
      <c r="J65" s="25">
        <v>43629</v>
      </c>
      <c r="K65" s="25">
        <v>44755</v>
      </c>
      <c r="L65" s="26">
        <f t="shared" si="0"/>
        <v>85.000000118502641</v>
      </c>
      <c r="M65" s="27">
        <v>1</v>
      </c>
      <c r="N65" s="11" t="s">
        <v>633</v>
      </c>
      <c r="O65" s="11" t="s">
        <v>633</v>
      </c>
      <c r="P65" s="15" t="s">
        <v>174</v>
      </c>
      <c r="Q65" s="11" t="s">
        <v>34</v>
      </c>
      <c r="R65" s="2">
        <f t="shared" si="28"/>
        <v>2510492.42</v>
      </c>
      <c r="S65" s="30">
        <v>2510492.42</v>
      </c>
      <c r="T65" s="37">
        <v>0</v>
      </c>
      <c r="U65" s="1">
        <f t="shared" si="2"/>
        <v>383957.66</v>
      </c>
      <c r="V65" s="42">
        <v>383957.66</v>
      </c>
      <c r="W65" s="42">
        <v>0</v>
      </c>
      <c r="X65" s="1">
        <f t="shared" si="7"/>
        <v>59070.41</v>
      </c>
      <c r="Y65" s="30">
        <v>59070.41</v>
      </c>
      <c r="Z65" s="30">
        <v>0</v>
      </c>
      <c r="AA65" s="2">
        <v>0</v>
      </c>
      <c r="AB65" s="37">
        <v>0</v>
      </c>
      <c r="AC65" s="37">
        <v>0</v>
      </c>
      <c r="AD65" s="16">
        <f t="shared" si="6"/>
        <v>2953520.49</v>
      </c>
      <c r="AE65" s="37">
        <v>0</v>
      </c>
      <c r="AF65" s="2">
        <f t="shared" si="29"/>
        <v>2953520.49</v>
      </c>
      <c r="AG65" s="38" t="s">
        <v>857</v>
      </c>
      <c r="AH65" s="29" t="s">
        <v>1815</v>
      </c>
      <c r="AI65" s="30">
        <f>25513.52+216514.86-3202.29-3349.26-3120.39+21498.34+295352-31779.61+1211235.46</f>
        <v>1728662.63</v>
      </c>
      <c r="AJ65" s="30">
        <f>3202.29+3349.26+3120.39+29152.92+31779.61+185247.77</f>
        <v>255852.24</v>
      </c>
    </row>
    <row r="66" spans="1:37" s="179" customFormat="1" ht="239.25" customHeight="1" x14ac:dyDescent="0.25">
      <c r="A66" s="6">
        <v>63</v>
      </c>
      <c r="B66" s="31">
        <v>136104</v>
      </c>
      <c r="C66" s="31">
        <v>848</v>
      </c>
      <c r="D66" s="9" t="s">
        <v>1639</v>
      </c>
      <c r="E66" s="24" t="s">
        <v>1441</v>
      </c>
      <c r="F66" s="67" t="s">
        <v>1537</v>
      </c>
      <c r="G66" s="11" t="s">
        <v>1538</v>
      </c>
      <c r="H66" s="11" t="s">
        <v>1539</v>
      </c>
      <c r="I66" s="12" t="s">
        <v>1540</v>
      </c>
      <c r="J66" s="25">
        <v>43998</v>
      </c>
      <c r="K66" s="25">
        <v>45215</v>
      </c>
      <c r="L66" s="26">
        <f t="shared" si="0"/>
        <v>84.490458053736376</v>
      </c>
      <c r="M66" s="27">
        <v>1</v>
      </c>
      <c r="N66" s="11" t="s">
        <v>633</v>
      </c>
      <c r="O66" s="11" t="s">
        <v>1541</v>
      </c>
      <c r="P66" s="15" t="s">
        <v>174</v>
      </c>
      <c r="Q66" s="11" t="s">
        <v>34</v>
      </c>
      <c r="R66" s="2">
        <f t="shared" si="28"/>
        <v>3017836.94</v>
      </c>
      <c r="S66" s="30">
        <v>3017836.94</v>
      </c>
      <c r="T66" s="37">
        <v>0</v>
      </c>
      <c r="U66" s="1">
        <f t="shared" si="2"/>
        <v>482534.9</v>
      </c>
      <c r="V66" s="42">
        <v>482534.9</v>
      </c>
      <c r="W66" s="42">
        <v>0</v>
      </c>
      <c r="X66" s="1">
        <f t="shared" si="7"/>
        <v>50024.56</v>
      </c>
      <c r="Y66" s="30">
        <v>50024.56</v>
      </c>
      <c r="Z66" s="30">
        <v>0</v>
      </c>
      <c r="AA66" s="2">
        <f>AB66+AC66</f>
        <v>21411.599999999999</v>
      </c>
      <c r="AB66" s="37">
        <v>21411.599999999999</v>
      </c>
      <c r="AC66" s="37">
        <v>0</v>
      </c>
      <c r="AD66" s="16">
        <f t="shared" si="6"/>
        <v>3571808</v>
      </c>
      <c r="AE66" s="37">
        <v>0</v>
      </c>
      <c r="AF66" s="2">
        <f t="shared" si="29"/>
        <v>3571808</v>
      </c>
      <c r="AG66" s="38" t="s">
        <v>486</v>
      </c>
      <c r="AH66" s="29" t="s">
        <v>2501</v>
      </c>
      <c r="AI66" s="30">
        <f>107058-9939.36+357180.79+4714.77+107058+84998.48+107058-2374.89+102164.15</f>
        <v>857917.94</v>
      </c>
      <c r="AJ66" s="30">
        <f>17138.58+19724.61+33892.32+18473.49+4893.85</f>
        <v>94122.85000000002</v>
      </c>
    </row>
    <row r="67" spans="1:37" s="179" customFormat="1" ht="187.5" customHeight="1" x14ac:dyDescent="0.25">
      <c r="A67" s="6">
        <v>64</v>
      </c>
      <c r="B67" s="31">
        <v>135796</v>
      </c>
      <c r="C67" s="31">
        <v>830</v>
      </c>
      <c r="D67" s="9" t="s">
        <v>1639</v>
      </c>
      <c r="E67" s="24" t="s">
        <v>1441</v>
      </c>
      <c r="F67" s="67" t="s">
        <v>1548</v>
      </c>
      <c r="G67" s="11" t="s">
        <v>632</v>
      </c>
      <c r="H67" s="8" t="s">
        <v>151</v>
      </c>
      <c r="I67" s="12" t="s">
        <v>1549</v>
      </c>
      <c r="J67" s="25">
        <v>44001</v>
      </c>
      <c r="K67" s="25">
        <v>45279</v>
      </c>
      <c r="L67" s="26">
        <f t="shared" si="0"/>
        <v>85.000000085834074</v>
      </c>
      <c r="M67" s="27">
        <v>1</v>
      </c>
      <c r="N67" s="11" t="s">
        <v>633</v>
      </c>
      <c r="O67" s="11" t="s">
        <v>1823</v>
      </c>
      <c r="P67" s="15" t="s">
        <v>174</v>
      </c>
      <c r="Q67" s="11" t="s">
        <v>34</v>
      </c>
      <c r="R67" s="2">
        <f t="shared" si="28"/>
        <v>2475707.2400000002</v>
      </c>
      <c r="S67" s="30">
        <v>2475707.2400000002</v>
      </c>
      <c r="T67" s="37">
        <v>0</v>
      </c>
      <c r="U67" s="1">
        <f t="shared" si="2"/>
        <v>378637.57</v>
      </c>
      <c r="V67" s="42">
        <v>378637.57</v>
      </c>
      <c r="W67" s="42">
        <v>0</v>
      </c>
      <c r="X67" s="1">
        <f t="shared" si="7"/>
        <v>58251.94</v>
      </c>
      <c r="Y67" s="30">
        <v>58251.94</v>
      </c>
      <c r="Z67" s="30">
        <v>0</v>
      </c>
      <c r="AA67" s="2">
        <f>AB67+AC67</f>
        <v>0</v>
      </c>
      <c r="AB67" s="37">
        <v>0</v>
      </c>
      <c r="AC67" s="37">
        <v>0</v>
      </c>
      <c r="AD67" s="16">
        <f t="shared" si="6"/>
        <v>2912596.75</v>
      </c>
      <c r="AE67" s="37">
        <v>0</v>
      </c>
      <c r="AF67" s="2">
        <f t="shared" si="29"/>
        <v>2912596.75</v>
      </c>
      <c r="AG67" s="38" t="s">
        <v>486</v>
      </c>
      <c r="AH67" s="29" t="s">
        <v>3295</v>
      </c>
      <c r="AI67" s="30">
        <f>30000-3959.41+149847.86+195183.98</f>
        <v>371072.43</v>
      </c>
      <c r="AJ67" s="30">
        <f>3959.41+52792.84</f>
        <v>56752.25</v>
      </c>
    </row>
    <row r="68" spans="1:37" s="179" customFormat="1" ht="157.5" x14ac:dyDescent="0.25">
      <c r="A68" s="6">
        <v>65</v>
      </c>
      <c r="B68" s="31">
        <v>151928</v>
      </c>
      <c r="C68" s="31">
        <v>1106</v>
      </c>
      <c r="D68" s="9" t="s">
        <v>1640</v>
      </c>
      <c r="E68" s="24" t="s">
        <v>1807</v>
      </c>
      <c r="F68" s="67" t="s">
        <v>1821</v>
      </c>
      <c r="G68" s="11" t="s">
        <v>1822</v>
      </c>
      <c r="H68" s="8" t="s">
        <v>151</v>
      </c>
      <c r="I68" s="12" t="s">
        <v>2650</v>
      </c>
      <c r="J68" s="25">
        <v>44474</v>
      </c>
      <c r="K68" s="25">
        <v>44900</v>
      </c>
      <c r="L68" s="26">
        <f t="shared" si="0"/>
        <v>85.000001600945197</v>
      </c>
      <c r="M68" s="27">
        <v>1</v>
      </c>
      <c r="N68" s="11" t="s">
        <v>633</v>
      </c>
      <c r="O68" s="11" t="s">
        <v>1823</v>
      </c>
      <c r="P68" s="15" t="s">
        <v>174</v>
      </c>
      <c r="Q68" s="11" t="s">
        <v>34</v>
      </c>
      <c r="R68" s="2">
        <f t="shared" si="28"/>
        <v>265468.18</v>
      </c>
      <c r="S68" s="30">
        <v>265468.18</v>
      </c>
      <c r="T68" s="37">
        <v>0</v>
      </c>
      <c r="U68" s="1">
        <f t="shared" si="2"/>
        <v>40601.01</v>
      </c>
      <c r="V68" s="42">
        <v>40601.01</v>
      </c>
      <c r="W68" s="42">
        <v>0</v>
      </c>
      <c r="X68" s="1">
        <f t="shared" si="7"/>
        <v>6246.31</v>
      </c>
      <c r="Y68" s="30">
        <v>6246.31</v>
      </c>
      <c r="Z68" s="30">
        <v>0</v>
      </c>
      <c r="AA68" s="2">
        <f>AB68+AC68</f>
        <v>0</v>
      </c>
      <c r="AB68" s="37">
        <v>0</v>
      </c>
      <c r="AC68" s="37">
        <v>0</v>
      </c>
      <c r="AD68" s="16">
        <f t="shared" si="6"/>
        <v>312315.5</v>
      </c>
      <c r="AE68" s="37">
        <v>0</v>
      </c>
      <c r="AF68" s="2">
        <f t="shared" si="29"/>
        <v>312315.5</v>
      </c>
      <c r="AG68" s="38" t="s">
        <v>486</v>
      </c>
      <c r="AH68" s="29"/>
      <c r="AI68" s="30">
        <f>26683.37+167403.25</f>
        <v>194086.62</v>
      </c>
      <c r="AJ68" s="30">
        <f>4080.98+25602.85</f>
        <v>29683.829999999998</v>
      </c>
    </row>
    <row r="69" spans="1:37" s="179" customFormat="1" ht="189" x14ac:dyDescent="0.25">
      <c r="A69" s="6">
        <v>66</v>
      </c>
      <c r="B69" s="31">
        <v>152231</v>
      </c>
      <c r="C69" s="31">
        <v>1147</v>
      </c>
      <c r="D69" s="9" t="s">
        <v>1640</v>
      </c>
      <c r="E69" s="24" t="s">
        <v>1807</v>
      </c>
      <c r="F69" s="67" t="s">
        <v>1997</v>
      </c>
      <c r="G69" s="11" t="s">
        <v>1538</v>
      </c>
      <c r="H69" s="8" t="s">
        <v>151</v>
      </c>
      <c r="I69" s="12" t="s">
        <v>1998</v>
      </c>
      <c r="J69" s="25">
        <v>44603</v>
      </c>
      <c r="K69" s="25">
        <v>44845</v>
      </c>
      <c r="L69" s="26">
        <f t="shared" si="0"/>
        <v>85.000000881839782</v>
      </c>
      <c r="M69" s="27">
        <v>1</v>
      </c>
      <c r="N69" s="11" t="s">
        <v>633</v>
      </c>
      <c r="O69" s="11" t="s">
        <v>1823</v>
      </c>
      <c r="P69" s="15" t="s">
        <v>174</v>
      </c>
      <c r="Q69" s="11" t="s">
        <v>34</v>
      </c>
      <c r="R69" s="2">
        <f t="shared" si="28"/>
        <v>337362.87</v>
      </c>
      <c r="S69" s="30">
        <v>337362.87</v>
      </c>
      <c r="T69" s="37">
        <v>0</v>
      </c>
      <c r="U69" s="1">
        <f t="shared" si="2"/>
        <v>51596.68</v>
      </c>
      <c r="V69" s="42">
        <v>51596.68</v>
      </c>
      <c r="W69" s="42">
        <v>0</v>
      </c>
      <c r="X69" s="1">
        <f t="shared" si="7"/>
        <v>7937.94</v>
      </c>
      <c r="Y69" s="30">
        <v>7937.94</v>
      </c>
      <c r="Z69" s="30">
        <v>0</v>
      </c>
      <c r="AA69" s="2">
        <f>AB69+AC69</f>
        <v>0</v>
      </c>
      <c r="AB69" s="37">
        <v>0</v>
      </c>
      <c r="AC69" s="37">
        <v>0</v>
      </c>
      <c r="AD69" s="16">
        <f t="shared" ref="AD69:AD132" si="30">R69+U69+X69+AA69</f>
        <v>396897.49</v>
      </c>
      <c r="AE69" s="37">
        <v>0</v>
      </c>
      <c r="AF69" s="2">
        <f t="shared" si="29"/>
        <v>396897.49</v>
      </c>
      <c r="AG69" s="38" t="s">
        <v>486</v>
      </c>
      <c r="AH69" s="29"/>
      <c r="AI69" s="30">
        <f>39000+59311.09</f>
        <v>98311.09</v>
      </c>
      <c r="AJ69" s="30">
        <v>9071.11</v>
      </c>
    </row>
    <row r="70" spans="1:37" s="179" customFormat="1" ht="173.25" x14ac:dyDescent="0.25">
      <c r="A70" s="6">
        <v>67</v>
      </c>
      <c r="B70" s="11">
        <v>120555</v>
      </c>
      <c r="C70" s="11">
        <v>93</v>
      </c>
      <c r="D70" s="9" t="s">
        <v>1639</v>
      </c>
      <c r="E70" s="24" t="s">
        <v>277</v>
      </c>
      <c r="F70" s="27" t="s">
        <v>342</v>
      </c>
      <c r="G70" s="11" t="s">
        <v>341</v>
      </c>
      <c r="H70" s="27" t="s">
        <v>343</v>
      </c>
      <c r="I70" s="12" t="s">
        <v>344</v>
      </c>
      <c r="J70" s="25">
        <v>43208</v>
      </c>
      <c r="K70" s="25">
        <v>43817</v>
      </c>
      <c r="L70" s="26">
        <f t="shared" si="0"/>
        <v>84.163181877958579</v>
      </c>
      <c r="M70" s="11">
        <v>2</v>
      </c>
      <c r="N70" s="11" t="s">
        <v>630</v>
      </c>
      <c r="O70" s="11" t="s">
        <v>630</v>
      </c>
      <c r="P70" s="27" t="s">
        <v>174</v>
      </c>
      <c r="Q70" s="11" t="s">
        <v>34</v>
      </c>
      <c r="R70" s="1">
        <f t="shared" ref="R70:R75" si="31">S70+T70</f>
        <v>356789.4</v>
      </c>
      <c r="S70" s="2">
        <v>356789.4</v>
      </c>
      <c r="T70" s="2">
        <v>0</v>
      </c>
      <c r="U70" s="1">
        <f t="shared" si="2"/>
        <v>58657.85</v>
      </c>
      <c r="V70" s="28">
        <v>58657.85</v>
      </c>
      <c r="W70" s="28">
        <v>0</v>
      </c>
      <c r="X70" s="1">
        <f t="shared" si="7"/>
        <v>4304.97</v>
      </c>
      <c r="Y70" s="2">
        <v>4304.97</v>
      </c>
      <c r="Z70" s="2">
        <v>0</v>
      </c>
      <c r="AA70" s="2">
        <f t="shared" ref="AA70:AA72" si="32">AB70+AC70</f>
        <v>4173.53</v>
      </c>
      <c r="AB70" s="2">
        <v>4173.53</v>
      </c>
      <c r="AC70" s="2">
        <v>0</v>
      </c>
      <c r="AD70" s="16">
        <f t="shared" si="30"/>
        <v>423925.75</v>
      </c>
      <c r="AE70" s="2">
        <v>0</v>
      </c>
      <c r="AF70" s="2">
        <f t="shared" ref="AF70:AF72" si="33">AD70+AE70</f>
        <v>423925.75</v>
      </c>
      <c r="AG70" s="38" t="s">
        <v>857</v>
      </c>
      <c r="AH70" s="38" t="s">
        <v>1345</v>
      </c>
      <c r="AI70" s="30">
        <v>331987.39999999997</v>
      </c>
      <c r="AJ70" s="30">
        <v>54793.37</v>
      </c>
    </row>
    <row r="71" spans="1:37" s="179" customFormat="1" ht="141.75" x14ac:dyDescent="0.25">
      <c r="A71" s="6">
        <v>68</v>
      </c>
      <c r="B71" s="11">
        <v>119189</v>
      </c>
      <c r="C71" s="11">
        <v>466</v>
      </c>
      <c r="D71" s="9" t="s">
        <v>1639</v>
      </c>
      <c r="E71" s="11" t="s">
        <v>457</v>
      </c>
      <c r="F71" s="11" t="s">
        <v>563</v>
      </c>
      <c r="G71" s="11" t="s">
        <v>648</v>
      </c>
      <c r="H71" s="8" t="s">
        <v>151</v>
      </c>
      <c r="I71" s="12" t="s">
        <v>647</v>
      </c>
      <c r="J71" s="25">
        <v>43278</v>
      </c>
      <c r="K71" s="25">
        <v>43765</v>
      </c>
      <c r="L71" s="26">
        <f t="shared" si="0"/>
        <v>85.000000991333039</v>
      </c>
      <c r="M71" s="11">
        <v>2</v>
      </c>
      <c r="N71" s="11" t="s">
        <v>630</v>
      </c>
      <c r="O71" s="11" t="s">
        <v>630</v>
      </c>
      <c r="P71" s="27" t="s">
        <v>174</v>
      </c>
      <c r="Q71" s="11" t="s">
        <v>34</v>
      </c>
      <c r="R71" s="1">
        <f t="shared" si="31"/>
        <v>514458.8</v>
      </c>
      <c r="S71" s="2">
        <v>514458.8</v>
      </c>
      <c r="T71" s="2">
        <v>0</v>
      </c>
      <c r="U71" s="1">
        <f t="shared" si="2"/>
        <v>78681.929999999978</v>
      </c>
      <c r="V71" s="28">
        <v>78681.929999999978</v>
      </c>
      <c r="W71" s="28">
        <v>0</v>
      </c>
      <c r="X71" s="1">
        <f t="shared" si="7"/>
        <v>12104.91</v>
      </c>
      <c r="Y71" s="2">
        <v>12104.91</v>
      </c>
      <c r="Z71" s="2">
        <v>0</v>
      </c>
      <c r="AA71" s="2">
        <f t="shared" si="32"/>
        <v>0</v>
      </c>
      <c r="AB71" s="2">
        <v>0</v>
      </c>
      <c r="AC71" s="2">
        <v>0</v>
      </c>
      <c r="AD71" s="16">
        <f t="shared" si="30"/>
        <v>605245.64</v>
      </c>
      <c r="AE71" s="2"/>
      <c r="AF71" s="2">
        <f t="shared" si="33"/>
        <v>605245.64</v>
      </c>
      <c r="AG71" s="21" t="s">
        <v>857</v>
      </c>
      <c r="AH71" s="29" t="s">
        <v>151</v>
      </c>
      <c r="AI71" s="30">
        <v>360382.24999999994</v>
      </c>
      <c r="AJ71" s="30">
        <v>55117.29</v>
      </c>
    </row>
    <row r="72" spans="1:37" s="179" customFormat="1" ht="151.5" customHeight="1" x14ac:dyDescent="0.25">
      <c r="A72" s="6">
        <v>69</v>
      </c>
      <c r="B72" s="11">
        <v>125782</v>
      </c>
      <c r="C72" s="11">
        <v>520</v>
      </c>
      <c r="D72" s="9" t="s">
        <v>1639</v>
      </c>
      <c r="E72" s="32" t="s">
        <v>899</v>
      </c>
      <c r="F72" s="11" t="s">
        <v>926</v>
      </c>
      <c r="G72" s="11" t="s">
        <v>648</v>
      </c>
      <c r="H72" s="8" t="s">
        <v>151</v>
      </c>
      <c r="I72" s="12" t="s">
        <v>927</v>
      </c>
      <c r="J72" s="25">
        <v>43445</v>
      </c>
      <c r="K72" s="25">
        <v>44572</v>
      </c>
      <c r="L72" s="26">
        <f t="shared" si="0"/>
        <v>84.999999737203865</v>
      </c>
      <c r="M72" s="11">
        <v>2</v>
      </c>
      <c r="N72" s="11" t="s">
        <v>630</v>
      </c>
      <c r="O72" s="11" t="s">
        <v>630</v>
      </c>
      <c r="P72" s="27" t="s">
        <v>174</v>
      </c>
      <c r="Q72" s="11" t="s">
        <v>34</v>
      </c>
      <c r="R72" s="1">
        <f t="shared" si="31"/>
        <v>1132056.27</v>
      </c>
      <c r="S72" s="2">
        <v>1132056.27</v>
      </c>
      <c r="T72" s="2">
        <v>0</v>
      </c>
      <c r="U72" s="1">
        <f t="shared" si="2"/>
        <v>173138.02</v>
      </c>
      <c r="V72" s="28">
        <v>173138.02</v>
      </c>
      <c r="W72" s="28">
        <v>0</v>
      </c>
      <c r="X72" s="1">
        <f t="shared" si="7"/>
        <v>26636.62</v>
      </c>
      <c r="Y72" s="2">
        <v>26636.62</v>
      </c>
      <c r="Z72" s="30">
        <v>0</v>
      </c>
      <c r="AA72" s="2">
        <f t="shared" si="32"/>
        <v>0</v>
      </c>
      <c r="AB72" s="2">
        <v>0</v>
      </c>
      <c r="AC72" s="2">
        <v>0</v>
      </c>
      <c r="AD72" s="16">
        <f t="shared" si="30"/>
        <v>1331830.9100000001</v>
      </c>
      <c r="AE72" s="35"/>
      <c r="AF72" s="2">
        <f t="shared" si="33"/>
        <v>1331830.9100000001</v>
      </c>
      <c r="AG72" s="38" t="s">
        <v>857</v>
      </c>
      <c r="AH72" s="38" t="s">
        <v>1799</v>
      </c>
      <c r="AI72" s="30">
        <f>239963.16+228953.11+164151.67</f>
        <v>633067.94000000006</v>
      </c>
      <c r="AJ72" s="30">
        <f>36700.24+35016.36+25105.55</f>
        <v>96822.150000000009</v>
      </c>
    </row>
    <row r="73" spans="1:37" s="179" customFormat="1" ht="151.5" customHeight="1" x14ac:dyDescent="0.25">
      <c r="A73" s="6">
        <v>70</v>
      </c>
      <c r="B73" s="11">
        <v>129167</v>
      </c>
      <c r="C73" s="11">
        <v>662</v>
      </c>
      <c r="D73" s="9" t="s">
        <v>1639</v>
      </c>
      <c r="E73" s="68" t="s">
        <v>1071</v>
      </c>
      <c r="F73" s="11" t="s">
        <v>1166</v>
      </c>
      <c r="G73" s="11" t="s">
        <v>341</v>
      </c>
      <c r="H73" s="8" t="s">
        <v>151</v>
      </c>
      <c r="I73" s="12" t="s">
        <v>1167</v>
      </c>
      <c r="J73" s="25">
        <v>43662</v>
      </c>
      <c r="K73" s="25">
        <v>44881</v>
      </c>
      <c r="L73" s="26">
        <f t="shared" si="0"/>
        <v>85.000000251461756</v>
      </c>
      <c r="M73" s="11">
        <v>2</v>
      </c>
      <c r="N73" s="11" t="s">
        <v>630</v>
      </c>
      <c r="O73" s="11" t="s">
        <v>630</v>
      </c>
      <c r="P73" s="27" t="s">
        <v>174</v>
      </c>
      <c r="Q73" s="11" t="s">
        <v>34</v>
      </c>
      <c r="R73" s="1">
        <f t="shared" si="31"/>
        <v>3211223.96</v>
      </c>
      <c r="S73" s="1">
        <v>3211223.96</v>
      </c>
      <c r="T73" s="2">
        <v>0</v>
      </c>
      <c r="U73" s="1">
        <f t="shared" si="2"/>
        <v>491128.16</v>
      </c>
      <c r="V73" s="28">
        <v>491128.16</v>
      </c>
      <c r="W73" s="28">
        <v>0</v>
      </c>
      <c r="X73" s="1">
        <f t="shared" si="7"/>
        <v>75558.41</v>
      </c>
      <c r="Y73" s="2">
        <v>75558.41</v>
      </c>
      <c r="Z73" s="30">
        <v>0</v>
      </c>
      <c r="AA73" s="2">
        <v>0</v>
      </c>
      <c r="AB73" s="2">
        <v>0</v>
      </c>
      <c r="AC73" s="2">
        <v>0</v>
      </c>
      <c r="AD73" s="16">
        <f t="shared" si="30"/>
        <v>3777910.5300000003</v>
      </c>
      <c r="AE73" s="35">
        <v>0</v>
      </c>
      <c r="AF73" s="2">
        <f>AD73+AE73</f>
        <v>3777910.5300000003</v>
      </c>
      <c r="AG73" s="38" t="s">
        <v>486</v>
      </c>
      <c r="AH73" s="38" t="s">
        <v>2390</v>
      </c>
      <c r="AI73" s="30">
        <f>7795.35+11297.44+29831.01+34402.13+65919.46+3787.6+4691.15+75251.01+163937.9</f>
        <v>396913.05000000005</v>
      </c>
      <c r="AJ73" s="30">
        <f>1192.23+1727.85+4562.37+5261.5+10081.79+579.28+717.47+11508.97+25072.85</f>
        <v>60704.31</v>
      </c>
    </row>
    <row r="74" spans="1:37" s="179" customFormat="1" ht="151.5" customHeight="1" x14ac:dyDescent="0.25">
      <c r="A74" s="6">
        <v>71</v>
      </c>
      <c r="B74" s="11">
        <v>135233</v>
      </c>
      <c r="C74" s="11">
        <v>825</v>
      </c>
      <c r="D74" s="9" t="s">
        <v>1639</v>
      </c>
      <c r="E74" s="24" t="s">
        <v>1441</v>
      </c>
      <c r="F74" s="11" t="s">
        <v>1564</v>
      </c>
      <c r="G74" s="11" t="s">
        <v>648</v>
      </c>
      <c r="H74" s="8" t="s">
        <v>151</v>
      </c>
      <c r="I74" s="12" t="s">
        <v>2651</v>
      </c>
      <c r="J74" s="25">
        <v>44014</v>
      </c>
      <c r="K74" s="25">
        <v>45171</v>
      </c>
      <c r="L74" s="26">
        <f t="shared" si="0"/>
        <v>85.000000166955815</v>
      </c>
      <c r="M74" s="11">
        <v>2</v>
      </c>
      <c r="N74" s="11" t="s">
        <v>630</v>
      </c>
      <c r="O74" s="11" t="s">
        <v>630</v>
      </c>
      <c r="P74" s="27" t="s">
        <v>174</v>
      </c>
      <c r="Q74" s="11" t="s">
        <v>34</v>
      </c>
      <c r="R74" s="1">
        <f t="shared" si="31"/>
        <v>2545583.83</v>
      </c>
      <c r="S74" s="1">
        <v>2545583.83</v>
      </c>
      <c r="T74" s="2">
        <v>0</v>
      </c>
      <c r="U74" s="1">
        <f t="shared" si="2"/>
        <v>389324.58</v>
      </c>
      <c r="V74" s="28">
        <v>389324.58</v>
      </c>
      <c r="W74" s="28">
        <v>0</v>
      </c>
      <c r="X74" s="1">
        <f t="shared" si="7"/>
        <v>59896.09</v>
      </c>
      <c r="Y74" s="2">
        <v>59896.09</v>
      </c>
      <c r="Z74" s="30">
        <v>0</v>
      </c>
      <c r="AA74" s="2">
        <v>0</v>
      </c>
      <c r="AB74" s="2">
        <v>0</v>
      </c>
      <c r="AC74" s="2">
        <v>0</v>
      </c>
      <c r="AD74" s="16">
        <f t="shared" si="30"/>
        <v>2994804.5</v>
      </c>
      <c r="AE74" s="42">
        <v>174735</v>
      </c>
      <c r="AF74" s="2">
        <f>AD74+AE74</f>
        <v>3169539.5</v>
      </c>
      <c r="AG74" s="38" t="s">
        <v>486</v>
      </c>
      <c r="AH74" s="38" t="s">
        <v>2255</v>
      </c>
      <c r="AI74" s="30">
        <f>64682.3+111484.3</f>
        <v>176166.6</v>
      </c>
      <c r="AJ74" s="30">
        <f>9892.58+17050.54</f>
        <v>26943.120000000003</v>
      </c>
    </row>
    <row r="75" spans="1:37" s="179" customFormat="1" ht="151.5" customHeight="1" x14ac:dyDescent="0.25">
      <c r="A75" s="6">
        <v>72</v>
      </c>
      <c r="B75" s="11">
        <v>151877</v>
      </c>
      <c r="C75" s="11">
        <v>1115</v>
      </c>
      <c r="D75" s="9" t="s">
        <v>1640</v>
      </c>
      <c r="E75" s="24" t="s">
        <v>1807</v>
      </c>
      <c r="F75" s="11" t="s">
        <v>1834</v>
      </c>
      <c r="G75" s="11" t="s">
        <v>648</v>
      </c>
      <c r="H75" s="11" t="s">
        <v>1835</v>
      </c>
      <c r="I75" s="12" t="s">
        <v>1836</v>
      </c>
      <c r="J75" s="25">
        <v>44482</v>
      </c>
      <c r="K75" s="25">
        <v>44970</v>
      </c>
      <c r="L75" s="26">
        <f t="shared" si="0"/>
        <v>85</v>
      </c>
      <c r="M75" s="11">
        <v>2</v>
      </c>
      <c r="N75" s="11" t="s">
        <v>630</v>
      </c>
      <c r="O75" s="11" t="s">
        <v>630</v>
      </c>
      <c r="P75" s="27" t="s">
        <v>174</v>
      </c>
      <c r="Q75" s="11" t="s">
        <v>34</v>
      </c>
      <c r="R75" s="1">
        <f t="shared" si="31"/>
        <v>299497.5</v>
      </c>
      <c r="S75" s="1">
        <v>299497.5</v>
      </c>
      <c r="T75" s="2">
        <v>0</v>
      </c>
      <c r="U75" s="1">
        <f t="shared" si="2"/>
        <v>41944.5</v>
      </c>
      <c r="V75" s="28">
        <v>41944.5</v>
      </c>
      <c r="W75" s="28">
        <v>0</v>
      </c>
      <c r="X75" s="1">
        <f t="shared" si="7"/>
        <v>10908</v>
      </c>
      <c r="Y75" s="2">
        <v>10908</v>
      </c>
      <c r="Z75" s="30">
        <v>0</v>
      </c>
      <c r="AA75" s="2">
        <v>0</v>
      </c>
      <c r="AB75" s="2">
        <v>0</v>
      </c>
      <c r="AC75" s="2">
        <v>0</v>
      </c>
      <c r="AD75" s="16">
        <f t="shared" si="30"/>
        <v>352350</v>
      </c>
      <c r="AE75" s="35">
        <v>0</v>
      </c>
      <c r="AF75" s="2">
        <f>AD75+AE75</f>
        <v>352350</v>
      </c>
      <c r="AG75" s="38" t="s">
        <v>486</v>
      </c>
      <c r="AH75" s="35"/>
      <c r="AI75" s="30">
        <f>7259.51+56372.05</f>
        <v>63631.560000000005</v>
      </c>
      <c r="AJ75" s="30">
        <f>1110.28+7032.49</f>
        <v>8142.7699999999995</v>
      </c>
    </row>
    <row r="76" spans="1:37" s="179" customFormat="1" ht="393.75" x14ac:dyDescent="0.25">
      <c r="A76" s="6">
        <v>73</v>
      </c>
      <c r="B76" s="31">
        <v>111300</v>
      </c>
      <c r="C76" s="11">
        <v>123</v>
      </c>
      <c r="D76" s="9" t="s">
        <v>1639</v>
      </c>
      <c r="E76" s="24" t="s">
        <v>277</v>
      </c>
      <c r="F76" s="11" t="s">
        <v>223</v>
      </c>
      <c r="G76" s="11" t="s">
        <v>224</v>
      </c>
      <c r="H76" s="8" t="s">
        <v>151</v>
      </c>
      <c r="I76" s="33" t="s">
        <v>225</v>
      </c>
      <c r="J76" s="25">
        <v>43145</v>
      </c>
      <c r="K76" s="25">
        <v>43630</v>
      </c>
      <c r="L76" s="26">
        <f t="shared" si="0"/>
        <v>84.999999881712782</v>
      </c>
      <c r="M76" s="11">
        <v>7</v>
      </c>
      <c r="N76" s="11" t="s">
        <v>226</v>
      </c>
      <c r="O76" s="11" t="s">
        <v>227</v>
      </c>
      <c r="P76" s="27" t="s">
        <v>174</v>
      </c>
      <c r="Q76" s="11" t="s">
        <v>34</v>
      </c>
      <c r="R76" s="1">
        <f>S76+T76</f>
        <v>359294.94</v>
      </c>
      <c r="S76" s="40">
        <v>359294.94</v>
      </c>
      <c r="T76" s="1">
        <v>0</v>
      </c>
      <c r="U76" s="1">
        <f t="shared" si="2"/>
        <v>54950.99</v>
      </c>
      <c r="V76" s="52">
        <v>54950.99</v>
      </c>
      <c r="W76" s="28">
        <v>0</v>
      </c>
      <c r="X76" s="1">
        <f t="shared" si="7"/>
        <v>8454</v>
      </c>
      <c r="Y76" s="2">
        <v>8454</v>
      </c>
      <c r="Z76" s="2">
        <v>0</v>
      </c>
      <c r="AA76" s="2">
        <f t="shared" ref="AA76:AA95" si="34">AB76+AC76</f>
        <v>0</v>
      </c>
      <c r="AB76" s="69">
        <v>0</v>
      </c>
      <c r="AC76" s="69">
        <v>0</v>
      </c>
      <c r="AD76" s="16">
        <f t="shared" si="30"/>
        <v>422699.93</v>
      </c>
      <c r="AE76" s="2">
        <v>0</v>
      </c>
      <c r="AF76" s="2">
        <f>AD76+AE76</f>
        <v>422699.93</v>
      </c>
      <c r="AG76" s="21" t="s">
        <v>857</v>
      </c>
      <c r="AH76" s="29" t="s">
        <v>151</v>
      </c>
      <c r="AI76" s="30">
        <v>330029.05000000005</v>
      </c>
      <c r="AJ76" s="30">
        <v>50475.040000000001</v>
      </c>
      <c r="AK76" s="119"/>
    </row>
    <row r="77" spans="1:37" s="179" customFormat="1" ht="166.5" customHeight="1" x14ac:dyDescent="0.25">
      <c r="A77" s="6">
        <v>74</v>
      </c>
      <c r="B77" s="31">
        <v>110505</v>
      </c>
      <c r="C77" s="11">
        <v>125</v>
      </c>
      <c r="D77" s="9" t="s">
        <v>1639</v>
      </c>
      <c r="E77" s="24" t="s">
        <v>277</v>
      </c>
      <c r="F77" s="11" t="s">
        <v>262</v>
      </c>
      <c r="G77" s="11" t="s">
        <v>1265</v>
      </c>
      <c r="H77" s="8" t="s">
        <v>151</v>
      </c>
      <c r="I77" s="12" t="s">
        <v>265</v>
      </c>
      <c r="J77" s="25">
        <v>43173</v>
      </c>
      <c r="K77" s="25">
        <v>43660</v>
      </c>
      <c r="L77" s="26">
        <f t="shared" si="0"/>
        <v>84.99999981945335</v>
      </c>
      <c r="M77" s="11">
        <v>7</v>
      </c>
      <c r="N77" s="11" t="s">
        <v>226</v>
      </c>
      <c r="O77" s="11" t="s">
        <v>226</v>
      </c>
      <c r="P77" s="27" t="s">
        <v>174</v>
      </c>
      <c r="Q77" s="11" t="s">
        <v>34</v>
      </c>
      <c r="R77" s="1">
        <f>S77+T77</f>
        <v>470792.44</v>
      </c>
      <c r="S77" s="2">
        <v>470792.44</v>
      </c>
      <c r="T77" s="2">
        <v>0</v>
      </c>
      <c r="U77" s="1">
        <f t="shared" si="2"/>
        <v>72003.55</v>
      </c>
      <c r="V77" s="28">
        <v>72003.55</v>
      </c>
      <c r="W77" s="28">
        <v>0</v>
      </c>
      <c r="X77" s="1">
        <f t="shared" si="7"/>
        <v>11077.47</v>
      </c>
      <c r="Y77" s="2">
        <v>11077.47</v>
      </c>
      <c r="Z77" s="2">
        <v>0</v>
      </c>
      <c r="AA77" s="2">
        <f t="shared" si="34"/>
        <v>0</v>
      </c>
      <c r="AB77" s="69">
        <v>0</v>
      </c>
      <c r="AC77" s="69">
        <v>0</v>
      </c>
      <c r="AD77" s="16">
        <f t="shared" si="30"/>
        <v>553873.46</v>
      </c>
      <c r="AE77" s="2">
        <v>0</v>
      </c>
      <c r="AF77" s="2">
        <f t="shared" ref="AF77:AF95" si="35">AD77+AE77</f>
        <v>553873.46</v>
      </c>
      <c r="AG77" s="21" t="s">
        <v>857</v>
      </c>
      <c r="AH77" s="29" t="s">
        <v>151</v>
      </c>
      <c r="AI77" s="30">
        <v>369783.92</v>
      </c>
      <c r="AJ77" s="30">
        <v>56555.21</v>
      </c>
    </row>
    <row r="78" spans="1:37" s="179" customFormat="1" ht="318.75" customHeight="1" x14ac:dyDescent="0.25">
      <c r="A78" s="6">
        <v>75</v>
      </c>
      <c r="B78" s="31">
        <v>119450</v>
      </c>
      <c r="C78" s="11">
        <v>485</v>
      </c>
      <c r="D78" s="9" t="s">
        <v>1639</v>
      </c>
      <c r="E78" s="24" t="s">
        <v>457</v>
      </c>
      <c r="F78" s="11" t="s">
        <v>653</v>
      </c>
      <c r="G78" s="11" t="s">
        <v>1646</v>
      </c>
      <c r="H78" s="8" t="s">
        <v>151</v>
      </c>
      <c r="I78" s="12" t="s">
        <v>654</v>
      </c>
      <c r="J78" s="25">
        <v>43298</v>
      </c>
      <c r="K78" s="25">
        <v>43786</v>
      </c>
      <c r="L78" s="26">
        <f t="shared" si="0"/>
        <v>85.000002578269815</v>
      </c>
      <c r="M78" s="11">
        <v>7</v>
      </c>
      <c r="N78" s="11" t="s">
        <v>226</v>
      </c>
      <c r="O78" s="11" t="s">
        <v>822</v>
      </c>
      <c r="P78" s="27" t="s">
        <v>174</v>
      </c>
      <c r="Q78" s="11" t="s">
        <v>34</v>
      </c>
      <c r="R78" s="1">
        <f t="shared" ref="R78:R79" si="36">S78+T78</f>
        <v>329678.46000000002</v>
      </c>
      <c r="S78" s="2">
        <v>329678.46000000002</v>
      </c>
      <c r="T78" s="2">
        <v>0</v>
      </c>
      <c r="U78" s="1">
        <f t="shared" si="2"/>
        <v>50421.4</v>
      </c>
      <c r="V78" s="28">
        <v>50421.4</v>
      </c>
      <c r="W78" s="28">
        <v>0</v>
      </c>
      <c r="X78" s="1">
        <f t="shared" si="7"/>
        <v>7757.14</v>
      </c>
      <c r="Y78" s="2">
        <v>7757.14</v>
      </c>
      <c r="Z78" s="2">
        <v>0</v>
      </c>
      <c r="AA78" s="2">
        <f t="shared" si="34"/>
        <v>0</v>
      </c>
      <c r="AB78" s="69">
        <v>0</v>
      </c>
      <c r="AC78" s="69">
        <v>0</v>
      </c>
      <c r="AD78" s="16">
        <f t="shared" si="30"/>
        <v>387857.00000000006</v>
      </c>
      <c r="AE78" s="2">
        <v>0</v>
      </c>
      <c r="AF78" s="2">
        <f t="shared" si="35"/>
        <v>387857.00000000006</v>
      </c>
      <c r="AG78" s="21" t="s">
        <v>857</v>
      </c>
      <c r="AH78" s="29" t="s">
        <v>151</v>
      </c>
      <c r="AI78" s="30">
        <v>321577.40000000002</v>
      </c>
      <c r="AJ78" s="30">
        <v>49182.460000000006</v>
      </c>
    </row>
    <row r="79" spans="1:37" s="179" customFormat="1" ht="409.5" x14ac:dyDescent="0.25">
      <c r="A79" s="6">
        <v>76</v>
      </c>
      <c r="B79" s="31">
        <v>118753</v>
      </c>
      <c r="C79" s="11">
        <v>438</v>
      </c>
      <c r="D79" s="32" t="s">
        <v>1640</v>
      </c>
      <c r="E79" s="24" t="s">
        <v>507</v>
      </c>
      <c r="F79" s="11" t="s">
        <v>821</v>
      </c>
      <c r="G79" s="11" t="s">
        <v>1646</v>
      </c>
      <c r="H79" s="8" t="s">
        <v>151</v>
      </c>
      <c r="I79" s="32" t="s">
        <v>823</v>
      </c>
      <c r="J79" s="25">
        <v>43348</v>
      </c>
      <c r="K79" s="25">
        <v>43651</v>
      </c>
      <c r="L79" s="26">
        <f t="shared" si="0"/>
        <v>85.000001668065067</v>
      </c>
      <c r="M79" s="11">
        <v>7</v>
      </c>
      <c r="N79" s="11" t="s">
        <v>226</v>
      </c>
      <c r="O79" s="11" t="s">
        <v>822</v>
      </c>
      <c r="P79" s="27" t="s">
        <v>174</v>
      </c>
      <c r="Q79" s="11" t="s">
        <v>34</v>
      </c>
      <c r="R79" s="1">
        <f t="shared" si="36"/>
        <v>254786.23</v>
      </c>
      <c r="S79" s="30">
        <v>254786.23</v>
      </c>
      <c r="T79" s="2">
        <v>0</v>
      </c>
      <c r="U79" s="1">
        <f t="shared" si="2"/>
        <v>38967.300000000003</v>
      </c>
      <c r="V79" s="42">
        <v>38967.300000000003</v>
      </c>
      <c r="W79" s="28">
        <v>0</v>
      </c>
      <c r="X79" s="1">
        <f t="shared" si="7"/>
        <v>5994.97</v>
      </c>
      <c r="Y79" s="30">
        <v>5994.97</v>
      </c>
      <c r="Z79" s="30">
        <v>0</v>
      </c>
      <c r="AA79" s="2">
        <f t="shared" si="34"/>
        <v>0</v>
      </c>
      <c r="AB79" s="41">
        <v>0</v>
      </c>
      <c r="AC79" s="41">
        <v>0</v>
      </c>
      <c r="AD79" s="16">
        <f t="shared" si="30"/>
        <v>299748.5</v>
      </c>
      <c r="AE79" s="38">
        <v>0</v>
      </c>
      <c r="AF79" s="2">
        <f t="shared" si="35"/>
        <v>299748.5</v>
      </c>
      <c r="AG79" s="21" t="s">
        <v>857</v>
      </c>
      <c r="AH79" s="29" t="s">
        <v>151</v>
      </c>
      <c r="AI79" s="30">
        <v>238361.69</v>
      </c>
      <c r="AJ79" s="30">
        <v>36455.329999999994</v>
      </c>
      <c r="AK79" s="43"/>
    </row>
    <row r="80" spans="1:37" s="179" customFormat="1" ht="141.75" x14ac:dyDescent="0.25">
      <c r="A80" s="6">
        <v>77</v>
      </c>
      <c r="B80" s="31">
        <v>126380</v>
      </c>
      <c r="C80" s="11">
        <v>567</v>
      </c>
      <c r="D80" s="9" t="s">
        <v>1639</v>
      </c>
      <c r="E80" s="32" t="s">
        <v>899</v>
      </c>
      <c r="F80" s="70" t="s">
        <v>918</v>
      </c>
      <c r="G80" s="11" t="s">
        <v>919</v>
      </c>
      <c r="H80" s="8" t="s">
        <v>151</v>
      </c>
      <c r="I80" s="32" t="s">
        <v>2652</v>
      </c>
      <c r="J80" s="25">
        <v>43440</v>
      </c>
      <c r="K80" s="25">
        <v>44475</v>
      </c>
      <c r="L80" s="26">
        <f t="shared" si="0"/>
        <v>85.00000001812522</v>
      </c>
      <c r="M80" s="11">
        <v>7</v>
      </c>
      <c r="N80" s="11" t="s">
        <v>226</v>
      </c>
      <c r="O80" s="11" t="s">
        <v>226</v>
      </c>
      <c r="P80" s="27" t="s">
        <v>174</v>
      </c>
      <c r="Q80" s="11" t="s">
        <v>34</v>
      </c>
      <c r="R80" s="1">
        <f>S80+T80</f>
        <v>2344798.5</v>
      </c>
      <c r="S80" s="30">
        <v>2344798.5</v>
      </c>
      <c r="T80" s="2">
        <v>0</v>
      </c>
      <c r="U80" s="1">
        <f t="shared" si="2"/>
        <v>358616.24</v>
      </c>
      <c r="V80" s="42">
        <v>358616.24</v>
      </c>
      <c r="W80" s="28">
        <v>0</v>
      </c>
      <c r="X80" s="1">
        <f t="shared" si="7"/>
        <v>55171.73</v>
      </c>
      <c r="Y80" s="30">
        <v>55171.73</v>
      </c>
      <c r="Z80" s="30">
        <v>0</v>
      </c>
      <c r="AA80" s="2">
        <f>AB80+AC80</f>
        <v>0</v>
      </c>
      <c r="AB80" s="41">
        <v>0</v>
      </c>
      <c r="AC80" s="41">
        <v>0</v>
      </c>
      <c r="AD80" s="16">
        <f t="shared" si="30"/>
        <v>2758586.47</v>
      </c>
      <c r="AE80" s="38">
        <v>78540</v>
      </c>
      <c r="AF80" s="2">
        <f>AD80+AE80+AB80</f>
        <v>2837126.47</v>
      </c>
      <c r="AG80" s="38" t="s">
        <v>857</v>
      </c>
      <c r="AH80" s="29" t="s">
        <v>1688</v>
      </c>
      <c r="AI80" s="30">
        <f>93072.41+133593.65+14946.4+380697.25+26616.05+16173.8+9198.7+1078704.06+516946.6</f>
        <v>2269948.92</v>
      </c>
      <c r="AJ80" s="30">
        <f>14234.6+20431.97+2285.92+58224.28+4070.69+2473.64+1406.86+164978.27+79062.42</f>
        <v>347168.64999999997</v>
      </c>
    </row>
    <row r="81" spans="1:36" s="179" customFormat="1" ht="173.25" x14ac:dyDescent="0.25">
      <c r="A81" s="6">
        <v>78</v>
      </c>
      <c r="B81" s="31">
        <v>126524</v>
      </c>
      <c r="C81" s="11">
        <v>552</v>
      </c>
      <c r="D81" s="9" t="s">
        <v>1639</v>
      </c>
      <c r="E81" s="32" t="s">
        <v>899</v>
      </c>
      <c r="F81" s="11" t="s">
        <v>959</v>
      </c>
      <c r="G81" s="11" t="s">
        <v>960</v>
      </c>
      <c r="H81" s="8" t="s">
        <v>151</v>
      </c>
      <c r="I81" s="32" t="s">
        <v>2653</v>
      </c>
      <c r="J81" s="25">
        <v>43480</v>
      </c>
      <c r="K81" s="25">
        <v>44180</v>
      </c>
      <c r="L81" s="26">
        <f t="shared" si="0"/>
        <v>84.99999981002415</v>
      </c>
      <c r="M81" s="11">
        <v>7</v>
      </c>
      <c r="N81" s="11" t="s">
        <v>226</v>
      </c>
      <c r="O81" s="11" t="s">
        <v>263</v>
      </c>
      <c r="P81" s="27" t="s">
        <v>174</v>
      </c>
      <c r="Q81" s="11" t="s">
        <v>34</v>
      </c>
      <c r="R81" s="1">
        <f t="shared" ref="R81:R82" si="37">S81+T81</f>
        <v>2460839.27</v>
      </c>
      <c r="S81" s="30">
        <v>2460839.27</v>
      </c>
      <c r="T81" s="2">
        <v>0</v>
      </c>
      <c r="U81" s="1">
        <f t="shared" si="2"/>
        <v>376363.66</v>
      </c>
      <c r="V81" s="42">
        <v>376363.66</v>
      </c>
      <c r="W81" s="28"/>
      <c r="X81" s="1">
        <f t="shared" si="7"/>
        <v>57902.1</v>
      </c>
      <c r="Y81" s="30">
        <v>57902.1</v>
      </c>
      <c r="Z81" s="30">
        <v>0</v>
      </c>
      <c r="AA81" s="2">
        <f t="shared" ref="AA81:AA82" si="38">AB81+AC81</f>
        <v>0</v>
      </c>
      <c r="AB81" s="41">
        <v>0</v>
      </c>
      <c r="AC81" s="41">
        <v>0</v>
      </c>
      <c r="AD81" s="16">
        <f t="shared" si="30"/>
        <v>2895105.0300000003</v>
      </c>
      <c r="AE81" s="38">
        <v>0</v>
      </c>
      <c r="AF81" s="2">
        <f t="shared" ref="AF81:AF91" si="39">AD81+AE81</f>
        <v>2895105.0300000003</v>
      </c>
      <c r="AG81" s="38" t="s">
        <v>857</v>
      </c>
      <c r="AH81" s="29" t="s">
        <v>1645</v>
      </c>
      <c r="AI81" s="30">
        <f>132379.54+23465.1+1059324.47+12491.6+792382.73</f>
        <v>2020043.44</v>
      </c>
      <c r="AJ81" s="30">
        <f>20246.28+3588.78+162014.32+1910.48+121187.95</f>
        <v>308947.81</v>
      </c>
    </row>
    <row r="82" spans="1:36" s="179" customFormat="1" ht="242.25" customHeight="1" x14ac:dyDescent="0.25">
      <c r="A82" s="6">
        <v>79</v>
      </c>
      <c r="B82" s="31">
        <v>126332</v>
      </c>
      <c r="C82" s="11">
        <v>565</v>
      </c>
      <c r="D82" s="9" t="s">
        <v>1639</v>
      </c>
      <c r="E82" s="32" t="s">
        <v>899</v>
      </c>
      <c r="F82" s="11" t="s">
        <v>1059</v>
      </c>
      <c r="G82" s="11" t="s">
        <v>1060</v>
      </c>
      <c r="H82" s="8" t="s">
        <v>151</v>
      </c>
      <c r="I82" s="33" t="s">
        <v>2654</v>
      </c>
      <c r="J82" s="25">
        <v>43601</v>
      </c>
      <c r="K82" s="25">
        <v>44697</v>
      </c>
      <c r="L82" s="26">
        <f t="shared" si="0"/>
        <v>85.000000553635857</v>
      </c>
      <c r="M82" s="11">
        <v>7</v>
      </c>
      <c r="N82" s="11" t="s">
        <v>226</v>
      </c>
      <c r="O82" s="11" t="s">
        <v>226</v>
      </c>
      <c r="P82" s="27" t="s">
        <v>174</v>
      </c>
      <c r="Q82" s="11" t="s">
        <v>34</v>
      </c>
      <c r="R82" s="1">
        <f t="shared" si="37"/>
        <v>1919131.5</v>
      </c>
      <c r="S82" s="30">
        <v>1919131.5</v>
      </c>
      <c r="T82" s="2">
        <v>0</v>
      </c>
      <c r="U82" s="1">
        <f t="shared" si="2"/>
        <v>293514.21000000002</v>
      </c>
      <c r="V82" s="42">
        <v>293514.21000000002</v>
      </c>
      <c r="W82" s="28">
        <v>0</v>
      </c>
      <c r="X82" s="1">
        <f t="shared" si="7"/>
        <v>45156.04</v>
      </c>
      <c r="Y82" s="30">
        <v>45156.04</v>
      </c>
      <c r="Z82" s="30">
        <v>0</v>
      </c>
      <c r="AA82" s="2">
        <f t="shared" si="38"/>
        <v>0</v>
      </c>
      <c r="AB82" s="41">
        <v>0</v>
      </c>
      <c r="AC82" s="41">
        <v>0</v>
      </c>
      <c r="AD82" s="16">
        <f t="shared" si="30"/>
        <v>2257801.75</v>
      </c>
      <c r="AE82" s="38">
        <v>0</v>
      </c>
      <c r="AF82" s="2">
        <f t="shared" si="39"/>
        <v>2257801.75</v>
      </c>
      <c r="AG82" s="38" t="s">
        <v>857</v>
      </c>
      <c r="AH82" s="29" t="s">
        <v>1991</v>
      </c>
      <c r="AI82" s="30">
        <f>110380.85+341720.62-27335.1+206064.6-8265.27+113793.75+221124.82-17403.75+136197.5+184398.38+557956.36</f>
        <v>1818632.7599999998</v>
      </c>
      <c r="AJ82" s="30">
        <f>9619.15+25878.71+27335.1+8265.27+17403.75+24289.72+17403.75+62613.87+85334.51</f>
        <v>278143.83</v>
      </c>
    </row>
    <row r="83" spans="1:36" s="179" customFormat="1" ht="242.25" customHeight="1" x14ac:dyDescent="0.25">
      <c r="A83" s="6">
        <v>80</v>
      </c>
      <c r="B83" s="31">
        <v>128663</v>
      </c>
      <c r="C83" s="11">
        <v>681</v>
      </c>
      <c r="D83" s="9" t="s">
        <v>1639</v>
      </c>
      <c r="E83" s="32" t="s">
        <v>1071</v>
      </c>
      <c r="F83" s="11" t="s">
        <v>1903</v>
      </c>
      <c r="G83" s="11" t="s">
        <v>1265</v>
      </c>
      <c r="H83" s="11" t="s">
        <v>1266</v>
      </c>
      <c r="I83" s="33" t="s">
        <v>1267</v>
      </c>
      <c r="J83" s="25">
        <v>43683</v>
      </c>
      <c r="K83" s="25">
        <v>44810</v>
      </c>
      <c r="L83" s="26">
        <f t="shared" si="0"/>
        <v>84.604864390882867</v>
      </c>
      <c r="M83" s="11">
        <v>7</v>
      </c>
      <c r="N83" s="11" t="s">
        <v>226</v>
      </c>
      <c r="O83" s="11" t="s">
        <v>226</v>
      </c>
      <c r="P83" s="27" t="s">
        <v>174</v>
      </c>
      <c r="Q83" s="11" t="s">
        <v>34</v>
      </c>
      <c r="R83" s="1">
        <f t="shared" ref="R83:R91" si="40">S83+T83</f>
        <v>3173338.5</v>
      </c>
      <c r="S83" s="30">
        <v>3173338.5</v>
      </c>
      <c r="T83" s="2">
        <v>0</v>
      </c>
      <c r="U83" s="1">
        <f t="shared" ref="U83:U91" si="41">V83+W83</f>
        <v>502421.46</v>
      </c>
      <c r="V83" s="42">
        <v>502421.46</v>
      </c>
      <c r="W83" s="28">
        <v>0</v>
      </c>
      <c r="X83" s="1">
        <f t="shared" si="7"/>
        <v>57579.43</v>
      </c>
      <c r="Y83" s="30">
        <v>57579.43</v>
      </c>
      <c r="Z83" s="30"/>
      <c r="AA83" s="2">
        <f t="shared" ref="AA83:AA91" si="42">AB83+AC83</f>
        <v>17436.080000000002</v>
      </c>
      <c r="AB83" s="41">
        <v>17436.080000000002</v>
      </c>
      <c r="AC83" s="41">
        <v>0</v>
      </c>
      <c r="AD83" s="16">
        <f t="shared" si="30"/>
        <v>3750775.47</v>
      </c>
      <c r="AE83" s="38">
        <v>0</v>
      </c>
      <c r="AF83" s="2">
        <f t="shared" si="39"/>
        <v>3750775.47</v>
      </c>
      <c r="AG83" s="38" t="s">
        <v>857</v>
      </c>
      <c r="AH83" s="29" t="s">
        <v>2011</v>
      </c>
      <c r="AI83" s="30">
        <f>29936.15+58571.7+142260.5+208810.2+151593.51+1032937.68+179659.48+165163.03+35595.96+22763.85+327286.13+670982</f>
        <v>3025560.1900000004</v>
      </c>
      <c r="AJ83" s="30">
        <f>4578.47+10336.18+24340.57+34536.75+25937.21+157978.7+31092.75+28549.9+5705.16+3481.53+50055.52+102620.78</f>
        <v>479213.52</v>
      </c>
    </row>
    <row r="84" spans="1:36" s="179" customFormat="1" ht="242.25" customHeight="1" x14ac:dyDescent="0.25">
      <c r="A84" s="6">
        <v>81</v>
      </c>
      <c r="B84" s="31">
        <v>135887</v>
      </c>
      <c r="C84" s="11">
        <v>771</v>
      </c>
      <c r="D84" s="9" t="s">
        <v>1639</v>
      </c>
      <c r="E84" s="24" t="s">
        <v>1441</v>
      </c>
      <c r="F84" s="11" t="s">
        <v>1503</v>
      </c>
      <c r="G84" s="11" t="s">
        <v>1265</v>
      </c>
      <c r="H84" s="11" t="s">
        <v>1504</v>
      </c>
      <c r="I84" s="33" t="s">
        <v>2655</v>
      </c>
      <c r="J84" s="25">
        <v>43973</v>
      </c>
      <c r="K84" s="25">
        <v>44887</v>
      </c>
      <c r="L84" s="26">
        <f t="shared" si="0"/>
        <v>85.000000472330711</v>
      </c>
      <c r="M84" s="11">
        <v>7</v>
      </c>
      <c r="N84" s="11" t="s">
        <v>226</v>
      </c>
      <c r="O84" s="11" t="s">
        <v>263</v>
      </c>
      <c r="P84" s="27" t="s">
        <v>174</v>
      </c>
      <c r="Q84" s="11" t="s">
        <v>34</v>
      </c>
      <c r="R84" s="1">
        <f t="shared" si="40"/>
        <v>2519421.23</v>
      </c>
      <c r="S84" s="30">
        <v>2519421.23</v>
      </c>
      <c r="T84" s="2">
        <v>0</v>
      </c>
      <c r="U84" s="1">
        <f t="shared" si="41"/>
        <v>385323.23</v>
      </c>
      <c r="V84" s="42">
        <v>385323.23</v>
      </c>
      <c r="W84" s="28">
        <v>0</v>
      </c>
      <c r="X84" s="1">
        <f t="shared" si="7"/>
        <v>59280.5</v>
      </c>
      <c r="Y84" s="30">
        <v>59280.5</v>
      </c>
      <c r="Z84" s="30">
        <v>0</v>
      </c>
      <c r="AA84" s="2">
        <f t="shared" si="42"/>
        <v>0</v>
      </c>
      <c r="AB84" s="30">
        <v>0</v>
      </c>
      <c r="AC84" s="30">
        <v>0</v>
      </c>
      <c r="AD84" s="16">
        <f t="shared" si="30"/>
        <v>2964024.96</v>
      </c>
      <c r="AE84" s="38">
        <v>0</v>
      </c>
      <c r="AF84" s="2">
        <f t="shared" si="39"/>
        <v>2964024.96</v>
      </c>
      <c r="AG84" s="38" t="s">
        <v>486</v>
      </c>
      <c r="AH84" s="29"/>
      <c r="AI84" s="30">
        <f>28723.2+29070.01+32287.08+27169.4+29666.87+472011.8+448188.43+75747.57+34498.95</f>
        <v>1177363.31</v>
      </c>
      <c r="AJ84" s="30">
        <f>4392.96+4446+4938.02+4155.32+4537.29+72190.04+68546.47+11584.92+5276.31</f>
        <v>180067.33</v>
      </c>
    </row>
    <row r="85" spans="1:36" s="179" customFormat="1" ht="242.25" customHeight="1" x14ac:dyDescent="0.25">
      <c r="A85" s="6">
        <v>82</v>
      </c>
      <c r="B85" s="31">
        <v>136330</v>
      </c>
      <c r="C85" s="11">
        <v>840</v>
      </c>
      <c r="D85" s="9" t="s">
        <v>1639</v>
      </c>
      <c r="E85" s="24" t="s">
        <v>1441</v>
      </c>
      <c r="F85" s="11" t="s">
        <v>1536</v>
      </c>
      <c r="G85" s="11" t="s">
        <v>960</v>
      </c>
      <c r="H85" s="8" t="s">
        <v>151</v>
      </c>
      <c r="I85" s="33" t="s">
        <v>2656</v>
      </c>
      <c r="J85" s="25">
        <v>43998</v>
      </c>
      <c r="K85" s="25">
        <v>45001</v>
      </c>
      <c r="L85" s="26">
        <f t="shared" si="0"/>
        <v>85.000000132234348</v>
      </c>
      <c r="M85" s="11">
        <v>7</v>
      </c>
      <c r="N85" s="11" t="s">
        <v>226</v>
      </c>
      <c r="O85" s="11" t="s">
        <v>822</v>
      </c>
      <c r="P85" s="27" t="s">
        <v>174</v>
      </c>
      <c r="Q85" s="11" t="s">
        <v>34</v>
      </c>
      <c r="R85" s="1">
        <f t="shared" si="40"/>
        <v>3213990.68</v>
      </c>
      <c r="S85" s="30">
        <v>3213990.68</v>
      </c>
      <c r="T85" s="2">
        <v>0</v>
      </c>
      <c r="U85" s="1">
        <f t="shared" si="41"/>
        <v>491551.51</v>
      </c>
      <c r="V85" s="42">
        <v>491551.51</v>
      </c>
      <c r="W85" s="28">
        <v>0</v>
      </c>
      <c r="X85" s="1">
        <f t="shared" si="7"/>
        <v>75623.31</v>
      </c>
      <c r="Y85" s="30">
        <v>75623.31</v>
      </c>
      <c r="Z85" s="30">
        <v>0</v>
      </c>
      <c r="AA85" s="2">
        <f t="shared" si="42"/>
        <v>0</v>
      </c>
      <c r="AB85" s="30">
        <v>0</v>
      </c>
      <c r="AC85" s="30">
        <v>0</v>
      </c>
      <c r="AD85" s="16">
        <f t="shared" si="30"/>
        <v>3781165.5000000005</v>
      </c>
      <c r="AE85" s="38">
        <v>0</v>
      </c>
      <c r="AF85" s="2">
        <f t="shared" si="39"/>
        <v>3781165.5000000005</v>
      </c>
      <c r="AG85" s="38" t="s">
        <v>486</v>
      </c>
      <c r="AH85" s="29" t="s">
        <v>2270</v>
      </c>
      <c r="AI85" s="30">
        <f>18452.65+114508.06+21333.3+28721.86+31579.47+365479.99+1020374.85+705932.26</f>
        <v>2306382.44</v>
      </c>
      <c r="AJ85" s="30">
        <f>2822.17+17513+3262.74+4392.75+4829.8+55896.94+156057.33+107966.11</f>
        <v>352740.83999999997</v>
      </c>
    </row>
    <row r="86" spans="1:36" s="179" customFormat="1" ht="204.75" x14ac:dyDescent="0.25">
      <c r="A86" s="6">
        <v>83</v>
      </c>
      <c r="B86" s="31">
        <v>152121</v>
      </c>
      <c r="C86" s="11">
        <v>1133</v>
      </c>
      <c r="D86" s="9" t="s">
        <v>1640</v>
      </c>
      <c r="E86" s="24" t="s">
        <v>1807</v>
      </c>
      <c r="F86" s="11" t="s">
        <v>1860</v>
      </c>
      <c r="G86" s="11" t="s">
        <v>919</v>
      </c>
      <c r="H86" s="8" t="s">
        <v>151</v>
      </c>
      <c r="I86" s="33" t="s">
        <v>2657</v>
      </c>
      <c r="J86" s="25">
        <v>44498</v>
      </c>
      <c r="K86" s="25">
        <v>44863</v>
      </c>
      <c r="L86" s="26">
        <f t="shared" si="0"/>
        <v>85.000000498008617</v>
      </c>
      <c r="M86" s="11">
        <v>7</v>
      </c>
      <c r="N86" s="11" t="s">
        <v>226</v>
      </c>
      <c r="O86" s="11" t="s">
        <v>226</v>
      </c>
      <c r="P86" s="27" t="s">
        <v>174</v>
      </c>
      <c r="Q86" s="11" t="s">
        <v>34</v>
      </c>
      <c r="R86" s="1">
        <f t="shared" si="40"/>
        <v>341359.56</v>
      </c>
      <c r="S86" s="30">
        <v>341359.56</v>
      </c>
      <c r="T86" s="2">
        <v>0</v>
      </c>
      <c r="U86" s="1">
        <f t="shared" si="41"/>
        <v>52207.93</v>
      </c>
      <c r="V86" s="42">
        <v>52207.93</v>
      </c>
      <c r="W86" s="28">
        <v>0</v>
      </c>
      <c r="X86" s="1">
        <f t="shared" si="7"/>
        <v>8031.99</v>
      </c>
      <c r="Y86" s="30">
        <v>8031.99</v>
      </c>
      <c r="Z86" s="30">
        <v>0</v>
      </c>
      <c r="AA86" s="2">
        <f t="shared" si="42"/>
        <v>0</v>
      </c>
      <c r="AB86" s="30">
        <v>0</v>
      </c>
      <c r="AC86" s="30">
        <v>0</v>
      </c>
      <c r="AD86" s="16">
        <f t="shared" si="30"/>
        <v>401599.48</v>
      </c>
      <c r="AE86" s="38">
        <v>0</v>
      </c>
      <c r="AF86" s="2">
        <f t="shared" si="39"/>
        <v>401599.48</v>
      </c>
      <c r="AG86" s="38" t="s">
        <v>486</v>
      </c>
      <c r="AH86" s="29"/>
      <c r="AI86" s="30">
        <v>0</v>
      </c>
      <c r="AJ86" s="30">
        <v>0</v>
      </c>
    </row>
    <row r="87" spans="1:36" s="179" customFormat="1" ht="126.75" customHeight="1" x14ac:dyDescent="0.25">
      <c r="A87" s="6">
        <v>84</v>
      </c>
      <c r="B87" s="31">
        <v>152068</v>
      </c>
      <c r="C87" s="11">
        <v>1128</v>
      </c>
      <c r="D87" s="9" t="s">
        <v>1640</v>
      </c>
      <c r="E87" s="24" t="s">
        <v>1807</v>
      </c>
      <c r="F87" s="11" t="s">
        <v>1869</v>
      </c>
      <c r="G87" s="11" t="s">
        <v>1265</v>
      </c>
      <c r="H87" s="8" t="s">
        <v>151</v>
      </c>
      <c r="I87" s="33" t="s">
        <v>2658</v>
      </c>
      <c r="J87" s="25">
        <v>44511</v>
      </c>
      <c r="K87" s="25">
        <v>44996</v>
      </c>
      <c r="L87" s="26">
        <f t="shared" si="0"/>
        <v>85</v>
      </c>
      <c r="M87" s="11">
        <v>7</v>
      </c>
      <c r="N87" s="11" t="s">
        <v>226</v>
      </c>
      <c r="O87" s="11" t="s">
        <v>226</v>
      </c>
      <c r="P87" s="27" t="s">
        <v>174</v>
      </c>
      <c r="Q87" s="11" t="s">
        <v>34</v>
      </c>
      <c r="R87" s="1">
        <f t="shared" si="40"/>
        <v>351173.25</v>
      </c>
      <c r="S87" s="30">
        <v>351173.25</v>
      </c>
      <c r="T87" s="2">
        <v>0</v>
      </c>
      <c r="U87" s="1">
        <f t="shared" si="41"/>
        <v>53708.85</v>
      </c>
      <c r="V87" s="42">
        <v>53708.85</v>
      </c>
      <c r="W87" s="28">
        <v>0</v>
      </c>
      <c r="X87" s="1">
        <f t="shared" si="7"/>
        <v>8262.9</v>
      </c>
      <c r="Y87" s="30">
        <v>8262.9</v>
      </c>
      <c r="Z87" s="30">
        <v>0</v>
      </c>
      <c r="AA87" s="2">
        <f t="shared" si="42"/>
        <v>0</v>
      </c>
      <c r="AB87" s="30">
        <v>0</v>
      </c>
      <c r="AC87" s="30">
        <v>0</v>
      </c>
      <c r="AD87" s="16">
        <f t="shared" si="30"/>
        <v>413145</v>
      </c>
      <c r="AE87" s="38">
        <v>0</v>
      </c>
      <c r="AF87" s="2">
        <f t="shared" si="39"/>
        <v>413145</v>
      </c>
      <c r="AG87" s="38" t="s">
        <v>486</v>
      </c>
      <c r="AH87" s="29"/>
      <c r="AI87" s="30">
        <v>13604.93</v>
      </c>
      <c r="AJ87" s="30">
        <v>2080.75</v>
      </c>
    </row>
    <row r="88" spans="1:36" s="179" customFormat="1" ht="126.75" customHeight="1" x14ac:dyDescent="0.25">
      <c r="A88" s="6">
        <v>85</v>
      </c>
      <c r="B88" s="31">
        <v>152232</v>
      </c>
      <c r="C88" s="11">
        <v>1148</v>
      </c>
      <c r="D88" s="9" t="s">
        <v>1640</v>
      </c>
      <c r="E88" s="24" t="s">
        <v>1807</v>
      </c>
      <c r="F88" s="11" t="s">
        <v>1984</v>
      </c>
      <c r="G88" s="11" t="s">
        <v>1060</v>
      </c>
      <c r="H88" s="8" t="s">
        <v>151</v>
      </c>
      <c r="I88" s="33" t="s">
        <v>2659</v>
      </c>
      <c r="J88" s="25">
        <v>44579</v>
      </c>
      <c r="K88" s="25">
        <v>45034</v>
      </c>
      <c r="L88" s="26">
        <f t="shared" si="0"/>
        <v>85.000000000000014</v>
      </c>
      <c r="M88" s="11">
        <v>7</v>
      </c>
      <c r="N88" s="11" t="s">
        <v>226</v>
      </c>
      <c r="O88" s="11" t="s">
        <v>1985</v>
      </c>
      <c r="P88" s="27" t="s">
        <v>174</v>
      </c>
      <c r="Q88" s="11" t="s">
        <v>34</v>
      </c>
      <c r="R88" s="1">
        <f t="shared" si="40"/>
        <v>350971.8</v>
      </c>
      <c r="S88" s="30">
        <v>350971.8</v>
      </c>
      <c r="T88" s="2">
        <v>0</v>
      </c>
      <c r="U88" s="1">
        <f t="shared" si="41"/>
        <v>53678.04</v>
      </c>
      <c r="V88" s="42">
        <v>53678.04</v>
      </c>
      <c r="W88" s="28">
        <v>0</v>
      </c>
      <c r="X88" s="1">
        <f t="shared" si="7"/>
        <v>8258.16</v>
      </c>
      <c r="Y88" s="30">
        <v>8258.16</v>
      </c>
      <c r="Z88" s="30">
        <v>0</v>
      </c>
      <c r="AA88" s="2">
        <f t="shared" si="42"/>
        <v>0</v>
      </c>
      <c r="AB88" s="30">
        <v>0</v>
      </c>
      <c r="AC88" s="30">
        <v>0</v>
      </c>
      <c r="AD88" s="16">
        <f t="shared" si="30"/>
        <v>412907.99999999994</v>
      </c>
      <c r="AE88" s="38">
        <v>0</v>
      </c>
      <c r="AF88" s="2">
        <f t="shared" si="39"/>
        <v>412907.99999999994</v>
      </c>
      <c r="AG88" s="38" t="s">
        <v>486</v>
      </c>
      <c r="AH88" s="29"/>
      <c r="AI88" s="30">
        <v>0</v>
      </c>
      <c r="AJ88" s="30">
        <v>0</v>
      </c>
    </row>
    <row r="89" spans="1:36" s="179" customFormat="1" ht="126.75" customHeight="1" x14ac:dyDescent="0.25">
      <c r="A89" s="6">
        <v>86</v>
      </c>
      <c r="B89" s="31">
        <v>155079</v>
      </c>
      <c r="C89" s="11">
        <v>1212</v>
      </c>
      <c r="D89" s="9" t="s">
        <v>1639</v>
      </c>
      <c r="E89" s="24" t="s">
        <v>2024</v>
      </c>
      <c r="F89" s="11" t="s">
        <v>2092</v>
      </c>
      <c r="G89" s="11" t="s">
        <v>1060</v>
      </c>
      <c r="H89" s="8" t="s">
        <v>151</v>
      </c>
      <c r="I89" s="33" t="s">
        <v>2660</v>
      </c>
      <c r="J89" s="25">
        <v>44655</v>
      </c>
      <c r="K89" s="25">
        <v>45142</v>
      </c>
      <c r="L89" s="26">
        <f t="shared" si="0"/>
        <v>85</v>
      </c>
      <c r="M89" s="11">
        <v>7</v>
      </c>
      <c r="N89" s="11" t="s">
        <v>226</v>
      </c>
      <c r="O89" s="11" t="s">
        <v>1985</v>
      </c>
      <c r="P89" s="27" t="s">
        <v>174</v>
      </c>
      <c r="Q89" s="11" t="s">
        <v>34</v>
      </c>
      <c r="R89" s="1">
        <f t="shared" si="40"/>
        <v>2888574.55</v>
      </c>
      <c r="S89" s="30">
        <v>2888574.55</v>
      </c>
      <c r="T89" s="2">
        <v>0</v>
      </c>
      <c r="U89" s="1">
        <f t="shared" si="41"/>
        <v>441781.99</v>
      </c>
      <c r="V89" s="42">
        <v>441781.99</v>
      </c>
      <c r="W89" s="28">
        <v>0</v>
      </c>
      <c r="X89" s="1">
        <f t="shared" si="7"/>
        <v>67966.460000000006</v>
      </c>
      <c r="Y89" s="30">
        <v>67966.460000000006</v>
      </c>
      <c r="Z89" s="30">
        <v>0</v>
      </c>
      <c r="AA89" s="2">
        <f t="shared" si="42"/>
        <v>0</v>
      </c>
      <c r="AB89" s="30">
        <v>0</v>
      </c>
      <c r="AC89" s="30">
        <v>0</v>
      </c>
      <c r="AD89" s="16">
        <f t="shared" si="30"/>
        <v>3398323</v>
      </c>
      <c r="AE89" s="38">
        <v>0</v>
      </c>
      <c r="AF89" s="2">
        <f t="shared" si="39"/>
        <v>3398323</v>
      </c>
      <c r="AG89" s="38" t="s">
        <v>486</v>
      </c>
      <c r="AH89" s="29"/>
      <c r="AI89" s="30">
        <v>0</v>
      </c>
      <c r="AJ89" s="30">
        <v>0</v>
      </c>
    </row>
    <row r="90" spans="1:36" s="179" customFormat="1" ht="126.75" customHeight="1" x14ac:dyDescent="0.25">
      <c r="A90" s="6">
        <v>87</v>
      </c>
      <c r="B90" s="31">
        <v>154612</v>
      </c>
      <c r="C90" s="11">
        <v>1185</v>
      </c>
      <c r="D90" s="9" t="s">
        <v>1639</v>
      </c>
      <c r="E90" s="24" t="s">
        <v>2024</v>
      </c>
      <c r="F90" s="11" t="s">
        <v>2205</v>
      </c>
      <c r="G90" s="11" t="s">
        <v>919</v>
      </c>
      <c r="H90" s="11" t="s">
        <v>2206</v>
      </c>
      <c r="I90" s="33" t="s">
        <v>2661</v>
      </c>
      <c r="J90" s="25">
        <v>44690</v>
      </c>
      <c r="K90" s="25">
        <v>45178</v>
      </c>
      <c r="L90" s="26">
        <f t="shared" si="0"/>
        <v>85.000000535927697</v>
      </c>
      <c r="M90" s="11">
        <v>7</v>
      </c>
      <c r="N90" s="11" t="s">
        <v>226</v>
      </c>
      <c r="O90" s="11" t="s">
        <v>226</v>
      </c>
      <c r="P90" s="27" t="s">
        <v>174</v>
      </c>
      <c r="Q90" s="11" t="s">
        <v>34</v>
      </c>
      <c r="R90" s="1">
        <f t="shared" si="40"/>
        <v>3489276.61</v>
      </c>
      <c r="S90" s="30">
        <v>3489276.61</v>
      </c>
      <c r="T90" s="2">
        <v>0</v>
      </c>
      <c r="U90" s="1">
        <f t="shared" si="41"/>
        <v>533654.05000000005</v>
      </c>
      <c r="V90" s="42">
        <v>533654.05000000005</v>
      </c>
      <c r="W90" s="28">
        <v>0</v>
      </c>
      <c r="X90" s="1">
        <f t="shared" si="7"/>
        <v>82100.62</v>
      </c>
      <c r="Y90" s="30">
        <v>82100.62</v>
      </c>
      <c r="Z90" s="30">
        <v>0</v>
      </c>
      <c r="AA90" s="2">
        <f t="shared" si="42"/>
        <v>0</v>
      </c>
      <c r="AB90" s="30">
        <v>0</v>
      </c>
      <c r="AC90" s="30">
        <v>0</v>
      </c>
      <c r="AD90" s="16">
        <f t="shared" si="30"/>
        <v>4105031.2800000003</v>
      </c>
      <c r="AE90" s="38">
        <v>0</v>
      </c>
      <c r="AF90" s="2">
        <f t="shared" si="39"/>
        <v>4105031.2800000003</v>
      </c>
      <c r="AG90" s="38" t="s">
        <v>486</v>
      </c>
      <c r="AH90" s="29"/>
      <c r="AI90" s="30">
        <v>0</v>
      </c>
      <c r="AJ90" s="30">
        <v>0</v>
      </c>
    </row>
    <row r="91" spans="1:36" s="179" customFormat="1" ht="126.75" customHeight="1" x14ac:dyDescent="0.25">
      <c r="A91" s="6">
        <v>88</v>
      </c>
      <c r="B91" s="31">
        <v>155100</v>
      </c>
      <c r="C91" s="11">
        <v>1252</v>
      </c>
      <c r="D91" s="9" t="s">
        <v>1639</v>
      </c>
      <c r="E91" s="24" t="s">
        <v>2024</v>
      </c>
      <c r="F91" s="11" t="s">
        <v>2261</v>
      </c>
      <c r="G91" s="11" t="s">
        <v>224</v>
      </c>
      <c r="H91" s="8" t="s">
        <v>151</v>
      </c>
      <c r="I91" s="33" t="s">
        <v>2662</v>
      </c>
      <c r="J91" s="25">
        <v>44715</v>
      </c>
      <c r="K91" s="25">
        <v>45202</v>
      </c>
      <c r="L91" s="26">
        <f t="shared" si="0"/>
        <v>85</v>
      </c>
      <c r="M91" s="11">
        <v>7</v>
      </c>
      <c r="N91" s="11" t="s">
        <v>226</v>
      </c>
      <c r="O91" s="11" t="s">
        <v>227</v>
      </c>
      <c r="P91" s="27" t="s">
        <v>174</v>
      </c>
      <c r="Q91" s="11" t="s">
        <v>34</v>
      </c>
      <c r="R91" s="1">
        <f t="shared" si="40"/>
        <v>2521508</v>
      </c>
      <c r="S91" s="30">
        <v>2521508</v>
      </c>
      <c r="T91" s="2">
        <v>0</v>
      </c>
      <c r="U91" s="1">
        <f t="shared" si="41"/>
        <v>385642.4</v>
      </c>
      <c r="V91" s="42">
        <v>385642.4</v>
      </c>
      <c r="W91" s="28">
        <v>0</v>
      </c>
      <c r="X91" s="1">
        <f t="shared" si="7"/>
        <v>59329.599999999999</v>
      </c>
      <c r="Y91" s="30">
        <v>59329.599999999999</v>
      </c>
      <c r="Z91" s="30">
        <v>0</v>
      </c>
      <c r="AA91" s="2">
        <f t="shared" si="42"/>
        <v>0</v>
      </c>
      <c r="AB91" s="30">
        <v>0</v>
      </c>
      <c r="AC91" s="30">
        <v>0</v>
      </c>
      <c r="AD91" s="16">
        <f t="shared" si="30"/>
        <v>2966480</v>
      </c>
      <c r="AE91" s="38">
        <v>0</v>
      </c>
      <c r="AF91" s="2">
        <f t="shared" si="39"/>
        <v>2966480</v>
      </c>
      <c r="AG91" s="38" t="s">
        <v>486</v>
      </c>
      <c r="AH91" s="29"/>
      <c r="AI91" s="30">
        <v>0</v>
      </c>
      <c r="AJ91" s="30">
        <v>0</v>
      </c>
    </row>
    <row r="92" spans="1:36" s="179" customFormat="1" ht="204.75" x14ac:dyDescent="0.25">
      <c r="A92" s="6">
        <v>89</v>
      </c>
      <c r="B92" s="31">
        <v>120503</v>
      </c>
      <c r="C92" s="11">
        <v>80</v>
      </c>
      <c r="D92" s="9" t="s">
        <v>1639</v>
      </c>
      <c r="E92" s="24" t="s">
        <v>276</v>
      </c>
      <c r="F92" s="70" t="s">
        <v>260</v>
      </c>
      <c r="G92" s="11" t="s">
        <v>905</v>
      </c>
      <c r="H92" s="8" t="s">
        <v>151</v>
      </c>
      <c r="I92" s="12" t="s">
        <v>264</v>
      </c>
      <c r="J92" s="25">
        <v>43173</v>
      </c>
      <c r="K92" s="25">
        <v>43599</v>
      </c>
      <c r="L92" s="26">
        <f t="shared" si="0"/>
        <v>79.999997969650394</v>
      </c>
      <c r="M92" s="11">
        <v>8</v>
      </c>
      <c r="N92" s="11" t="s">
        <v>261</v>
      </c>
      <c r="O92" s="11" t="s">
        <v>261</v>
      </c>
      <c r="P92" s="27" t="s">
        <v>174</v>
      </c>
      <c r="Q92" s="11" t="s">
        <v>34</v>
      </c>
      <c r="R92" s="1">
        <f t="shared" ref="R92:R95" si="43">S92+T92</f>
        <v>315216.64000000001</v>
      </c>
      <c r="S92" s="2">
        <v>0</v>
      </c>
      <c r="T92" s="2">
        <v>315216.64000000001</v>
      </c>
      <c r="U92" s="1">
        <f t="shared" si="2"/>
        <v>70923.75</v>
      </c>
      <c r="V92" s="28">
        <v>0</v>
      </c>
      <c r="W92" s="28">
        <v>70923.75</v>
      </c>
      <c r="X92" s="1">
        <f t="shared" si="7"/>
        <v>7880.42</v>
      </c>
      <c r="Y92" s="2">
        <v>0</v>
      </c>
      <c r="Z92" s="2">
        <v>7880.42</v>
      </c>
      <c r="AA92" s="2">
        <f t="shared" si="34"/>
        <v>0</v>
      </c>
      <c r="AB92" s="69">
        <v>0</v>
      </c>
      <c r="AC92" s="69">
        <v>0</v>
      </c>
      <c r="AD92" s="16">
        <f t="shared" si="30"/>
        <v>394020.81</v>
      </c>
      <c r="AE92" s="2">
        <v>0</v>
      </c>
      <c r="AF92" s="2">
        <f t="shared" si="35"/>
        <v>394020.81</v>
      </c>
      <c r="AG92" s="21" t="s">
        <v>857</v>
      </c>
      <c r="AH92" s="29" t="s">
        <v>151</v>
      </c>
      <c r="AI92" s="30">
        <v>238501.38</v>
      </c>
      <c r="AJ92" s="30">
        <v>53662.82</v>
      </c>
    </row>
    <row r="93" spans="1:36" s="179" customFormat="1" ht="252" x14ac:dyDescent="0.25">
      <c r="A93" s="6">
        <v>90</v>
      </c>
      <c r="B93" s="31">
        <v>120710</v>
      </c>
      <c r="C93" s="11">
        <v>103</v>
      </c>
      <c r="D93" s="9" t="s">
        <v>1639</v>
      </c>
      <c r="E93" s="68" t="s">
        <v>276</v>
      </c>
      <c r="F93" s="27" t="s">
        <v>378</v>
      </c>
      <c r="G93" s="11" t="s">
        <v>1647</v>
      </c>
      <c r="H93" s="8" t="s">
        <v>151</v>
      </c>
      <c r="I93" s="45" t="s">
        <v>379</v>
      </c>
      <c r="J93" s="25">
        <v>43227</v>
      </c>
      <c r="K93" s="25">
        <v>43776</v>
      </c>
      <c r="L93" s="26">
        <f t="shared" si="0"/>
        <v>79.999999056893557</v>
      </c>
      <c r="M93" s="11">
        <v>8</v>
      </c>
      <c r="N93" s="11" t="s">
        <v>261</v>
      </c>
      <c r="O93" s="11" t="s">
        <v>261</v>
      </c>
      <c r="P93" s="11" t="s">
        <v>174</v>
      </c>
      <c r="Q93" s="11" t="s">
        <v>34</v>
      </c>
      <c r="R93" s="1">
        <f t="shared" si="43"/>
        <v>339304.22</v>
      </c>
      <c r="S93" s="41">
        <v>0</v>
      </c>
      <c r="T93" s="72">
        <v>339304.22</v>
      </c>
      <c r="U93" s="1">
        <f t="shared" si="2"/>
        <v>76343.45</v>
      </c>
      <c r="V93" s="42">
        <v>0</v>
      </c>
      <c r="W93" s="73">
        <v>76343.45</v>
      </c>
      <c r="X93" s="1">
        <f t="shared" si="7"/>
        <v>8482.61</v>
      </c>
      <c r="Y93" s="30">
        <v>0</v>
      </c>
      <c r="Z93" s="2">
        <v>8482.61</v>
      </c>
      <c r="AA93" s="2">
        <f t="shared" si="34"/>
        <v>0</v>
      </c>
      <c r="AB93" s="30">
        <v>0</v>
      </c>
      <c r="AC93" s="30">
        <v>0</v>
      </c>
      <c r="AD93" s="16">
        <f t="shared" si="30"/>
        <v>424130.27999999997</v>
      </c>
      <c r="AE93" s="35">
        <v>0</v>
      </c>
      <c r="AF93" s="2">
        <f t="shared" si="35"/>
        <v>424130.27999999997</v>
      </c>
      <c r="AG93" s="21" t="s">
        <v>857</v>
      </c>
      <c r="AH93" s="74" t="s">
        <v>1264</v>
      </c>
      <c r="AI93" s="30">
        <f>52550.4+283857.46</f>
        <v>336407.86000000004</v>
      </c>
      <c r="AJ93" s="30">
        <f>11823.84+63867.93</f>
        <v>75691.77</v>
      </c>
    </row>
    <row r="94" spans="1:36" s="179" customFormat="1" ht="157.5" x14ac:dyDescent="0.25">
      <c r="A94" s="6">
        <v>91</v>
      </c>
      <c r="B94" s="31">
        <v>117665</v>
      </c>
      <c r="C94" s="11">
        <v>413</v>
      </c>
      <c r="D94" s="32" t="s">
        <v>1640</v>
      </c>
      <c r="E94" s="32" t="s">
        <v>508</v>
      </c>
      <c r="F94" s="27" t="s">
        <v>618</v>
      </c>
      <c r="G94" s="11" t="s">
        <v>905</v>
      </c>
      <c r="H94" s="8" t="s">
        <v>151</v>
      </c>
      <c r="I94" s="45" t="s">
        <v>2663</v>
      </c>
      <c r="J94" s="25">
        <v>43290</v>
      </c>
      <c r="K94" s="25">
        <v>43625</v>
      </c>
      <c r="L94" s="26">
        <f t="shared" si="0"/>
        <v>80</v>
      </c>
      <c r="M94" s="11">
        <v>8</v>
      </c>
      <c r="N94" s="11" t="s">
        <v>261</v>
      </c>
      <c r="O94" s="11" t="s">
        <v>261</v>
      </c>
      <c r="P94" s="11" t="s">
        <v>174</v>
      </c>
      <c r="Q94" s="11" t="s">
        <v>34</v>
      </c>
      <c r="R94" s="1">
        <f t="shared" si="43"/>
        <v>224534.64</v>
      </c>
      <c r="S94" s="41">
        <v>0</v>
      </c>
      <c r="T94" s="2">
        <v>224534.64</v>
      </c>
      <c r="U94" s="1">
        <f t="shared" si="2"/>
        <v>50520.29</v>
      </c>
      <c r="V94" s="42">
        <v>0</v>
      </c>
      <c r="W94" s="28">
        <v>50520.29</v>
      </c>
      <c r="X94" s="1">
        <f t="shared" si="7"/>
        <v>5613.37</v>
      </c>
      <c r="Y94" s="30">
        <v>0</v>
      </c>
      <c r="Z94" s="2">
        <v>5613.37</v>
      </c>
      <c r="AA94" s="2">
        <f t="shared" si="34"/>
        <v>0</v>
      </c>
      <c r="AB94" s="30">
        <v>0</v>
      </c>
      <c r="AC94" s="30">
        <v>0</v>
      </c>
      <c r="AD94" s="16">
        <f t="shared" si="30"/>
        <v>280668.3</v>
      </c>
      <c r="AE94" s="35">
        <v>0</v>
      </c>
      <c r="AF94" s="2">
        <f t="shared" si="35"/>
        <v>280668.3</v>
      </c>
      <c r="AG94" s="21" t="s">
        <v>857</v>
      </c>
      <c r="AH94" s="74" t="s">
        <v>1045</v>
      </c>
      <c r="AI94" s="30">
        <f>174905.44</f>
        <v>174905.44</v>
      </c>
      <c r="AJ94" s="30">
        <v>39353.72</v>
      </c>
    </row>
    <row r="95" spans="1:36" s="179" customFormat="1" ht="60" customHeight="1" x14ac:dyDescent="0.25">
      <c r="A95" s="6">
        <v>92</v>
      </c>
      <c r="B95" s="31">
        <v>117676</v>
      </c>
      <c r="C95" s="11">
        <v>414</v>
      </c>
      <c r="D95" s="32" t="s">
        <v>1640</v>
      </c>
      <c r="E95" s="24" t="s">
        <v>508</v>
      </c>
      <c r="F95" s="27" t="s">
        <v>824</v>
      </c>
      <c r="G95" s="11" t="s">
        <v>924</v>
      </c>
      <c r="H95" s="8" t="s">
        <v>151</v>
      </c>
      <c r="I95" s="45" t="s">
        <v>825</v>
      </c>
      <c r="J95" s="25">
        <v>43348</v>
      </c>
      <c r="K95" s="25">
        <v>43713</v>
      </c>
      <c r="L95" s="26">
        <f t="shared" si="0"/>
        <v>80.000002000969275</v>
      </c>
      <c r="M95" s="11">
        <v>8</v>
      </c>
      <c r="N95" s="11" t="s">
        <v>261</v>
      </c>
      <c r="O95" s="11" t="s">
        <v>261</v>
      </c>
      <c r="P95" s="11" t="s">
        <v>174</v>
      </c>
      <c r="Q95" s="11" t="s">
        <v>34</v>
      </c>
      <c r="R95" s="1">
        <f t="shared" si="43"/>
        <v>239883.75</v>
      </c>
      <c r="S95" s="30">
        <v>0</v>
      </c>
      <c r="T95" s="2">
        <v>239883.75</v>
      </c>
      <c r="U95" s="1">
        <f t="shared" si="2"/>
        <v>53973.85</v>
      </c>
      <c r="V95" s="42">
        <v>0</v>
      </c>
      <c r="W95" s="28">
        <v>53973.85</v>
      </c>
      <c r="X95" s="1">
        <f t="shared" si="7"/>
        <v>5997.08</v>
      </c>
      <c r="Y95" s="30">
        <v>0</v>
      </c>
      <c r="Z95" s="2">
        <v>5997.08</v>
      </c>
      <c r="AA95" s="2">
        <f t="shared" si="34"/>
        <v>0</v>
      </c>
      <c r="AB95" s="36">
        <v>0</v>
      </c>
      <c r="AC95" s="36">
        <v>0</v>
      </c>
      <c r="AD95" s="16">
        <f t="shared" si="30"/>
        <v>299854.68</v>
      </c>
      <c r="AE95" s="35">
        <v>0</v>
      </c>
      <c r="AF95" s="2">
        <f t="shared" si="35"/>
        <v>299854.68</v>
      </c>
      <c r="AG95" s="21" t="s">
        <v>857</v>
      </c>
      <c r="AH95" s="35"/>
      <c r="AI95" s="30">
        <f>102261.61+121535.79</f>
        <v>223797.4</v>
      </c>
      <c r="AJ95" s="30">
        <f>23008.85+27345.55</f>
        <v>50354.399999999994</v>
      </c>
    </row>
    <row r="96" spans="1:36" s="179" customFormat="1" ht="120" customHeight="1" x14ac:dyDescent="0.25">
      <c r="A96" s="6">
        <v>93</v>
      </c>
      <c r="B96" s="31">
        <v>126477</v>
      </c>
      <c r="C96" s="11">
        <v>507</v>
      </c>
      <c r="D96" s="9" t="s">
        <v>1639</v>
      </c>
      <c r="E96" s="24" t="s">
        <v>903</v>
      </c>
      <c r="F96" s="27" t="s">
        <v>904</v>
      </c>
      <c r="G96" s="11" t="s">
        <v>905</v>
      </c>
      <c r="H96" s="8" t="s">
        <v>151</v>
      </c>
      <c r="I96" s="45" t="s">
        <v>2664</v>
      </c>
      <c r="J96" s="25">
        <v>43433</v>
      </c>
      <c r="K96" s="25">
        <v>44225</v>
      </c>
      <c r="L96" s="26">
        <f t="shared" si="0"/>
        <v>79.999999581986273</v>
      </c>
      <c r="M96" s="11">
        <v>8</v>
      </c>
      <c r="N96" s="11" t="s">
        <v>261</v>
      </c>
      <c r="O96" s="11" t="s">
        <v>261</v>
      </c>
      <c r="P96" s="11" t="s">
        <v>174</v>
      </c>
      <c r="Q96" s="11" t="s">
        <v>34</v>
      </c>
      <c r="R96" s="1">
        <f>S96+T96</f>
        <v>3062100.2800000007</v>
      </c>
      <c r="S96" s="30">
        <v>0</v>
      </c>
      <c r="T96" s="2">
        <v>3062100.2800000007</v>
      </c>
      <c r="U96" s="1">
        <f t="shared" si="2"/>
        <v>688972.58</v>
      </c>
      <c r="V96" s="42">
        <v>0</v>
      </c>
      <c r="W96" s="28">
        <v>688972.58</v>
      </c>
      <c r="X96" s="1">
        <f t="shared" si="7"/>
        <v>76552.509999999995</v>
      </c>
      <c r="Y96" s="30">
        <v>0</v>
      </c>
      <c r="Z96" s="2">
        <v>76552.509999999995</v>
      </c>
      <c r="AA96" s="2">
        <f>AB96+AC96</f>
        <v>0</v>
      </c>
      <c r="AB96" s="2">
        <v>0</v>
      </c>
      <c r="AC96" s="2">
        <v>0</v>
      </c>
      <c r="AD96" s="16">
        <f t="shared" si="30"/>
        <v>3827625.3700000006</v>
      </c>
      <c r="AE96" s="35"/>
      <c r="AF96" s="2">
        <f>AD96+AE96</f>
        <v>3827625.3700000006</v>
      </c>
      <c r="AG96" s="38" t="s">
        <v>857</v>
      </c>
      <c r="AH96" s="38" t="s">
        <v>1674</v>
      </c>
      <c r="AI96" s="30">
        <f>858447.12+515278.43+1129072+185548</f>
        <v>2688345.55</v>
      </c>
      <c r="AJ96" s="30">
        <f>193150.61+115937.65+254041.2+41748.3</f>
        <v>604877.76</v>
      </c>
    </row>
    <row r="97" spans="1:36" s="179" customFormat="1" ht="141.75" x14ac:dyDescent="0.25">
      <c r="A97" s="6">
        <v>94</v>
      </c>
      <c r="B97" s="31">
        <v>126372</v>
      </c>
      <c r="C97" s="11">
        <v>510</v>
      </c>
      <c r="D97" s="9" t="s">
        <v>1639</v>
      </c>
      <c r="E97" s="24" t="s">
        <v>903</v>
      </c>
      <c r="F97" s="27" t="s">
        <v>1892</v>
      </c>
      <c r="G97" s="11" t="s">
        <v>924</v>
      </c>
      <c r="H97" s="8" t="s">
        <v>151</v>
      </c>
      <c r="I97" s="45" t="s">
        <v>925</v>
      </c>
      <c r="J97" s="25">
        <v>43445</v>
      </c>
      <c r="K97" s="25">
        <v>44996</v>
      </c>
      <c r="L97" s="26">
        <f t="shared" si="0"/>
        <v>80</v>
      </c>
      <c r="M97" s="11">
        <v>8</v>
      </c>
      <c r="N97" s="11" t="s">
        <v>261</v>
      </c>
      <c r="O97" s="11" t="s">
        <v>261</v>
      </c>
      <c r="P97" s="11" t="s">
        <v>174</v>
      </c>
      <c r="Q97" s="11" t="s">
        <v>34</v>
      </c>
      <c r="R97" s="1">
        <f t="shared" ref="R97:R98" si="44">S97+T97</f>
        <v>2932376.8</v>
      </c>
      <c r="S97" s="30">
        <v>0</v>
      </c>
      <c r="T97" s="2">
        <v>2932376.8</v>
      </c>
      <c r="U97" s="1">
        <f t="shared" ref="U97:U98" si="45">V97+W97</f>
        <v>659784.78</v>
      </c>
      <c r="V97" s="42">
        <v>0</v>
      </c>
      <c r="W97" s="28">
        <v>659784.78</v>
      </c>
      <c r="X97" s="1">
        <f t="shared" si="7"/>
        <v>73309.42</v>
      </c>
      <c r="Y97" s="30">
        <v>0</v>
      </c>
      <c r="Z97" s="2">
        <v>73309.42</v>
      </c>
      <c r="AA97" s="2">
        <f>AB97+AC97</f>
        <v>0</v>
      </c>
      <c r="AB97" s="30">
        <v>0</v>
      </c>
      <c r="AC97" s="30">
        <v>0</v>
      </c>
      <c r="AD97" s="16">
        <f t="shared" si="30"/>
        <v>3665471</v>
      </c>
      <c r="AE97" s="37">
        <v>127687</v>
      </c>
      <c r="AF97" s="2">
        <f>AD97+AE97</f>
        <v>3793158</v>
      </c>
      <c r="AG97" s="38" t="s">
        <v>486</v>
      </c>
      <c r="AH97" s="38" t="s">
        <v>1766</v>
      </c>
      <c r="AI97" s="30">
        <f>368006.54+73168+58748.88+33607.94+8190.4+9326.33</f>
        <v>551048.09</v>
      </c>
      <c r="AJ97" s="30">
        <f>82801.48+16462.8+13218.5+7561.78+1842.84+2098.42</f>
        <v>123985.81999999999</v>
      </c>
    </row>
    <row r="98" spans="1:36" s="179" customFormat="1" ht="141.75" x14ac:dyDescent="0.25">
      <c r="A98" s="6">
        <v>95</v>
      </c>
      <c r="B98" s="31">
        <v>128825</v>
      </c>
      <c r="C98" s="11">
        <v>661</v>
      </c>
      <c r="D98" s="9" t="s">
        <v>1639</v>
      </c>
      <c r="E98" s="24" t="s">
        <v>1116</v>
      </c>
      <c r="F98" s="27" t="s">
        <v>1117</v>
      </c>
      <c r="G98" s="11" t="s">
        <v>1648</v>
      </c>
      <c r="H98" s="11" t="s">
        <v>952</v>
      </c>
      <c r="I98" s="45" t="s">
        <v>1120</v>
      </c>
      <c r="J98" s="25">
        <v>43635</v>
      </c>
      <c r="K98" s="25">
        <v>44976</v>
      </c>
      <c r="L98" s="26">
        <f t="shared" si="0"/>
        <v>79.493002830992353</v>
      </c>
      <c r="M98" s="11">
        <v>8</v>
      </c>
      <c r="N98" s="11" t="s">
        <v>261</v>
      </c>
      <c r="O98" s="11" t="s">
        <v>261</v>
      </c>
      <c r="P98" s="11" t="s">
        <v>174</v>
      </c>
      <c r="Q98" s="11" t="s">
        <v>34</v>
      </c>
      <c r="R98" s="1">
        <f t="shared" si="44"/>
        <v>3436600.48</v>
      </c>
      <c r="S98" s="30">
        <v>0</v>
      </c>
      <c r="T98" s="2">
        <v>3436600.48</v>
      </c>
      <c r="U98" s="1">
        <f t="shared" si="45"/>
        <v>800084.95</v>
      </c>
      <c r="V98" s="42">
        <v>0</v>
      </c>
      <c r="W98" s="28">
        <v>800084.95</v>
      </c>
      <c r="X98" s="1">
        <f t="shared" si="7"/>
        <v>59065.17</v>
      </c>
      <c r="Y98" s="30">
        <v>0</v>
      </c>
      <c r="Z98" s="2">
        <v>59065.17</v>
      </c>
      <c r="AA98" s="2">
        <f t="shared" ref="AA98" si="46">AB98+AC98</f>
        <v>27397.8</v>
      </c>
      <c r="AB98" s="30">
        <v>0</v>
      </c>
      <c r="AC98" s="30">
        <v>27397.8</v>
      </c>
      <c r="AD98" s="16">
        <f t="shared" si="30"/>
        <v>4323148.3999999994</v>
      </c>
      <c r="AE98" s="37">
        <v>29750</v>
      </c>
      <c r="AF98" s="2">
        <f t="shared" ref="AF98" si="47">AD98+AE98</f>
        <v>4352898.3999999994</v>
      </c>
      <c r="AG98" s="38" t="s">
        <v>486</v>
      </c>
      <c r="AH98" s="38" t="s">
        <v>3187</v>
      </c>
      <c r="AI98" s="30">
        <f>1509131.05+136989-35150.8+436867.35</f>
        <v>2047836.6</v>
      </c>
      <c r="AJ98" s="30">
        <f>344554.78+35150.8+11716.54</f>
        <v>391422.12</v>
      </c>
    </row>
    <row r="99" spans="1:36" s="179" customFormat="1" ht="141.75" x14ac:dyDescent="0.25">
      <c r="A99" s="6">
        <v>96</v>
      </c>
      <c r="B99" s="31">
        <v>129668</v>
      </c>
      <c r="C99" s="31">
        <v>673</v>
      </c>
      <c r="D99" s="9" t="s">
        <v>1639</v>
      </c>
      <c r="E99" s="24" t="s">
        <v>1116</v>
      </c>
      <c r="F99" s="67" t="s">
        <v>1118</v>
      </c>
      <c r="G99" s="11" t="s">
        <v>1647</v>
      </c>
      <c r="H99" s="8" t="s">
        <v>151</v>
      </c>
      <c r="I99" s="45" t="s">
        <v>1121</v>
      </c>
      <c r="J99" s="25">
        <v>43635</v>
      </c>
      <c r="K99" s="25">
        <v>44731</v>
      </c>
      <c r="L99" s="26">
        <f>R99/AD99*100</f>
        <v>80.000000100149578</v>
      </c>
      <c r="M99" s="11">
        <v>8</v>
      </c>
      <c r="N99" s="11" t="s">
        <v>261</v>
      </c>
      <c r="O99" s="11" t="s">
        <v>261</v>
      </c>
      <c r="P99" s="11" t="s">
        <v>174</v>
      </c>
      <c r="Q99" s="11" t="s">
        <v>34</v>
      </c>
      <c r="R99" s="1">
        <f>S99+T99</f>
        <v>3195221.02</v>
      </c>
      <c r="S99" s="30">
        <v>0</v>
      </c>
      <c r="T99" s="2">
        <v>3195221.02</v>
      </c>
      <c r="U99" s="1">
        <f>V99+W99</f>
        <v>718924.72</v>
      </c>
      <c r="V99" s="42">
        <v>0</v>
      </c>
      <c r="W99" s="28">
        <v>718924.72</v>
      </c>
      <c r="X99" s="1">
        <f>Y99+Z99</f>
        <v>79880.53</v>
      </c>
      <c r="Y99" s="30">
        <v>0</v>
      </c>
      <c r="Z99" s="2">
        <v>79880.53</v>
      </c>
      <c r="AA99" s="2">
        <f>AB99+AC99</f>
        <v>0</v>
      </c>
      <c r="AB99" s="2">
        <v>0</v>
      </c>
      <c r="AC99" s="2">
        <v>0</v>
      </c>
      <c r="AD99" s="16">
        <f t="shared" si="30"/>
        <v>3994026.27</v>
      </c>
      <c r="AE99" s="37">
        <v>0</v>
      </c>
      <c r="AF99" s="2">
        <f>AD99+AE99</f>
        <v>3994026.27</v>
      </c>
      <c r="AG99" s="38" t="s">
        <v>857</v>
      </c>
      <c r="AH99" s="38" t="s">
        <v>1780</v>
      </c>
      <c r="AI99" s="30">
        <f>246108.94+233815.2+738252.8+1728922.69</f>
        <v>2947099.63</v>
      </c>
      <c r="AJ99" s="30">
        <f>23472.39+31902.12+52608.42+166106.87+389007.6</f>
        <v>663097.39999999991</v>
      </c>
    </row>
    <row r="100" spans="1:36" s="179" customFormat="1" ht="195.75" customHeight="1" x14ac:dyDescent="0.25">
      <c r="A100" s="6">
        <v>97</v>
      </c>
      <c r="B100" s="31">
        <v>128335</v>
      </c>
      <c r="C100" s="11">
        <v>634</v>
      </c>
      <c r="D100" s="9" t="s">
        <v>1639</v>
      </c>
      <c r="E100" s="24" t="s">
        <v>1116</v>
      </c>
      <c r="F100" s="27" t="s">
        <v>1138</v>
      </c>
      <c r="G100" s="11" t="s">
        <v>1649</v>
      </c>
      <c r="H100" s="8" t="s">
        <v>151</v>
      </c>
      <c r="I100" s="45" t="s">
        <v>2665</v>
      </c>
      <c r="J100" s="25">
        <v>43647</v>
      </c>
      <c r="K100" s="25">
        <v>44927</v>
      </c>
      <c r="L100" s="26">
        <f t="shared" ref="L100:L118" si="48">R100/AD100*100</f>
        <v>80.000000462501816</v>
      </c>
      <c r="M100" s="11">
        <v>8</v>
      </c>
      <c r="N100" s="11" t="s">
        <v>261</v>
      </c>
      <c r="O100" s="11" t="s">
        <v>261</v>
      </c>
      <c r="P100" s="11" t="s">
        <v>174</v>
      </c>
      <c r="Q100" s="11" t="s">
        <v>34</v>
      </c>
      <c r="R100" s="1">
        <f t="shared" ref="R100:R118" si="49">S100+T100</f>
        <v>3113501.33</v>
      </c>
      <c r="S100" s="30">
        <v>0</v>
      </c>
      <c r="T100" s="2">
        <v>3113501.33</v>
      </c>
      <c r="U100" s="1">
        <f t="shared" ref="U100:U128" si="50">V100+W100</f>
        <v>700537.76</v>
      </c>
      <c r="V100" s="42">
        <v>0</v>
      </c>
      <c r="W100" s="28">
        <v>700537.76</v>
      </c>
      <c r="X100" s="1">
        <f t="shared" ref="X100:X128" si="51">Y100+Z100</f>
        <v>77837.55</v>
      </c>
      <c r="Y100" s="30">
        <v>0</v>
      </c>
      <c r="Z100" s="2">
        <v>77837.55</v>
      </c>
      <c r="AA100" s="2">
        <v>0</v>
      </c>
      <c r="AB100" s="30">
        <v>0</v>
      </c>
      <c r="AC100" s="30">
        <v>0</v>
      </c>
      <c r="AD100" s="16">
        <f t="shared" si="30"/>
        <v>3891876.6399999997</v>
      </c>
      <c r="AE100" s="37">
        <v>0</v>
      </c>
      <c r="AF100" s="2">
        <f t="shared" ref="AF100:AF118" si="52">AD100+AE100</f>
        <v>3891876.6399999997</v>
      </c>
      <c r="AG100" s="38" t="s">
        <v>486</v>
      </c>
      <c r="AH100" s="38" t="s">
        <v>1948</v>
      </c>
      <c r="AI100" s="30">
        <f>55820.78+402496.8+116946.4+62282.4+67400.8+89127.2+569461.91</f>
        <v>1363536.29</v>
      </c>
      <c r="AJ100" s="30">
        <f>12559.67+90561.78+26312.94+14013.54+15165.18+20053.62+128128.92</f>
        <v>306795.64999999997</v>
      </c>
    </row>
    <row r="101" spans="1:36" s="179" customFormat="1" ht="96.75" customHeight="1" x14ac:dyDescent="0.25">
      <c r="A101" s="6">
        <v>98</v>
      </c>
      <c r="B101" s="31">
        <v>129694</v>
      </c>
      <c r="C101" s="11">
        <v>694</v>
      </c>
      <c r="D101" s="9" t="s">
        <v>1639</v>
      </c>
      <c r="E101" s="24" t="s">
        <v>1116</v>
      </c>
      <c r="F101" s="27" t="s">
        <v>1119</v>
      </c>
      <c r="G101" s="11" t="s">
        <v>1650</v>
      </c>
      <c r="H101" s="11" t="s">
        <v>952</v>
      </c>
      <c r="I101" s="32" t="s">
        <v>1122</v>
      </c>
      <c r="J101" s="25">
        <v>43635</v>
      </c>
      <c r="K101" s="25">
        <v>44914</v>
      </c>
      <c r="L101" s="26">
        <f t="shared" si="48"/>
        <v>79.559234452662935</v>
      </c>
      <c r="M101" s="11">
        <v>8</v>
      </c>
      <c r="N101" s="11" t="s">
        <v>261</v>
      </c>
      <c r="O101" s="11" t="s">
        <v>261</v>
      </c>
      <c r="P101" s="11" t="s">
        <v>174</v>
      </c>
      <c r="Q101" s="11" t="s">
        <v>34</v>
      </c>
      <c r="R101" s="1">
        <f t="shared" si="49"/>
        <v>3495320.83</v>
      </c>
      <c r="S101" s="30">
        <v>0</v>
      </c>
      <c r="T101" s="2">
        <v>3495320.83</v>
      </c>
      <c r="U101" s="1">
        <f t="shared" si="50"/>
        <v>810168.58</v>
      </c>
      <c r="V101" s="42">
        <v>0</v>
      </c>
      <c r="W101" s="28">
        <v>810168.58</v>
      </c>
      <c r="X101" s="1">
        <f t="shared" si="51"/>
        <v>63661.63</v>
      </c>
      <c r="Y101" s="30">
        <v>0</v>
      </c>
      <c r="Z101" s="2">
        <v>63661.63</v>
      </c>
      <c r="AA101" s="2">
        <f t="shared" ref="AA101:AA116" si="53">AB101+AC101</f>
        <v>24205.5</v>
      </c>
      <c r="AB101" s="30">
        <v>0</v>
      </c>
      <c r="AC101" s="30">
        <v>24205.5</v>
      </c>
      <c r="AD101" s="16">
        <f t="shared" si="30"/>
        <v>4393356.54</v>
      </c>
      <c r="AE101" s="37">
        <v>0</v>
      </c>
      <c r="AF101" s="2">
        <f t="shared" si="52"/>
        <v>4393356.54</v>
      </c>
      <c r="AG101" s="38" t="s">
        <v>486</v>
      </c>
      <c r="AH101" s="38" t="s">
        <v>1803</v>
      </c>
      <c r="AI101" s="30">
        <f>275886.09+348793.51+185829.79+143853.56+131012.45+791608.64</f>
        <v>1876984.04</v>
      </c>
      <c r="AJ101" s="30">
        <f>37362.62+81124.65+44853.88+35420.78+32457.43+178111.94</f>
        <v>409331.3</v>
      </c>
    </row>
    <row r="102" spans="1:36" s="179" customFormat="1" ht="216.75" customHeight="1" x14ac:dyDescent="0.25">
      <c r="A102" s="6">
        <v>99</v>
      </c>
      <c r="B102" s="31">
        <v>129016</v>
      </c>
      <c r="C102" s="11">
        <v>693</v>
      </c>
      <c r="D102" s="9" t="s">
        <v>1639</v>
      </c>
      <c r="E102" s="24" t="s">
        <v>1116</v>
      </c>
      <c r="F102" s="27" t="s">
        <v>1139</v>
      </c>
      <c r="G102" s="11" t="s">
        <v>924</v>
      </c>
      <c r="H102" s="8" t="s">
        <v>151</v>
      </c>
      <c r="I102" s="32" t="s">
        <v>2666</v>
      </c>
      <c r="J102" s="25">
        <v>43654</v>
      </c>
      <c r="K102" s="25">
        <v>44173</v>
      </c>
      <c r="L102" s="26">
        <f t="shared" si="48"/>
        <v>79.999998958694746</v>
      </c>
      <c r="M102" s="11">
        <v>8</v>
      </c>
      <c r="N102" s="11" t="s">
        <v>261</v>
      </c>
      <c r="O102" s="11" t="s">
        <v>261</v>
      </c>
      <c r="P102" s="11" t="s">
        <v>174</v>
      </c>
      <c r="Q102" s="11" t="s">
        <v>34</v>
      </c>
      <c r="R102" s="1">
        <f t="shared" si="49"/>
        <v>307306.62</v>
      </c>
      <c r="S102" s="30">
        <v>0</v>
      </c>
      <c r="T102" s="2">
        <v>307306.62</v>
      </c>
      <c r="U102" s="1">
        <f t="shared" si="50"/>
        <v>69143.95</v>
      </c>
      <c r="V102" s="42">
        <v>0</v>
      </c>
      <c r="W102" s="28">
        <v>69143.95</v>
      </c>
      <c r="X102" s="1">
        <f t="shared" si="51"/>
        <v>7682.71</v>
      </c>
      <c r="Y102" s="30">
        <v>0</v>
      </c>
      <c r="Z102" s="2">
        <v>7682.71</v>
      </c>
      <c r="AA102" s="2">
        <f t="shared" si="53"/>
        <v>0</v>
      </c>
      <c r="AB102" s="30">
        <v>0</v>
      </c>
      <c r="AC102" s="30">
        <v>0</v>
      </c>
      <c r="AD102" s="16">
        <f t="shared" si="30"/>
        <v>384133.28</v>
      </c>
      <c r="AE102" s="37">
        <v>0</v>
      </c>
      <c r="AF102" s="2">
        <f t="shared" si="52"/>
        <v>384133.28</v>
      </c>
      <c r="AG102" s="38" t="s">
        <v>857</v>
      </c>
      <c r="AH102" s="38" t="s">
        <v>1662</v>
      </c>
      <c r="AI102" s="30">
        <f>110102.97+161350.83</f>
        <v>271453.8</v>
      </c>
      <c r="AJ102" s="30">
        <f>24773.14+36303.93</f>
        <v>61077.07</v>
      </c>
    </row>
    <row r="103" spans="1:36" s="179" customFormat="1" ht="216.75" customHeight="1" x14ac:dyDescent="0.25">
      <c r="A103" s="6">
        <v>100</v>
      </c>
      <c r="B103" s="31">
        <v>136166</v>
      </c>
      <c r="C103" s="11">
        <v>856</v>
      </c>
      <c r="D103" s="9" t="s">
        <v>1639</v>
      </c>
      <c r="E103" s="24" t="s">
        <v>1433</v>
      </c>
      <c r="F103" s="27" t="s">
        <v>1434</v>
      </c>
      <c r="G103" s="11" t="s">
        <v>1649</v>
      </c>
      <c r="H103" s="11" t="s">
        <v>1435</v>
      </c>
      <c r="I103" s="32" t="s">
        <v>2667</v>
      </c>
      <c r="J103" s="25">
        <v>43900</v>
      </c>
      <c r="K103" s="25">
        <v>44905</v>
      </c>
      <c r="L103" s="26">
        <f t="shared" si="48"/>
        <v>79.999999908763286</v>
      </c>
      <c r="M103" s="11">
        <v>8</v>
      </c>
      <c r="N103" s="11" t="s">
        <v>261</v>
      </c>
      <c r="O103" s="11" t="s">
        <v>261</v>
      </c>
      <c r="P103" s="11" t="s">
        <v>174</v>
      </c>
      <c r="Q103" s="11" t="s">
        <v>34</v>
      </c>
      <c r="R103" s="1">
        <f t="shared" si="49"/>
        <v>1753679.95</v>
      </c>
      <c r="S103" s="30">
        <v>0</v>
      </c>
      <c r="T103" s="2">
        <v>1753679.95</v>
      </c>
      <c r="U103" s="1">
        <f t="shared" si="50"/>
        <v>394577.99</v>
      </c>
      <c r="V103" s="42">
        <v>0</v>
      </c>
      <c r="W103" s="28">
        <v>394577.99</v>
      </c>
      <c r="X103" s="1">
        <f t="shared" si="51"/>
        <v>43842</v>
      </c>
      <c r="Y103" s="30">
        <v>0</v>
      </c>
      <c r="Z103" s="2">
        <v>43842</v>
      </c>
      <c r="AA103" s="2">
        <f t="shared" si="53"/>
        <v>0</v>
      </c>
      <c r="AB103" s="30">
        <v>0</v>
      </c>
      <c r="AC103" s="30">
        <v>0</v>
      </c>
      <c r="AD103" s="16">
        <f t="shared" si="30"/>
        <v>2192099.94</v>
      </c>
      <c r="AE103" s="37">
        <v>0</v>
      </c>
      <c r="AF103" s="2">
        <f t="shared" si="52"/>
        <v>2192099.94</v>
      </c>
      <c r="AG103" s="38" t="s">
        <v>486</v>
      </c>
      <c r="AH103" s="38" t="s">
        <v>1793</v>
      </c>
      <c r="AI103" s="30">
        <f>37692.8+172704.72+90248.8+90319.2</f>
        <v>390965.52</v>
      </c>
      <c r="AJ103" s="30">
        <f>8480.88+38858.56+20305.98+20321.82</f>
        <v>87967.239999999991</v>
      </c>
    </row>
    <row r="104" spans="1:36" s="179" customFormat="1" ht="216.75" customHeight="1" x14ac:dyDescent="0.25">
      <c r="A104" s="6">
        <v>101</v>
      </c>
      <c r="B104" s="31">
        <v>135779</v>
      </c>
      <c r="C104" s="11">
        <v>780</v>
      </c>
      <c r="D104" s="9" t="s">
        <v>1639</v>
      </c>
      <c r="E104" s="24" t="s">
        <v>1433</v>
      </c>
      <c r="F104" s="27" t="s">
        <v>1436</v>
      </c>
      <c r="G104" s="11" t="s">
        <v>1650</v>
      </c>
      <c r="H104" s="11" t="s">
        <v>1437</v>
      </c>
      <c r="I104" s="32" t="s">
        <v>2668</v>
      </c>
      <c r="J104" s="25">
        <v>43901</v>
      </c>
      <c r="K104" s="25">
        <v>44996</v>
      </c>
      <c r="L104" s="26">
        <f t="shared" si="48"/>
        <v>80.000000203403673</v>
      </c>
      <c r="M104" s="11">
        <v>8</v>
      </c>
      <c r="N104" s="11" t="s">
        <v>261</v>
      </c>
      <c r="O104" s="11" t="s">
        <v>261</v>
      </c>
      <c r="P104" s="11" t="s">
        <v>174</v>
      </c>
      <c r="Q104" s="11" t="s">
        <v>34</v>
      </c>
      <c r="R104" s="1">
        <f t="shared" si="49"/>
        <v>2359839.4300000002</v>
      </c>
      <c r="S104" s="30">
        <v>0</v>
      </c>
      <c r="T104" s="2">
        <v>2359839.4300000002</v>
      </c>
      <c r="U104" s="1">
        <f t="shared" si="50"/>
        <v>530963.84</v>
      </c>
      <c r="V104" s="42">
        <v>0</v>
      </c>
      <c r="W104" s="28">
        <v>530963.84</v>
      </c>
      <c r="X104" s="1">
        <f t="shared" si="51"/>
        <v>58996.01</v>
      </c>
      <c r="Y104" s="30">
        <v>0</v>
      </c>
      <c r="Z104" s="2">
        <v>58996.01</v>
      </c>
      <c r="AA104" s="2">
        <f t="shared" si="53"/>
        <v>0</v>
      </c>
      <c r="AB104" s="30">
        <v>0</v>
      </c>
      <c r="AC104" s="30">
        <v>0</v>
      </c>
      <c r="AD104" s="16">
        <f t="shared" si="30"/>
        <v>2949799.28</v>
      </c>
      <c r="AE104" s="37"/>
      <c r="AF104" s="2">
        <f t="shared" si="52"/>
        <v>2949799.28</v>
      </c>
      <c r="AG104" s="38" t="s">
        <v>486</v>
      </c>
      <c r="AH104" s="38" t="s">
        <v>2017</v>
      </c>
      <c r="AI104" s="30">
        <f>46438.4+37616+39314.4+26630.4+29051.2</f>
        <v>179050.4</v>
      </c>
      <c r="AJ104" s="30">
        <f>10448.64+8463.6+8845.74+5991.84+6536.52</f>
        <v>40286.339999999997</v>
      </c>
    </row>
    <row r="105" spans="1:36" s="179" customFormat="1" ht="141.75" x14ac:dyDescent="0.25">
      <c r="A105" s="6">
        <v>102</v>
      </c>
      <c r="B105" s="31">
        <v>151983</v>
      </c>
      <c r="C105" s="11">
        <v>1150</v>
      </c>
      <c r="D105" s="9" t="s">
        <v>1640</v>
      </c>
      <c r="E105" s="24" t="s">
        <v>2000</v>
      </c>
      <c r="F105" s="27" t="s">
        <v>2001</v>
      </c>
      <c r="G105" s="11" t="s">
        <v>1999</v>
      </c>
      <c r="H105" s="8" t="s">
        <v>151</v>
      </c>
      <c r="I105" s="32" t="s">
        <v>2637</v>
      </c>
      <c r="J105" s="25">
        <v>44603</v>
      </c>
      <c r="K105" s="25">
        <v>44968</v>
      </c>
      <c r="L105" s="26">
        <f t="shared" si="48"/>
        <v>80</v>
      </c>
      <c r="M105" s="11">
        <v>8</v>
      </c>
      <c r="N105" s="11" t="s">
        <v>261</v>
      </c>
      <c r="O105" s="11" t="s">
        <v>261</v>
      </c>
      <c r="P105" s="11" t="s">
        <v>174</v>
      </c>
      <c r="Q105" s="11" t="s">
        <v>34</v>
      </c>
      <c r="R105" s="1">
        <f t="shared" si="49"/>
        <v>331867.2</v>
      </c>
      <c r="S105" s="30">
        <v>0</v>
      </c>
      <c r="T105" s="2">
        <v>331867.2</v>
      </c>
      <c r="U105" s="1">
        <f t="shared" si="50"/>
        <v>74670.12</v>
      </c>
      <c r="V105" s="42">
        <v>0</v>
      </c>
      <c r="W105" s="28">
        <v>74670.12</v>
      </c>
      <c r="X105" s="1">
        <f t="shared" si="51"/>
        <v>8296.68</v>
      </c>
      <c r="Y105" s="30">
        <v>0</v>
      </c>
      <c r="Z105" s="2">
        <v>8296.68</v>
      </c>
      <c r="AA105" s="2">
        <f t="shared" si="53"/>
        <v>0</v>
      </c>
      <c r="AB105" s="30">
        <v>0</v>
      </c>
      <c r="AC105" s="30">
        <v>0</v>
      </c>
      <c r="AD105" s="16">
        <f t="shared" si="30"/>
        <v>414834</v>
      </c>
      <c r="AE105" s="37">
        <v>0</v>
      </c>
      <c r="AF105" s="2">
        <f t="shared" si="52"/>
        <v>414834</v>
      </c>
      <c r="AG105" s="38" t="s">
        <v>486</v>
      </c>
      <c r="AH105" s="35"/>
      <c r="AI105" s="30">
        <v>118163.2</v>
      </c>
      <c r="AJ105" s="30">
        <v>26586.720000000001</v>
      </c>
    </row>
    <row r="106" spans="1:36" s="179" customFormat="1" ht="220.5" x14ac:dyDescent="0.25">
      <c r="A106" s="6">
        <v>103</v>
      </c>
      <c r="B106" s="31">
        <v>152134</v>
      </c>
      <c r="C106" s="11">
        <v>1151</v>
      </c>
      <c r="D106" s="9" t="s">
        <v>1640</v>
      </c>
      <c r="E106" s="24" t="s">
        <v>2000</v>
      </c>
      <c r="F106" s="27" t="s">
        <v>2018</v>
      </c>
      <c r="G106" s="11" t="s">
        <v>1649</v>
      </c>
      <c r="H106" s="11" t="s">
        <v>2012</v>
      </c>
      <c r="I106" s="32" t="s">
        <v>2669</v>
      </c>
      <c r="J106" s="25">
        <v>44629</v>
      </c>
      <c r="K106" s="25">
        <v>45086</v>
      </c>
      <c r="L106" s="26">
        <f t="shared" si="48"/>
        <v>80.000002791539686</v>
      </c>
      <c r="M106" s="11">
        <v>8</v>
      </c>
      <c r="N106" s="11" t="s">
        <v>261</v>
      </c>
      <c r="O106" s="11" t="s">
        <v>261</v>
      </c>
      <c r="P106" s="11" t="s">
        <v>174</v>
      </c>
      <c r="Q106" s="11" t="s">
        <v>34</v>
      </c>
      <c r="R106" s="1">
        <f t="shared" si="49"/>
        <v>286580.21000000002</v>
      </c>
      <c r="S106" s="30">
        <v>0</v>
      </c>
      <c r="T106" s="2">
        <v>286580.21000000002</v>
      </c>
      <c r="U106" s="1">
        <f t="shared" si="50"/>
        <v>48488.800000000003</v>
      </c>
      <c r="V106" s="42">
        <v>0</v>
      </c>
      <c r="W106" s="28">
        <v>48488.800000000003</v>
      </c>
      <c r="X106" s="1">
        <f t="shared" si="51"/>
        <v>23156.240000000002</v>
      </c>
      <c r="Y106" s="30">
        <v>0</v>
      </c>
      <c r="Z106" s="2">
        <v>23156.240000000002</v>
      </c>
      <c r="AA106" s="2">
        <f t="shared" si="53"/>
        <v>0</v>
      </c>
      <c r="AB106" s="30">
        <v>0</v>
      </c>
      <c r="AC106" s="30">
        <v>0</v>
      </c>
      <c r="AD106" s="16">
        <f t="shared" si="30"/>
        <v>358225.25</v>
      </c>
      <c r="AE106" s="37">
        <v>0</v>
      </c>
      <c r="AF106" s="2">
        <f t="shared" si="52"/>
        <v>358225.25</v>
      </c>
      <c r="AG106" s="38" t="s">
        <v>486</v>
      </c>
      <c r="AH106" s="35"/>
      <c r="AI106" s="30">
        <v>0</v>
      </c>
      <c r="AJ106" s="30">
        <v>0</v>
      </c>
    </row>
    <row r="107" spans="1:36" s="179" customFormat="1" ht="204.75" x14ac:dyDescent="0.25">
      <c r="A107" s="6">
        <v>104</v>
      </c>
      <c r="B107" s="31">
        <v>151706</v>
      </c>
      <c r="C107" s="11">
        <v>1153</v>
      </c>
      <c r="D107" s="9" t="s">
        <v>1640</v>
      </c>
      <c r="E107" s="24" t="s">
        <v>2000</v>
      </c>
      <c r="F107" s="27" t="s">
        <v>2019</v>
      </c>
      <c r="G107" s="11" t="s">
        <v>1650</v>
      </c>
      <c r="H107" s="11" t="s">
        <v>2012</v>
      </c>
      <c r="I107" s="32" t="s">
        <v>2670</v>
      </c>
      <c r="J107" s="25">
        <v>44624</v>
      </c>
      <c r="K107" s="25">
        <v>44992</v>
      </c>
      <c r="L107" s="26">
        <f t="shared" si="48"/>
        <v>80.000005070174709</v>
      </c>
      <c r="M107" s="11">
        <v>8</v>
      </c>
      <c r="N107" s="11" t="s">
        <v>261</v>
      </c>
      <c r="O107" s="11" t="s">
        <v>261</v>
      </c>
      <c r="P107" s="11" t="s">
        <v>174</v>
      </c>
      <c r="Q107" s="11" t="s">
        <v>34</v>
      </c>
      <c r="R107" s="1">
        <f t="shared" si="49"/>
        <v>252456.8</v>
      </c>
      <c r="S107" s="30">
        <v>0</v>
      </c>
      <c r="T107" s="2">
        <v>252456.8</v>
      </c>
      <c r="U107" s="1">
        <f t="shared" si="50"/>
        <v>39376.800000000003</v>
      </c>
      <c r="V107" s="42">
        <v>0</v>
      </c>
      <c r="W107" s="28">
        <v>39376.800000000003</v>
      </c>
      <c r="X107" s="1">
        <f t="shared" si="51"/>
        <v>23737.38</v>
      </c>
      <c r="Y107" s="30">
        <v>0</v>
      </c>
      <c r="Z107" s="2">
        <v>23737.38</v>
      </c>
      <c r="AA107" s="2">
        <f t="shared" si="53"/>
        <v>0</v>
      </c>
      <c r="AB107" s="30">
        <v>0</v>
      </c>
      <c r="AC107" s="30">
        <v>0</v>
      </c>
      <c r="AD107" s="16">
        <f t="shared" si="30"/>
        <v>315570.98</v>
      </c>
      <c r="AE107" s="37">
        <v>0</v>
      </c>
      <c r="AF107" s="2">
        <f t="shared" si="52"/>
        <v>315570.98</v>
      </c>
      <c r="AG107" s="38" t="s">
        <v>486</v>
      </c>
      <c r="AH107" s="35"/>
      <c r="AI107" s="30">
        <v>0</v>
      </c>
      <c r="AJ107" s="30">
        <v>0</v>
      </c>
    </row>
    <row r="108" spans="1:36" s="179" customFormat="1" ht="236.25" x14ac:dyDescent="0.25">
      <c r="A108" s="6">
        <v>105</v>
      </c>
      <c r="B108" s="31">
        <v>151808</v>
      </c>
      <c r="C108" s="11">
        <v>1154</v>
      </c>
      <c r="D108" s="9" t="s">
        <v>1640</v>
      </c>
      <c r="E108" s="24" t="s">
        <v>2000</v>
      </c>
      <c r="F108" s="27" t="s">
        <v>2079</v>
      </c>
      <c r="G108" s="11" t="s">
        <v>2078</v>
      </c>
      <c r="H108" s="8" t="s">
        <v>151</v>
      </c>
      <c r="I108" s="32" t="s">
        <v>2671</v>
      </c>
      <c r="J108" s="25">
        <v>44655</v>
      </c>
      <c r="K108" s="25">
        <v>45020</v>
      </c>
      <c r="L108" s="26">
        <f t="shared" si="48"/>
        <v>80</v>
      </c>
      <c r="M108" s="11">
        <v>8</v>
      </c>
      <c r="N108" s="11" t="s">
        <v>261</v>
      </c>
      <c r="O108" s="11" t="s">
        <v>261</v>
      </c>
      <c r="P108" s="11" t="s">
        <v>174</v>
      </c>
      <c r="Q108" s="11" t="s">
        <v>34</v>
      </c>
      <c r="R108" s="1">
        <f t="shared" si="49"/>
        <v>298498.71999999997</v>
      </c>
      <c r="S108" s="30">
        <v>0</v>
      </c>
      <c r="T108" s="2">
        <v>298498.71999999997</v>
      </c>
      <c r="U108" s="1">
        <f t="shared" si="50"/>
        <v>67162.210000000006</v>
      </c>
      <c r="V108" s="42">
        <v>0</v>
      </c>
      <c r="W108" s="28">
        <v>67162.210000000006</v>
      </c>
      <c r="X108" s="1">
        <f t="shared" si="51"/>
        <v>7462.47</v>
      </c>
      <c r="Y108" s="30">
        <v>0</v>
      </c>
      <c r="Z108" s="2">
        <v>7462.47</v>
      </c>
      <c r="AA108" s="2">
        <f t="shared" si="53"/>
        <v>0</v>
      </c>
      <c r="AB108" s="30">
        <v>0</v>
      </c>
      <c r="AC108" s="30">
        <v>0</v>
      </c>
      <c r="AD108" s="16">
        <f t="shared" si="30"/>
        <v>373123.39999999997</v>
      </c>
      <c r="AE108" s="37">
        <v>0</v>
      </c>
      <c r="AF108" s="2">
        <f t="shared" si="52"/>
        <v>373123.39999999997</v>
      </c>
      <c r="AG108" s="38" t="s">
        <v>486</v>
      </c>
      <c r="AH108" s="35"/>
      <c r="AI108" s="30">
        <v>0</v>
      </c>
      <c r="AJ108" s="30">
        <v>0</v>
      </c>
    </row>
    <row r="109" spans="1:36" s="179" customFormat="1" ht="141.75" x14ac:dyDescent="0.25">
      <c r="A109" s="6">
        <v>106</v>
      </c>
      <c r="B109" s="31">
        <v>153535</v>
      </c>
      <c r="C109" s="11">
        <v>1257</v>
      </c>
      <c r="D109" s="9" t="s">
        <v>1639</v>
      </c>
      <c r="E109" s="24" t="s">
        <v>2117</v>
      </c>
      <c r="F109" s="27" t="s">
        <v>2115</v>
      </c>
      <c r="G109" s="11" t="s">
        <v>2114</v>
      </c>
      <c r="H109" s="11" t="s">
        <v>2116</v>
      </c>
      <c r="I109" s="32" t="s">
        <v>2672</v>
      </c>
      <c r="J109" s="25">
        <v>44656</v>
      </c>
      <c r="K109" s="25">
        <v>45143</v>
      </c>
      <c r="L109" s="26">
        <f t="shared" si="48"/>
        <v>79.999999666177686</v>
      </c>
      <c r="M109" s="11">
        <v>8</v>
      </c>
      <c r="N109" s="11" t="s">
        <v>261</v>
      </c>
      <c r="O109" s="11" t="s">
        <v>261</v>
      </c>
      <c r="P109" s="11" t="s">
        <v>174</v>
      </c>
      <c r="Q109" s="11" t="s">
        <v>34</v>
      </c>
      <c r="R109" s="1">
        <f t="shared" si="49"/>
        <v>2396484.59</v>
      </c>
      <c r="S109" s="30">
        <v>0</v>
      </c>
      <c r="T109" s="2">
        <v>2396484.59</v>
      </c>
      <c r="U109" s="1">
        <f t="shared" si="50"/>
        <v>539209.04</v>
      </c>
      <c r="V109" s="42">
        <v>0</v>
      </c>
      <c r="W109" s="28">
        <v>539209.04</v>
      </c>
      <c r="X109" s="1">
        <f t="shared" si="51"/>
        <v>59912.12</v>
      </c>
      <c r="Y109" s="30">
        <v>0</v>
      </c>
      <c r="Z109" s="2">
        <v>59912.12</v>
      </c>
      <c r="AA109" s="2">
        <f t="shared" si="53"/>
        <v>0</v>
      </c>
      <c r="AB109" s="30">
        <v>0</v>
      </c>
      <c r="AC109" s="30">
        <v>0</v>
      </c>
      <c r="AD109" s="16">
        <f t="shared" si="30"/>
        <v>2995605.75</v>
      </c>
      <c r="AE109" s="37">
        <v>0</v>
      </c>
      <c r="AF109" s="2">
        <f t="shared" si="52"/>
        <v>2995605.75</v>
      </c>
      <c r="AG109" s="38" t="s">
        <v>486</v>
      </c>
      <c r="AH109" s="35"/>
      <c r="AI109" s="30">
        <v>0</v>
      </c>
      <c r="AJ109" s="30">
        <v>0</v>
      </c>
    </row>
    <row r="110" spans="1:36" s="179" customFormat="1" ht="173.25" x14ac:dyDescent="0.25">
      <c r="A110" s="6">
        <v>107</v>
      </c>
      <c r="B110" s="31">
        <v>154822</v>
      </c>
      <c r="C110" s="11">
        <v>1255</v>
      </c>
      <c r="D110" s="9" t="s">
        <v>1639</v>
      </c>
      <c r="E110" s="24" t="s">
        <v>2117</v>
      </c>
      <c r="F110" s="27" t="s">
        <v>2171</v>
      </c>
      <c r="G110" s="11" t="s">
        <v>2170</v>
      </c>
      <c r="H110" s="11" t="s">
        <v>2172</v>
      </c>
      <c r="I110" s="32" t="s">
        <v>2673</v>
      </c>
      <c r="J110" s="25">
        <v>44670</v>
      </c>
      <c r="K110" s="25">
        <v>45157</v>
      </c>
      <c r="L110" s="26">
        <f t="shared" si="48"/>
        <v>80.000000134079045</v>
      </c>
      <c r="M110" s="11">
        <v>8</v>
      </c>
      <c r="N110" s="11" t="s">
        <v>261</v>
      </c>
      <c r="O110" s="11" t="s">
        <v>261</v>
      </c>
      <c r="P110" s="11" t="s">
        <v>174</v>
      </c>
      <c r="Q110" s="11" t="s">
        <v>34</v>
      </c>
      <c r="R110" s="1">
        <f t="shared" si="49"/>
        <v>2386652.1800000002</v>
      </c>
      <c r="S110" s="30">
        <v>0</v>
      </c>
      <c r="T110" s="2">
        <v>2386652.1800000002</v>
      </c>
      <c r="U110" s="1">
        <f t="shared" si="50"/>
        <v>536996.74</v>
      </c>
      <c r="V110" s="42">
        <v>0</v>
      </c>
      <c r="W110" s="28">
        <v>536996.74</v>
      </c>
      <c r="X110" s="1">
        <f t="shared" si="51"/>
        <v>59666.3</v>
      </c>
      <c r="Y110" s="30">
        <v>0</v>
      </c>
      <c r="Z110" s="2">
        <v>59666.3</v>
      </c>
      <c r="AA110" s="2">
        <f t="shared" si="53"/>
        <v>0</v>
      </c>
      <c r="AB110" s="30">
        <v>0</v>
      </c>
      <c r="AC110" s="30">
        <v>0</v>
      </c>
      <c r="AD110" s="16">
        <f t="shared" si="30"/>
        <v>2983315.2199999997</v>
      </c>
      <c r="AE110" s="37">
        <v>0</v>
      </c>
      <c r="AF110" s="2">
        <f t="shared" si="52"/>
        <v>2983315.2199999997</v>
      </c>
      <c r="AG110" s="38" t="s">
        <v>486</v>
      </c>
      <c r="AH110" s="35"/>
      <c r="AI110" s="30">
        <v>84241.52</v>
      </c>
      <c r="AJ110" s="30">
        <v>0</v>
      </c>
    </row>
    <row r="111" spans="1:36" s="179" customFormat="1" ht="204.75" x14ac:dyDescent="0.25">
      <c r="A111" s="6">
        <v>108</v>
      </c>
      <c r="B111" s="31">
        <v>154777</v>
      </c>
      <c r="C111" s="11">
        <v>1256</v>
      </c>
      <c r="D111" s="9" t="s">
        <v>1639</v>
      </c>
      <c r="E111" s="24" t="s">
        <v>2117</v>
      </c>
      <c r="F111" s="27" t="s">
        <v>2174</v>
      </c>
      <c r="G111" s="11" t="s">
        <v>2173</v>
      </c>
      <c r="H111" s="8" t="s">
        <v>151</v>
      </c>
      <c r="I111" s="32" t="s">
        <v>2674</v>
      </c>
      <c r="J111" s="25">
        <v>44669</v>
      </c>
      <c r="K111" s="25">
        <v>45125</v>
      </c>
      <c r="L111" s="26">
        <f t="shared" si="48"/>
        <v>80</v>
      </c>
      <c r="M111" s="11">
        <v>8</v>
      </c>
      <c r="N111" s="11" t="s">
        <v>261</v>
      </c>
      <c r="O111" s="11" t="s">
        <v>261</v>
      </c>
      <c r="P111" s="11" t="s">
        <v>174</v>
      </c>
      <c r="Q111" s="11" t="s">
        <v>34</v>
      </c>
      <c r="R111" s="1">
        <f t="shared" si="49"/>
        <v>275906</v>
      </c>
      <c r="S111" s="30">
        <v>0</v>
      </c>
      <c r="T111" s="2">
        <v>275906</v>
      </c>
      <c r="U111" s="1">
        <f t="shared" si="50"/>
        <v>62078.85</v>
      </c>
      <c r="V111" s="42">
        <v>0</v>
      </c>
      <c r="W111" s="28">
        <v>62078.85</v>
      </c>
      <c r="X111" s="1">
        <f t="shared" si="51"/>
        <v>6897.65</v>
      </c>
      <c r="Y111" s="30">
        <v>0</v>
      </c>
      <c r="Z111" s="2">
        <v>6897.65</v>
      </c>
      <c r="AA111" s="2">
        <f t="shared" si="53"/>
        <v>0</v>
      </c>
      <c r="AB111" s="30">
        <v>0</v>
      </c>
      <c r="AC111" s="30">
        <v>0</v>
      </c>
      <c r="AD111" s="16">
        <f t="shared" si="30"/>
        <v>344882.5</v>
      </c>
      <c r="AE111" s="37">
        <v>0</v>
      </c>
      <c r="AF111" s="2">
        <f t="shared" si="52"/>
        <v>344882.5</v>
      </c>
      <c r="AG111" s="38" t="s">
        <v>486</v>
      </c>
      <c r="AH111" s="35"/>
      <c r="AI111" s="30">
        <v>0</v>
      </c>
      <c r="AJ111" s="30">
        <v>0</v>
      </c>
    </row>
    <row r="112" spans="1:36" s="179" customFormat="1" ht="189" x14ac:dyDescent="0.25">
      <c r="A112" s="6">
        <v>109</v>
      </c>
      <c r="B112" s="31">
        <v>153912</v>
      </c>
      <c r="C112" s="11">
        <v>1259</v>
      </c>
      <c r="D112" s="9" t="s">
        <v>1639</v>
      </c>
      <c r="E112" s="24" t="s">
        <v>2117</v>
      </c>
      <c r="F112" s="27" t="s">
        <v>2180</v>
      </c>
      <c r="G112" s="11" t="s">
        <v>2179</v>
      </c>
      <c r="H112" s="8" t="s">
        <v>151</v>
      </c>
      <c r="I112" s="32" t="s">
        <v>2675</v>
      </c>
      <c r="J112" s="25">
        <v>44671</v>
      </c>
      <c r="K112" s="25">
        <v>45158</v>
      </c>
      <c r="L112" s="26">
        <f t="shared" si="48"/>
        <v>79.999999930954957</v>
      </c>
      <c r="M112" s="11">
        <v>8</v>
      </c>
      <c r="N112" s="11" t="s">
        <v>261</v>
      </c>
      <c r="O112" s="11" t="s">
        <v>261</v>
      </c>
      <c r="P112" s="11" t="s">
        <v>174</v>
      </c>
      <c r="Q112" s="11" t="s">
        <v>34</v>
      </c>
      <c r="R112" s="1">
        <f t="shared" si="49"/>
        <v>2317327.9500000002</v>
      </c>
      <c r="S112" s="30">
        <v>0</v>
      </c>
      <c r="T112" s="2">
        <v>2317327.9500000002</v>
      </c>
      <c r="U112" s="1">
        <f t="shared" si="50"/>
        <v>521398.79</v>
      </c>
      <c r="V112" s="42">
        <v>0</v>
      </c>
      <c r="W112" s="28">
        <v>521398.79</v>
      </c>
      <c r="X112" s="1">
        <f t="shared" si="51"/>
        <v>57933.2</v>
      </c>
      <c r="Y112" s="30">
        <v>0</v>
      </c>
      <c r="Z112" s="2">
        <v>57933.2</v>
      </c>
      <c r="AA112" s="2">
        <f t="shared" si="53"/>
        <v>0</v>
      </c>
      <c r="AB112" s="30">
        <v>0</v>
      </c>
      <c r="AC112" s="30">
        <v>0</v>
      </c>
      <c r="AD112" s="16">
        <f t="shared" si="30"/>
        <v>2896659.9400000004</v>
      </c>
      <c r="AE112" s="37">
        <v>0</v>
      </c>
      <c r="AF112" s="2">
        <f t="shared" si="52"/>
        <v>2896659.9400000004</v>
      </c>
      <c r="AG112" s="38" t="s">
        <v>486</v>
      </c>
      <c r="AH112" s="35"/>
      <c r="AI112" s="30">
        <v>0</v>
      </c>
      <c r="AJ112" s="30">
        <v>0</v>
      </c>
    </row>
    <row r="113" spans="1:36" s="179" customFormat="1" ht="189" x14ac:dyDescent="0.25">
      <c r="A113" s="6">
        <v>110</v>
      </c>
      <c r="B113" s="31">
        <v>152154</v>
      </c>
      <c r="C113" s="11">
        <v>1152</v>
      </c>
      <c r="D113" s="9" t="s">
        <v>1640</v>
      </c>
      <c r="E113" s="24" t="s">
        <v>2000</v>
      </c>
      <c r="F113" s="27" t="s">
        <v>2257</v>
      </c>
      <c r="G113" s="11" t="s">
        <v>2256</v>
      </c>
      <c r="H113" s="11" t="s">
        <v>2012</v>
      </c>
      <c r="I113" s="32" t="s">
        <v>2258</v>
      </c>
      <c r="J113" s="25">
        <v>44721</v>
      </c>
      <c r="K113" s="25">
        <v>45208</v>
      </c>
      <c r="L113" s="26">
        <f t="shared" si="48"/>
        <v>79.99999921375796</v>
      </c>
      <c r="M113" s="11">
        <v>8</v>
      </c>
      <c r="N113" s="11" t="s">
        <v>261</v>
      </c>
      <c r="O113" s="11" t="s">
        <v>261</v>
      </c>
      <c r="P113" s="11" t="s">
        <v>174</v>
      </c>
      <c r="Q113" s="11" t="s">
        <v>34</v>
      </c>
      <c r="R113" s="1">
        <f t="shared" si="49"/>
        <v>203499.67</v>
      </c>
      <c r="S113" s="30">
        <v>0</v>
      </c>
      <c r="T113" s="2">
        <v>203499.67</v>
      </c>
      <c r="U113" s="1">
        <f t="shared" si="50"/>
        <v>26305.93</v>
      </c>
      <c r="V113" s="42">
        <v>0</v>
      </c>
      <c r="W113" s="28">
        <v>26305.93</v>
      </c>
      <c r="X113" s="1">
        <f t="shared" si="51"/>
        <v>24568.99</v>
      </c>
      <c r="Y113" s="30">
        <v>0</v>
      </c>
      <c r="Z113" s="2">
        <v>24568.99</v>
      </c>
      <c r="AA113" s="2">
        <f t="shared" si="53"/>
        <v>0</v>
      </c>
      <c r="AB113" s="30">
        <v>0</v>
      </c>
      <c r="AC113" s="30">
        <v>0</v>
      </c>
      <c r="AD113" s="16">
        <f t="shared" si="30"/>
        <v>254374.59</v>
      </c>
      <c r="AE113" s="37">
        <v>47524</v>
      </c>
      <c r="AF113" s="2">
        <f t="shared" si="52"/>
        <v>301898.58999999997</v>
      </c>
      <c r="AG113" s="38" t="s">
        <v>486</v>
      </c>
      <c r="AH113" s="35"/>
      <c r="AI113" s="30">
        <v>0</v>
      </c>
      <c r="AJ113" s="30">
        <v>0</v>
      </c>
    </row>
    <row r="114" spans="1:36" s="179" customFormat="1" ht="189" x14ac:dyDescent="0.25">
      <c r="A114" s="6">
        <v>111</v>
      </c>
      <c r="B114" s="31">
        <v>155113</v>
      </c>
      <c r="C114" s="11">
        <v>1260</v>
      </c>
      <c r="D114" s="9" t="s">
        <v>1639</v>
      </c>
      <c r="E114" s="24" t="s">
        <v>2117</v>
      </c>
      <c r="F114" s="27" t="s">
        <v>2610</v>
      </c>
      <c r="G114" s="11" t="s">
        <v>2256</v>
      </c>
      <c r="H114" s="11" t="s">
        <v>2611</v>
      </c>
      <c r="I114" s="32" t="s">
        <v>2612</v>
      </c>
      <c r="J114" s="25">
        <v>44777</v>
      </c>
      <c r="K114" s="25">
        <v>45264</v>
      </c>
      <c r="L114" s="26">
        <f t="shared" si="48"/>
        <v>79.891646383593979</v>
      </c>
      <c r="M114" s="11">
        <v>8</v>
      </c>
      <c r="N114" s="11" t="s">
        <v>261</v>
      </c>
      <c r="O114" s="11" t="s">
        <v>261</v>
      </c>
      <c r="P114" s="11" t="s">
        <v>174</v>
      </c>
      <c r="Q114" s="11" t="s">
        <v>34</v>
      </c>
      <c r="R114" s="1">
        <f t="shared" si="49"/>
        <v>3185531.6</v>
      </c>
      <c r="S114" s="30">
        <v>0</v>
      </c>
      <c r="T114" s="2">
        <v>3185531.6</v>
      </c>
      <c r="U114" s="1">
        <f t="shared" si="50"/>
        <v>722037.1</v>
      </c>
      <c r="V114" s="42">
        <v>0</v>
      </c>
      <c r="W114" s="28">
        <v>722037.1</v>
      </c>
      <c r="X114" s="1">
        <f t="shared" si="51"/>
        <v>74345.8</v>
      </c>
      <c r="Y114" s="30">
        <v>0</v>
      </c>
      <c r="Z114" s="2">
        <v>74345.8</v>
      </c>
      <c r="AA114" s="2">
        <f t="shared" si="53"/>
        <v>5400.5</v>
      </c>
      <c r="AB114" s="30">
        <v>0</v>
      </c>
      <c r="AC114" s="30">
        <v>5400.5</v>
      </c>
      <c r="AD114" s="16">
        <f t="shared" si="30"/>
        <v>3987315</v>
      </c>
      <c r="AE114" s="37">
        <v>437000</v>
      </c>
      <c r="AF114" s="2">
        <f t="shared" si="52"/>
        <v>4424315</v>
      </c>
      <c r="AG114" s="38" t="s">
        <v>486</v>
      </c>
      <c r="AH114" s="35"/>
      <c r="AI114" s="30">
        <v>0</v>
      </c>
      <c r="AJ114" s="30">
        <v>0</v>
      </c>
    </row>
    <row r="115" spans="1:36" s="179" customFormat="1" ht="189" x14ac:dyDescent="0.25">
      <c r="A115" s="6">
        <v>112</v>
      </c>
      <c r="B115" s="31">
        <v>155864</v>
      </c>
      <c r="C115" s="11">
        <v>1264</v>
      </c>
      <c r="D115" s="9" t="s">
        <v>1639</v>
      </c>
      <c r="E115" s="24" t="s">
        <v>2613</v>
      </c>
      <c r="F115" s="27" t="s">
        <v>2615</v>
      </c>
      <c r="G115" s="11" t="s">
        <v>2614</v>
      </c>
      <c r="H115" s="8" t="s">
        <v>151</v>
      </c>
      <c r="I115" s="32" t="s">
        <v>2676</v>
      </c>
      <c r="J115" s="25">
        <v>44775</v>
      </c>
      <c r="K115" s="25">
        <v>45140</v>
      </c>
      <c r="L115" s="26">
        <f t="shared" si="48"/>
        <v>80</v>
      </c>
      <c r="M115" s="11">
        <v>8</v>
      </c>
      <c r="N115" s="11" t="s">
        <v>261</v>
      </c>
      <c r="O115" s="11" t="s">
        <v>261</v>
      </c>
      <c r="P115" s="11" t="s">
        <v>174</v>
      </c>
      <c r="Q115" s="11" t="s">
        <v>34</v>
      </c>
      <c r="R115" s="1">
        <f t="shared" si="49"/>
        <v>2380761.6</v>
      </c>
      <c r="S115" s="30">
        <v>0</v>
      </c>
      <c r="T115" s="2">
        <v>2380761.6</v>
      </c>
      <c r="U115" s="1">
        <f t="shared" si="50"/>
        <v>535671.36</v>
      </c>
      <c r="V115" s="42">
        <v>0</v>
      </c>
      <c r="W115" s="28">
        <v>535671.36</v>
      </c>
      <c r="X115" s="1">
        <f t="shared" si="51"/>
        <v>59519.040000000001</v>
      </c>
      <c r="Y115" s="30">
        <v>0</v>
      </c>
      <c r="Z115" s="2">
        <v>59519.040000000001</v>
      </c>
      <c r="AA115" s="2">
        <f t="shared" si="53"/>
        <v>0</v>
      </c>
      <c r="AB115" s="30">
        <v>0</v>
      </c>
      <c r="AC115" s="30">
        <v>0</v>
      </c>
      <c r="AD115" s="16">
        <f t="shared" si="30"/>
        <v>2975952</v>
      </c>
      <c r="AE115" s="37">
        <v>0</v>
      </c>
      <c r="AF115" s="2">
        <f t="shared" si="52"/>
        <v>2975952</v>
      </c>
      <c r="AG115" s="38" t="s">
        <v>486</v>
      </c>
      <c r="AH115" s="35"/>
      <c r="AI115" s="30">
        <v>0</v>
      </c>
      <c r="AJ115" s="30">
        <v>0</v>
      </c>
    </row>
    <row r="116" spans="1:36" s="179" customFormat="1" ht="315" x14ac:dyDescent="0.25">
      <c r="A116" s="6">
        <v>113</v>
      </c>
      <c r="B116" s="31">
        <v>155749</v>
      </c>
      <c r="C116" s="11">
        <v>1267</v>
      </c>
      <c r="D116" s="9" t="s">
        <v>1639</v>
      </c>
      <c r="E116" s="24" t="s">
        <v>2613</v>
      </c>
      <c r="F116" s="27" t="s">
        <v>2616</v>
      </c>
      <c r="G116" s="11" t="s">
        <v>2179</v>
      </c>
      <c r="H116" s="8" t="s">
        <v>151</v>
      </c>
      <c r="I116" s="32" t="s">
        <v>2677</v>
      </c>
      <c r="J116" s="25">
        <v>44775</v>
      </c>
      <c r="K116" s="25">
        <v>45140</v>
      </c>
      <c r="L116" s="26">
        <f t="shared" si="48"/>
        <v>80</v>
      </c>
      <c r="M116" s="11">
        <v>8</v>
      </c>
      <c r="N116" s="11" t="s">
        <v>261</v>
      </c>
      <c r="O116" s="11" t="s">
        <v>261</v>
      </c>
      <c r="P116" s="11" t="s">
        <v>174</v>
      </c>
      <c r="Q116" s="11" t="s">
        <v>34</v>
      </c>
      <c r="R116" s="1">
        <f t="shared" si="49"/>
        <v>3177747.24</v>
      </c>
      <c r="S116" s="30">
        <v>0</v>
      </c>
      <c r="T116" s="2">
        <v>3177747.24</v>
      </c>
      <c r="U116" s="1">
        <f t="shared" si="50"/>
        <v>714993.13</v>
      </c>
      <c r="V116" s="42">
        <v>0</v>
      </c>
      <c r="W116" s="28">
        <v>714993.13</v>
      </c>
      <c r="X116" s="1">
        <f t="shared" si="51"/>
        <v>79443.679999999993</v>
      </c>
      <c r="Y116" s="30">
        <v>0</v>
      </c>
      <c r="Z116" s="2">
        <v>79443.679999999993</v>
      </c>
      <c r="AA116" s="2">
        <f t="shared" si="53"/>
        <v>0</v>
      </c>
      <c r="AB116" s="30">
        <v>0</v>
      </c>
      <c r="AC116" s="30">
        <v>0</v>
      </c>
      <c r="AD116" s="16">
        <f t="shared" si="30"/>
        <v>3972184.0500000003</v>
      </c>
      <c r="AE116" s="37">
        <v>0</v>
      </c>
      <c r="AF116" s="2">
        <f t="shared" si="52"/>
        <v>3972184.0500000003</v>
      </c>
      <c r="AG116" s="38" t="s">
        <v>486</v>
      </c>
      <c r="AH116" s="35"/>
      <c r="AI116" s="30">
        <v>0</v>
      </c>
      <c r="AJ116" s="30">
        <v>0</v>
      </c>
    </row>
    <row r="117" spans="1:36" s="179" customFormat="1" ht="283.5" x14ac:dyDescent="0.25">
      <c r="A117" s="6">
        <v>114</v>
      </c>
      <c r="B117" s="31">
        <v>155759</v>
      </c>
      <c r="C117" s="11">
        <v>1269</v>
      </c>
      <c r="D117" s="9" t="s">
        <v>1639</v>
      </c>
      <c r="E117" s="24" t="s">
        <v>2613</v>
      </c>
      <c r="F117" s="27" t="s">
        <v>3208</v>
      </c>
      <c r="G117" s="11" t="s">
        <v>2170</v>
      </c>
      <c r="H117" s="8" t="s">
        <v>151</v>
      </c>
      <c r="I117" s="32" t="s">
        <v>3209</v>
      </c>
      <c r="J117" s="25">
        <v>44795</v>
      </c>
      <c r="K117" s="25">
        <v>45160</v>
      </c>
      <c r="L117" s="26">
        <f t="shared" si="48"/>
        <v>80</v>
      </c>
      <c r="M117" s="11">
        <v>8</v>
      </c>
      <c r="N117" s="11" t="s">
        <v>261</v>
      </c>
      <c r="O117" s="11" t="s">
        <v>261</v>
      </c>
      <c r="P117" s="11" t="s">
        <v>174</v>
      </c>
      <c r="Q117" s="11" t="s">
        <v>34</v>
      </c>
      <c r="R117" s="1">
        <f t="shared" si="49"/>
        <v>3193664.8</v>
      </c>
      <c r="S117" s="30">
        <v>0</v>
      </c>
      <c r="T117" s="2">
        <v>3193664.8</v>
      </c>
      <c r="U117" s="1">
        <f t="shared" si="50"/>
        <v>718574.58</v>
      </c>
      <c r="V117" s="42">
        <v>0</v>
      </c>
      <c r="W117" s="28">
        <v>718574.58</v>
      </c>
      <c r="X117" s="1">
        <f t="shared" si="51"/>
        <v>79841.62</v>
      </c>
      <c r="Y117" s="30">
        <v>0</v>
      </c>
      <c r="Z117" s="2">
        <v>79841.62</v>
      </c>
      <c r="AA117" s="2">
        <v>0</v>
      </c>
      <c r="AB117" s="30">
        <v>0</v>
      </c>
      <c r="AC117" s="30">
        <v>0</v>
      </c>
      <c r="AD117" s="16">
        <f t="shared" si="30"/>
        <v>3992081</v>
      </c>
      <c r="AE117" s="37">
        <v>0</v>
      </c>
      <c r="AF117" s="2">
        <f t="shared" si="52"/>
        <v>3992081</v>
      </c>
      <c r="AG117" s="38" t="s">
        <v>486</v>
      </c>
      <c r="AH117" s="35"/>
      <c r="AI117" s="30">
        <v>0</v>
      </c>
      <c r="AJ117" s="30">
        <v>0</v>
      </c>
    </row>
    <row r="118" spans="1:36" s="179" customFormat="1" ht="220.5" x14ac:dyDescent="0.25">
      <c r="A118" s="6">
        <v>115</v>
      </c>
      <c r="B118" s="31">
        <v>155741</v>
      </c>
      <c r="C118" s="11">
        <v>1268</v>
      </c>
      <c r="D118" s="9" t="s">
        <v>1639</v>
      </c>
      <c r="E118" s="24" t="s">
        <v>2613</v>
      </c>
      <c r="F118" s="27" t="s">
        <v>3273</v>
      </c>
      <c r="G118" s="11" t="s">
        <v>3272</v>
      </c>
      <c r="H118" s="8" t="s">
        <v>151</v>
      </c>
      <c r="I118" s="32" t="s">
        <v>3274</v>
      </c>
      <c r="J118" s="25">
        <v>44806</v>
      </c>
      <c r="K118" s="25">
        <v>45232</v>
      </c>
      <c r="L118" s="26">
        <f t="shared" si="48"/>
        <v>80</v>
      </c>
      <c r="M118" s="11">
        <v>8</v>
      </c>
      <c r="N118" s="11" t="s">
        <v>261</v>
      </c>
      <c r="O118" s="11" t="s">
        <v>261</v>
      </c>
      <c r="P118" s="11" t="s">
        <v>174</v>
      </c>
      <c r="Q118" s="11" t="s">
        <v>34</v>
      </c>
      <c r="R118" s="1">
        <f t="shared" si="49"/>
        <v>2922630.72</v>
      </c>
      <c r="S118" s="30">
        <v>0</v>
      </c>
      <c r="T118" s="2">
        <v>2922630.72</v>
      </c>
      <c r="U118" s="1">
        <f t="shared" si="50"/>
        <v>657591.91</v>
      </c>
      <c r="V118" s="42">
        <v>0</v>
      </c>
      <c r="W118" s="28">
        <v>657591.91</v>
      </c>
      <c r="X118" s="1">
        <f t="shared" si="51"/>
        <v>73065.77</v>
      </c>
      <c r="Y118" s="30">
        <v>0</v>
      </c>
      <c r="Z118" s="2">
        <v>73065.77</v>
      </c>
      <c r="AA118" s="2">
        <v>0</v>
      </c>
      <c r="AB118" s="30">
        <v>0</v>
      </c>
      <c r="AC118" s="30">
        <v>0</v>
      </c>
      <c r="AD118" s="16">
        <f t="shared" si="30"/>
        <v>3653288.4000000004</v>
      </c>
      <c r="AE118" s="37">
        <v>0</v>
      </c>
      <c r="AF118" s="2">
        <f t="shared" si="52"/>
        <v>3653288.4000000004</v>
      </c>
      <c r="AG118" s="38" t="s">
        <v>486</v>
      </c>
      <c r="AH118" s="35"/>
      <c r="AI118" s="30">
        <v>0</v>
      </c>
      <c r="AJ118" s="30">
        <v>0</v>
      </c>
    </row>
    <row r="119" spans="1:36" s="179" customFormat="1" ht="315" x14ac:dyDescent="0.25">
      <c r="A119" s="6">
        <v>116</v>
      </c>
      <c r="B119" s="31">
        <v>118335</v>
      </c>
      <c r="C119" s="31">
        <v>427</v>
      </c>
      <c r="D119" s="32" t="s">
        <v>1640</v>
      </c>
      <c r="E119" s="24" t="s">
        <v>507</v>
      </c>
      <c r="F119" s="27" t="s">
        <v>568</v>
      </c>
      <c r="G119" s="11" t="s">
        <v>569</v>
      </c>
      <c r="H119" s="8" t="s">
        <v>151</v>
      </c>
      <c r="I119" s="45" t="s">
        <v>573</v>
      </c>
      <c r="J119" s="25">
        <v>43284</v>
      </c>
      <c r="K119" s="25">
        <v>43711</v>
      </c>
      <c r="L119" s="26">
        <f t="shared" ref="L119:L128" si="54">R119/AD119*100</f>
        <v>85.000001775483071</v>
      </c>
      <c r="M119" s="11">
        <v>2</v>
      </c>
      <c r="N119" s="11" t="s">
        <v>570</v>
      </c>
      <c r="O119" s="11" t="s">
        <v>570</v>
      </c>
      <c r="P119" s="11" t="s">
        <v>174</v>
      </c>
      <c r="Q119" s="11" t="s">
        <v>34</v>
      </c>
      <c r="R119" s="1">
        <v>239371.48</v>
      </c>
      <c r="S119" s="2">
        <v>239371.48</v>
      </c>
      <c r="T119" s="30">
        <v>0</v>
      </c>
      <c r="U119" s="1">
        <f t="shared" si="50"/>
        <v>36609.75</v>
      </c>
      <c r="V119" s="28">
        <v>36609.75</v>
      </c>
      <c r="W119" s="55">
        <v>0</v>
      </c>
      <c r="X119" s="1">
        <f t="shared" si="51"/>
        <v>5632.27</v>
      </c>
      <c r="Y119" s="2">
        <v>5632.27</v>
      </c>
      <c r="Z119" s="30">
        <v>0</v>
      </c>
      <c r="AA119" s="2">
        <f>AB119+AC119</f>
        <v>0</v>
      </c>
      <c r="AB119" s="30">
        <v>0</v>
      </c>
      <c r="AC119" s="30">
        <v>0</v>
      </c>
      <c r="AD119" s="16">
        <f t="shared" si="30"/>
        <v>281613.5</v>
      </c>
      <c r="AE119" s="35">
        <v>0</v>
      </c>
      <c r="AF119" s="2">
        <f t="shared" ref="AF119:AF128" si="55">AD119+AE119</f>
        <v>281613.5</v>
      </c>
      <c r="AG119" s="21" t="s">
        <v>857</v>
      </c>
      <c r="AH119" s="35" t="s">
        <v>1048</v>
      </c>
      <c r="AI119" s="30">
        <v>238071.21999999997</v>
      </c>
      <c r="AJ119" s="30">
        <v>36410.870000000003</v>
      </c>
    </row>
    <row r="120" spans="1:36" s="179" customFormat="1" ht="362.25" x14ac:dyDescent="0.25">
      <c r="A120" s="6">
        <v>117</v>
      </c>
      <c r="B120" s="31">
        <v>118396</v>
      </c>
      <c r="C120" s="31">
        <v>428</v>
      </c>
      <c r="D120" s="32" t="s">
        <v>1640</v>
      </c>
      <c r="E120" s="24" t="s">
        <v>507</v>
      </c>
      <c r="F120" s="11" t="s">
        <v>696</v>
      </c>
      <c r="G120" s="11" t="s">
        <v>697</v>
      </c>
      <c r="H120" s="11" t="s">
        <v>659</v>
      </c>
      <c r="I120" s="75" t="s">
        <v>2678</v>
      </c>
      <c r="J120" s="25">
        <v>43312</v>
      </c>
      <c r="K120" s="25">
        <v>43861</v>
      </c>
      <c r="L120" s="26">
        <f t="shared" si="54"/>
        <v>84.167393553203468</v>
      </c>
      <c r="M120" s="47">
        <v>2</v>
      </c>
      <c r="N120" s="11" t="s">
        <v>570</v>
      </c>
      <c r="O120" s="11" t="s">
        <v>570</v>
      </c>
      <c r="P120" s="11" t="s">
        <v>174</v>
      </c>
      <c r="Q120" s="11" t="s">
        <v>34</v>
      </c>
      <c r="R120" s="30">
        <f>S120</f>
        <v>326686.85000000009</v>
      </c>
      <c r="S120" s="30">
        <v>326686.85000000009</v>
      </c>
      <c r="T120" s="30">
        <v>0</v>
      </c>
      <c r="U120" s="1">
        <f t="shared" si="50"/>
        <v>53689.799999999996</v>
      </c>
      <c r="V120" s="42">
        <v>53689.799999999996</v>
      </c>
      <c r="W120" s="42">
        <v>0</v>
      </c>
      <c r="X120" s="1">
        <f t="shared" si="51"/>
        <v>3960.82</v>
      </c>
      <c r="Y120" s="30">
        <v>3960.82</v>
      </c>
      <c r="Z120" s="30">
        <v>0</v>
      </c>
      <c r="AA120" s="2">
        <f>AB120+AC120</f>
        <v>3801.97</v>
      </c>
      <c r="AB120" s="30">
        <v>3801.97</v>
      </c>
      <c r="AC120" s="30">
        <v>0</v>
      </c>
      <c r="AD120" s="16">
        <f t="shared" si="30"/>
        <v>388139.44000000006</v>
      </c>
      <c r="AE120" s="35">
        <v>0</v>
      </c>
      <c r="AF120" s="2">
        <f t="shared" si="55"/>
        <v>388139.44000000006</v>
      </c>
      <c r="AG120" s="38" t="s">
        <v>857</v>
      </c>
      <c r="AH120" s="35" t="s">
        <v>1333</v>
      </c>
      <c r="AI120" s="30">
        <v>228534.63999999998</v>
      </c>
      <c r="AJ120" s="30">
        <v>38165.25</v>
      </c>
    </row>
    <row r="121" spans="1:36" s="179" customFormat="1" ht="189" x14ac:dyDescent="0.25">
      <c r="A121" s="6">
        <v>118</v>
      </c>
      <c r="B121" s="31">
        <v>119892</v>
      </c>
      <c r="C121" s="31">
        <v>480</v>
      </c>
      <c r="D121" s="9" t="s">
        <v>1639</v>
      </c>
      <c r="E121" s="24" t="s">
        <v>457</v>
      </c>
      <c r="F121" s="11" t="s">
        <v>872</v>
      </c>
      <c r="G121" s="11" t="s">
        <v>569</v>
      </c>
      <c r="H121" s="8" t="s">
        <v>151</v>
      </c>
      <c r="I121" s="12" t="s">
        <v>2679</v>
      </c>
      <c r="J121" s="76">
        <v>43389</v>
      </c>
      <c r="K121" s="25">
        <v>43906</v>
      </c>
      <c r="L121" s="26">
        <f t="shared" si="54"/>
        <v>85.000001891187381</v>
      </c>
      <c r="M121" s="31">
        <v>2</v>
      </c>
      <c r="N121" s="11" t="s">
        <v>570</v>
      </c>
      <c r="O121" s="11" t="s">
        <v>873</v>
      </c>
      <c r="P121" s="67" t="s">
        <v>174</v>
      </c>
      <c r="Q121" s="11" t="s">
        <v>460</v>
      </c>
      <c r="R121" s="77">
        <f t="shared" ref="R121:R128" si="56">S121+T121</f>
        <v>337089.82</v>
      </c>
      <c r="S121" s="30">
        <v>337089.82</v>
      </c>
      <c r="T121" s="30">
        <v>0</v>
      </c>
      <c r="U121" s="1">
        <f t="shared" si="50"/>
        <v>51554.92</v>
      </c>
      <c r="V121" s="28">
        <v>51554.92</v>
      </c>
      <c r="W121" s="78">
        <v>0</v>
      </c>
      <c r="X121" s="1">
        <f t="shared" si="51"/>
        <v>7931.51</v>
      </c>
      <c r="Y121" s="79">
        <v>7931.51</v>
      </c>
      <c r="Z121" s="30">
        <v>0</v>
      </c>
      <c r="AA121" s="11">
        <v>0</v>
      </c>
      <c r="AB121" s="11">
        <v>0</v>
      </c>
      <c r="AC121" s="30">
        <v>0</v>
      </c>
      <c r="AD121" s="16">
        <f t="shared" si="30"/>
        <v>396576.25</v>
      </c>
      <c r="AE121" s="80">
        <v>2189.6</v>
      </c>
      <c r="AF121" s="2">
        <f t="shared" si="55"/>
        <v>398765.85</v>
      </c>
      <c r="AG121" s="38" t="s">
        <v>857</v>
      </c>
      <c r="AH121" s="35" t="s">
        <v>1165</v>
      </c>
      <c r="AI121" s="30">
        <v>303728.18</v>
      </c>
      <c r="AJ121" s="30">
        <v>46452.54</v>
      </c>
    </row>
    <row r="122" spans="1:36" s="179" customFormat="1" ht="157.5" x14ac:dyDescent="0.25">
      <c r="A122" s="6">
        <v>119</v>
      </c>
      <c r="B122" s="31">
        <v>126446</v>
      </c>
      <c r="C122" s="31">
        <v>543</v>
      </c>
      <c r="D122" s="9" t="s">
        <v>1639</v>
      </c>
      <c r="E122" s="24" t="s">
        <v>899</v>
      </c>
      <c r="F122" s="11" t="s">
        <v>901</v>
      </c>
      <c r="G122" s="11" t="s">
        <v>569</v>
      </c>
      <c r="H122" s="8" t="s">
        <v>151</v>
      </c>
      <c r="I122" s="12" t="s">
        <v>2680</v>
      </c>
      <c r="J122" s="76">
        <v>43430</v>
      </c>
      <c r="K122" s="25">
        <v>44618</v>
      </c>
      <c r="L122" s="26">
        <f t="shared" si="54"/>
        <v>85.000000017455704</v>
      </c>
      <c r="M122" s="31">
        <v>2</v>
      </c>
      <c r="N122" s="11" t="s">
        <v>570</v>
      </c>
      <c r="O122" s="11" t="s">
        <v>873</v>
      </c>
      <c r="P122" s="67" t="s">
        <v>174</v>
      </c>
      <c r="Q122" s="11" t="s">
        <v>460</v>
      </c>
      <c r="R122" s="77">
        <f t="shared" si="56"/>
        <v>2434734.11</v>
      </c>
      <c r="S122" s="30">
        <v>2434734.11</v>
      </c>
      <c r="T122" s="30">
        <v>0</v>
      </c>
      <c r="U122" s="1">
        <f t="shared" si="50"/>
        <v>372371.1</v>
      </c>
      <c r="V122" s="28">
        <v>372371.1</v>
      </c>
      <c r="W122" s="78">
        <v>0</v>
      </c>
      <c r="X122" s="1">
        <f t="shared" si="51"/>
        <v>57287.86</v>
      </c>
      <c r="Y122" s="79">
        <v>57287.86</v>
      </c>
      <c r="Z122" s="30">
        <v>0</v>
      </c>
      <c r="AA122" s="2">
        <f t="shared" ref="AA122:AA127" si="57">AB122+AC122</f>
        <v>0</v>
      </c>
      <c r="AB122" s="30">
        <v>0</v>
      </c>
      <c r="AC122" s="30">
        <v>0</v>
      </c>
      <c r="AD122" s="16">
        <f t="shared" si="30"/>
        <v>2864393.07</v>
      </c>
      <c r="AE122" s="31"/>
      <c r="AF122" s="2">
        <f t="shared" si="55"/>
        <v>2864393.07</v>
      </c>
      <c r="AG122" s="38" t="s">
        <v>857</v>
      </c>
      <c r="AH122" s="38" t="s">
        <v>1736</v>
      </c>
      <c r="AI122" s="30">
        <f>148644.99+110292.95+91247.42+379969.97+164834.04+401292.39+387404.5+75948.62+414110.17</f>
        <v>2173745.0499999998</v>
      </c>
      <c r="AJ122" s="30">
        <f>22733.93+16868.33+13955.48+58113.06+25209.91+61374.14+59250.1+11615.67+63334.49</f>
        <v>332455.11</v>
      </c>
    </row>
    <row r="123" spans="1:36" s="179" customFormat="1" ht="189" x14ac:dyDescent="0.25">
      <c r="A123" s="6">
        <v>120</v>
      </c>
      <c r="B123" s="31">
        <v>120730</v>
      </c>
      <c r="C123" s="11">
        <v>92</v>
      </c>
      <c r="D123" s="9" t="s">
        <v>1639</v>
      </c>
      <c r="E123" s="24" t="s">
        <v>277</v>
      </c>
      <c r="F123" s="11" t="s">
        <v>197</v>
      </c>
      <c r="G123" s="11" t="s">
        <v>196</v>
      </c>
      <c r="H123" s="8" t="s">
        <v>151</v>
      </c>
      <c r="I123" s="12" t="s">
        <v>199</v>
      </c>
      <c r="J123" s="25">
        <v>43145</v>
      </c>
      <c r="K123" s="25">
        <v>43630</v>
      </c>
      <c r="L123" s="26">
        <f t="shared" si="54"/>
        <v>85.000000355065879</v>
      </c>
      <c r="M123" s="11">
        <v>2</v>
      </c>
      <c r="N123" s="11" t="s">
        <v>570</v>
      </c>
      <c r="O123" s="11" t="s">
        <v>1016</v>
      </c>
      <c r="P123" s="27" t="s">
        <v>174</v>
      </c>
      <c r="Q123" s="11" t="s">
        <v>34</v>
      </c>
      <c r="R123" s="2">
        <f t="shared" si="56"/>
        <v>359088.29</v>
      </c>
      <c r="S123" s="2">
        <v>359088.29</v>
      </c>
      <c r="T123" s="2">
        <v>0</v>
      </c>
      <c r="U123" s="1">
        <f t="shared" si="50"/>
        <v>54919.39</v>
      </c>
      <c r="V123" s="28">
        <v>54919.39</v>
      </c>
      <c r="W123" s="28">
        <v>0</v>
      </c>
      <c r="X123" s="1">
        <f t="shared" si="51"/>
        <v>8449.1299999999992</v>
      </c>
      <c r="Y123" s="2">
        <v>8449.1299999999992</v>
      </c>
      <c r="Z123" s="2">
        <v>0</v>
      </c>
      <c r="AA123" s="2">
        <f t="shared" si="57"/>
        <v>0</v>
      </c>
      <c r="AB123" s="2">
        <v>0</v>
      </c>
      <c r="AC123" s="2">
        <v>0</v>
      </c>
      <c r="AD123" s="16">
        <f t="shared" si="30"/>
        <v>422456.81</v>
      </c>
      <c r="AE123" s="2">
        <v>66435.22</v>
      </c>
      <c r="AF123" s="2">
        <f t="shared" si="55"/>
        <v>488892.03</v>
      </c>
      <c r="AG123" s="21" t="s">
        <v>857</v>
      </c>
      <c r="AH123" s="29" t="s">
        <v>151</v>
      </c>
      <c r="AI123" s="30">
        <v>331095.73</v>
      </c>
      <c r="AJ123" s="30">
        <v>50638.16</v>
      </c>
    </row>
    <row r="124" spans="1:36" s="179" customFormat="1" ht="141.75" x14ac:dyDescent="0.25">
      <c r="A124" s="6">
        <v>121</v>
      </c>
      <c r="B124" s="31">
        <v>129270</v>
      </c>
      <c r="C124" s="11">
        <v>647</v>
      </c>
      <c r="D124" s="9" t="s">
        <v>1639</v>
      </c>
      <c r="E124" s="24" t="s">
        <v>1071</v>
      </c>
      <c r="F124" s="31" t="s">
        <v>1149</v>
      </c>
      <c r="G124" s="11" t="s">
        <v>196</v>
      </c>
      <c r="H124" s="8" t="s">
        <v>151</v>
      </c>
      <c r="I124" s="12" t="s">
        <v>2681</v>
      </c>
      <c r="J124" s="25">
        <v>43656</v>
      </c>
      <c r="K124" s="25">
        <v>44296</v>
      </c>
      <c r="L124" s="26">
        <f t="shared" si="54"/>
        <v>84.999999975703545</v>
      </c>
      <c r="M124" s="11">
        <v>2</v>
      </c>
      <c r="N124" s="11" t="s">
        <v>570</v>
      </c>
      <c r="O124" s="11" t="s">
        <v>1016</v>
      </c>
      <c r="P124" s="27" t="s">
        <v>174</v>
      </c>
      <c r="Q124" s="11" t="s">
        <v>34</v>
      </c>
      <c r="R124" s="2">
        <f t="shared" si="56"/>
        <v>1749225.82</v>
      </c>
      <c r="S124" s="2">
        <v>1749225.82</v>
      </c>
      <c r="T124" s="2">
        <v>0</v>
      </c>
      <c r="U124" s="1">
        <f t="shared" si="50"/>
        <v>267528.65999999997</v>
      </c>
      <c r="V124" s="28">
        <v>267528.65999999997</v>
      </c>
      <c r="W124" s="28">
        <v>0</v>
      </c>
      <c r="X124" s="1">
        <f t="shared" si="51"/>
        <v>41158.25</v>
      </c>
      <c r="Y124" s="2">
        <v>41158.25</v>
      </c>
      <c r="Z124" s="2">
        <v>0</v>
      </c>
      <c r="AA124" s="2">
        <f t="shared" si="57"/>
        <v>0</v>
      </c>
      <c r="AB124" s="2">
        <v>0</v>
      </c>
      <c r="AC124" s="2">
        <v>0</v>
      </c>
      <c r="AD124" s="16">
        <f t="shared" si="30"/>
        <v>2057912.73</v>
      </c>
      <c r="AE124" s="2">
        <v>0</v>
      </c>
      <c r="AF124" s="2">
        <f t="shared" si="55"/>
        <v>2057912.73</v>
      </c>
      <c r="AG124" s="38" t="s">
        <v>857</v>
      </c>
      <c r="AH124" s="29" t="s">
        <v>1725</v>
      </c>
      <c r="AI124" s="30">
        <f>166775.7+14801.9+886408.22+130598.51+13288.05+485288.13+13655.25</f>
        <v>1710815.7600000002</v>
      </c>
      <c r="AJ124" s="30">
        <f>25506.87+2263.82+135568.33+19973.88+2032.29+74220.54+2088.45</f>
        <v>261654.18</v>
      </c>
    </row>
    <row r="125" spans="1:36" s="179" customFormat="1" ht="157.5" x14ac:dyDescent="0.25">
      <c r="A125" s="6">
        <v>122</v>
      </c>
      <c r="B125" s="31">
        <v>128948</v>
      </c>
      <c r="C125" s="11">
        <v>664</v>
      </c>
      <c r="D125" s="9" t="s">
        <v>1639</v>
      </c>
      <c r="E125" s="24" t="s">
        <v>1071</v>
      </c>
      <c r="F125" s="31" t="s">
        <v>1259</v>
      </c>
      <c r="G125" s="11" t="s">
        <v>569</v>
      </c>
      <c r="H125" s="8" t="s">
        <v>151</v>
      </c>
      <c r="I125" s="12" t="s">
        <v>2682</v>
      </c>
      <c r="J125" s="25">
        <v>43712</v>
      </c>
      <c r="K125" s="25">
        <v>44838</v>
      </c>
      <c r="L125" s="26">
        <f t="shared" si="54"/>
        <v>85.000000102885792</v>
      </c>
      <c r="M125" s="11">
        <v>2</v>
      </c>
      <c r="N125" s="11" t="s">
        <v>570</v>
      </c>
      <c r="O125" s="11" t="s">
        <v>873</v>
      </c>
      <c r="P125" s="27" t="s">
        <v>174</v>
      </c>
      <c r="Q125" s="11" t="s">
        <v>34</v>
      </c>
      <c r="R125" s="2">
        <f t="shared" si="56"/>
        <v>826158.81</v>
      </c>
      <c r="S125" s="2">
        <v>826158.81</v>
      </c>
      <c r="T125" s="2">
        <v>0</v>
      </c>
      <c r="U125" s="1">
        <f t="shared" si="50"/>
        <v>126353.7</v>
      </c>
      <c r="V125" s="28">
        <v>126353.7</v>
      </c>
      <c r="W125" s="28">
        <v>0</v>
      </c>
      <c r="X125" s="1">
        <f t="shared" si="51"/>
        <v>19439.03</v>
      </c>
      <c r="Y125" s="2">
        <v>19439.03</v>
      </c>
      <c r="Z125" s="2">
        <v>0</v>
      </c>
      <c r="AA125" s="2">
        <f t="shared" si="57"/>
        <v>0</v>
      </c>
      <c r="AB125" s="2">
        <v>0</v>
      </c>
      <c r="AC125" s="2">
        <v>0</v>
      </c>
      <c r="AD125" s="16">
        <f t="shared" si="30"/>
        <v>971951.54</v>
      </c>
      <c r="AE125" s="2">
        <v>0</v>
      </c>
      <c r="AF125" s="2">
        <f t="shared" si="55"/>
        <v>971951.54</v>
      </c>
      <c r="AG125" s="38" t="s">
        <v>486</v>
      </c>
      <c r="AH125" s="29" t="s">
        <v>2016</v>
      </c>
      <c r="AI125" s="30">
        <f>270562.09+154557.2</f>
        <v>425119.29000000004</v>
      </c>
      <c r="AJ125" s="30">
        <f>41380.08+23638.16</f>
        <v>65018.240000000005</v>
      </c>
    </row>
    <row r="126" spans="1:36" s="179" customFormat="1" ht="141.75" x14ac:dyDescent="0.25">
      <c r="A126" s="6">
        <v>123</v>
      </c>
      <c r="B126" s="31">
        <v>135741</v>
      </c>
      <c r="C126" s="11">
        <v>772</v>
      </c>
      <c r="D126" s="9" t="s">
        <v>1639</v>
      </c>
      <c r="E126" s="24" t="s">
        <v>1441</v>
      </c>
      <c r="F126" s="31" t="s">
        <v>1443</v>
      </c>
      <c r="G126" s="11" t="s">
        <v>569</v>
      </c>
      <c r="H126" s="8" t="s">
        <v>151</v>
      </c>
      <c r="I126" s="12" t="s">
        <v>2683</v>
      </c>
      <c r="J126" s="25">
        <v>43949</v>
      </c>
      <c r="K126" s="25">
        <v>44558</v>
      </c>
      <c r="L126" s="26">
        <f t="shared" si="54"/>
        <v>85</v>
      </c>
      <c r="M126" s="11">
        <v>2</v>
      </c>
      <c r="N126" s="11" t="s">
        <v>570</v>
      </c>
      <c r="O126" s="11" t="s">
        <v>873</v>
      </c>
      <c r="P126" s="27" t="s">
        <v>174</v>
      </c>
      <c r="Q126" s="11" t="s">
        <v>34</v>
      </c>
      <c r="R126" s="2">
        <f t="shared" si="56"/>
        <v>849255.4</v>
      </c>
      <c r="S126" s="2">
        <v>849255.4</v>
      </c>
      <c r="T126" s="2">
        <v>0</v>
      </c>
      <c r="U126" s="1">
        <f t="shared" si="50"/>
        <v>129886.12</v>
      </c>
      <c r="V126" s="28">
        <v>129886.12</v>
      </c>
      <c r="W126" s="28">
        <v>0</v>
      </c>
      <c r="X126" s="1">
        <f t="shared" si="51"/>
        <v>19982.48</v>
      </c>
      <c r="Y126" s="2">
        <v>19982.48</v>
      </c>
      <c r="Z126" s="2">
        <v>0</v>
      </c>
      <c r="AA126" s="2">
        <f t="shared" si="57"/>
        <v>0</v>
      </c>
      <c r="AB126" s="2">
        <v>0</v>
      </c>
      <c r="AC126" s="2">
        <v>0</v>
      </c>
      <c r="AD126" s="16">
        <f t="shared" si="30"/>
        <v>999124</v>
      </c>
      <c r="AE126" s="2">
        <v>0</v>
      </c>
      <c r="AF126" s="2">
        <f t="shared" si="55"/>
        <v>999124</v>
      </c>
      <c r="AG126" s="38" t="s">
        <v>857</v>
      </c>
      <c r="AH126" s="29" t="s">
        <v>1802</v>
      </c>
      <c r="AI126" s="30">
        <f>35402.5+6069+633502.45+8698.9</f>
        <v>683672.85</v>
      </c>
      <c r="AJ126" s="30">
        <f>5414.5+928.2+96888.61+1330.42</f>
        <v>104561.73</v>
      </c>
    </row>
    <row r="127" spans="1:36" s="179" customFormat="1" ht="141.75" x14ac:dyDescent="0.25">
      <c r="A127" s="6">
        <v>124</v>
      </c>
      <c r="B127" s="31">
        <v>136038</v>
      </c>
      <c r="C127" s="11">
        <v>794</v>
      </c>
      <c r="D127" s="9" t="s">
        <v>1639</v>
      </c>
      <c r="E127" s="24" t="s">
        <v>1441</v>
      </c>
      <c r="F127" s="31" t="s">
        <v>1478</v>
      </c>
      <c r="G127" s="11" t="s">
        <v>697</v>
      </c>
      <c r="H127" s="8" t="s">
        <v>151</v>
      </c>
      <c r="I127" s="12" t="s">
        <v>1479</v>
      </c>
      <c r="J127" s="25">
        <v>43969</v>
      </c>
      <c r="K127" s="25">
        <v>44760</v>
      </c>
      <c r="L127" s="26">
        <f t="shared" si="54"/>
        <v>85</v>
      </c>
      <c r="M127" s="11">
        <v>2</v>
      </c>
      <c r="N127" s="11" t="s">
        <v>570</v>
      </c>
      <c r="O127" s="11" t="s">
        <v>873</v>
      </c>
      <c r="P127" s="27" t="s">
        <v>174</v>
      </c>
      <c r="Q127" s="11" t="s">
        <v>34</v>
      </c>
      <c r="R127" s="2">
        <f t="shared" si="56"/>
        <v>3210818.0500000003</v>
      </c>
      <c r="S127" s="2">
        <v>3210818.0500000003</v>
      </c>
      <c r="T127" s="2">
        <v>0</v>
      </c>
      <c r="U127" s="1">
        <f t="shared" si="50"/>
        <v>491066.29</v>
      </c>
      <c r="V127" s="28">
        <v>491066.29</v>
      </c>
      <c r="W127" s="28">
        <v>0</v>
      </c>
      <c r="X127" s="1">
        <f t="shared" si="51"/>
        <v>75548.66</v>
      </c>
      <c r="Y127" s="2">
        <v>75548.66</v>
      </c>
      <c r="Z127" s="2">
        <v>0</v>
      </c>
      <c r="AA127" s="2">
        <f t="shared" si="57"/>
        <v>0</v>
      </c>
      <c r="AB127" s="2">
        <v>0</v>
      </c>
      <c r="AC127" s="2">
        <v>0</v>
      </c>
      <c r="AD127" s="16">
        <f t="shared" si="30"/>
        <v>3777433.0000000005</v>
      </c>
      <c r="AE127" s="2">
        <v>95200</v>
      </c>
      <c r="AF127" s="2">
        <f t="shared" si="55"/>
        <v>3872633.0000000005</v>
      </c>
      <c r="AG127" s="38" t="s">
        <v>857</v>
      </c>
      <c r="AH127" s="29"/>
      <c r="AI127" s="30">
        <f>61207.73+24043.1+329688.24+507642.44+512725.95+972952.5+27467.33</f>
        <v>2435727.29</v>
      </c>
      <c r="AJ127" s="30">
        <f>9361.18+3677.18+50422.91+77639.44+78416.91+148804.5+4200.89</f>
        <v>372523.01</v>
      </c>
    </row>
    <row r="128" spans="1:36" s="179" customFormat="1" ht="267.75" x14ac:dyDescent="0.25">
      <c r="A128" s="6">
        <v>125</v>
      </c>
      <c r="B128" s="31">
        <v>135535</v>
      </c>
      <c r="C128" s="11">
        <v>781</v>
      </c>
      <c r="D128" s="9" t="s">
        <v>1639</v>
      </c>
      <c r="E128" s="24" t="s">
        <v>1441</v>
      </c>
      <c r="F128" s="31" t="s">
        <v>1553</v>
      </c>
      <c r="G128" s="11" t="s">
        <v>196</v>
      </c>
      <c r="H128" s="8" t="s">
        <v>151</v>
      </c>
      <c r="I128" s="12" t="s">
        <v>2684</v>
      </c>
      <c r="J128" s="25">
        <v>44008</v>
      </c>
      <c r="K128" s="25">
        <v>44646</v>
      </c>
      <c r="L128" s="26">
        <f t="shared" si="54"/>
        <v>85.000000029541837</v>
      </c>
      <c r="M128" s="11">
        <v>2</v>
      </c>
      <c r="N128" s="11" t="s">
        <v>570</v>
      </c>
      <c r="O128" s="11" t="s">
        <v>1016</v>
      </c>
      <c r="P128" s="27" t="s">
        <v>174</v>
      </c>
      <c r="Q128" s="11" t="s">
        <v>34</v>
      </c>
      <c r="R128" s="2">
        <f t="shared" si="56"/>
        <v>2877274.6</v>
      </c>
      <c r="S128" s="2">
        <v>2877274.6</v>
      </c>
      <c r="T128" s="2">
        <v>0</v>
      </c>
      <c r="U128" s="1">
        <f t="shared" si="50"/>
        <v>440053.75</v>
      </c>
      <c r="V128" s="28">
        <v>440053.75</v>
      </c>
      <c r="W128" s="28">
        <v>0</v>
      </c>
      <c r="X128" s="1">
        <f t="shared" si="51"/>
        <v>67700.59</v>
      </c>
      <c r="Y128" s="2">
        <v>67700.59</v>
      </c>
      <c r="Z128" s="2">
        <v>0</v>
      </c>
      <c r="AA128" s="2">
        <f>AB128+AC128</f>
        <v>0</v>
      </c>
      <c r="AB128" s="2">
        <v>0</v>
      </c>
      <c r="AC128" s="2">
        <v>0</v>
      </c>
      <c r="AD128" s="16">
        <f t="shared" si="30"/>
        <v>3385028.94</v>
      </c>
      <c r="AE128" s="2">
        <v>0</v>
      </c>
      <c r="AF128" s="2">
        <f t="shared" si="55"/>
        <v>3385028.94</v>
      </c>
      <c r="AG128" s="38" t="s">
        <v>857</v>
      </c>
      <c r="AH128" s="29" t="s">
        <v>1824</v>
      </c>
      <c r="AI128" s="30">
        <f>117553.13+25953.16+132751.52+1335382.3+278036.7+18344.7+13393.45+856740.5+34501.76</f>
        <v>2812657.2199999997</v>
      </c>
      <c r="AJ128" s="30">
        <f>17978.71+3969.31+20303.16+204234.94+42523.26+2805.66+2048.41+131030.9+5276.74</f>
        <v>430171.08999999997</v>
      </c>
    </row>
    <row r="129" spans="1:36" s="179" customFormat="1" ht="267.75" x14ac:dyDescent="0.25">
      <c r="A129" s="6">
        <v>126</v>
      </c>
      <c r="B129" s="31">
        <v>118879</v>
      </c>
      <c r="C129" s="11">
        <v>452</v>
      </c>
      <c r="D129" s="32" t="s">
        <v>1640</v>
      </c>
      <c r="E129" s="24" t="s">
        <v>507</v>
      </c>
      <c r="F129" s="11" t="s">
        <v>655</v>
      </c>
      <c r="G129" s="11" t="s">
        <v>656</v>
      </c>
      <c r="H129" s="8" t="s">
        <v>151</v>
      </c>
      <c r="I129" s="32" t="s">
        <v>2685</v>
      </c>
      <c r="J129" s="25">
        <v>43293</v>
      </c>
      <c r="K129" s="25">
        <v>43781</v>
      </c>
      <c r="L129" s="26">
        <f t="shared" ref="L129:L137" si="58">R129/AD129*100</f>
        <v>85</v>
      </c>
      <c r="M129" s="11">
        <v>3</v>
      </c>
      <c r="N129" s="11" t="s">
        <v>1469</v>
      </c>
      <c r="O129" s="11" t="s">
        <v>1469</v>
      </c>
      <c r="P129" s="11" t="s">
        <v>174</v>
      </c>
      <c r="Q129" s="11" t="s">
        <v>34</v>
      </c>
      <c r="R129" s="30">
        <v>338205.65</v>
      </c>
      <c r="S129" s="30">
        <v>338205.65</v>
      </c>
      <c r="T129" s="30">
        <v>0</v>
      </c>
      <c r="U129" s="1">
        <f t="shared" ref="U129:U141" si="59">V129+W129</f>
        <v>51725.57</v>
      </c>
      <c r="V129" s="42">
        <v>51725.57</v>
      </c>
      <c r="W129" s="42">
        <v>0</v>
      </c>
      <c r="X129" s="1">
        <f t="shared" ref="X129:X144" si="60">Y129+Z129</f>
        <v>7957.78</v>
      </c>
      <c r="Y129" s="30">
        <v>7957.78</v>
      </c>
      <c r="Z129" s="30">
        <v>0</v>
      </c>
      <c r="AA129" s="2">
        <v>0</v>
      </c>
      <c r="AB129" s="30">
        <v>0</v>
      </c>
      <c r="AC129" s="30">
        <v>0</v>
      </c>
      <c r="AD129" s="16">
        <f t="shared" si="30"/>
        <v>397889.00000000006</v>
      </c>
      <c r="AE129" s="38">
        <v>0</v>
      </c>
      <c r="AF129" s="30">
        <f t="shared" ref="AF129:AF137" si="61">AD129+AE129</f>
        <v>397889.00000000006</v>
      </c>
      <c r="AG129" s="21" t="s">
        <v>857</v>
      </c>
      <c r="AH129" s="74" t="s">
        <v>1049</v>
      </c>
      <c r="AI129" s="30">
        <v>324878.98</v>
      </c>
      <c r="AJ129" s="30">
        <v>49687.360000000001</v>
      </c>
    </row>
    <row r="130" spans="1:36" s="179" customFormat="1" ht="157.5" x14ac:dyDescent="0.25">
      <c r="A130" s="6">
        <v>127</v>
      </c>
      <c r="B130" s="31">
        <v>118774</v>
      </c>
      <c r="C130" s="11">
        <v>442</v>
      </c>
      <c r="D130" s="32" t="s">
        <v>1640</v>
      </c>
      <c r="E130" s="24" t="s">
        <v>507</v>
      </c>
      <c r="F130" s="11" t="s">
        <v>792</v>
      </c>
      <c r="G130" s="11" t="s">
        <v>793</v>
      </c>
      <c r="H130" s="11"/>
      <c r="I130" s="32" t="s">
        <v>862</v>
      </c>
      <c r="J130" s="25">
        <v>43341</v>
      </c>
      <c r="K130" s="25">
        <v>43798</v>
      </c>
      <c r="L130" s="26">
        <f t="shared" si="58"/>
        <v>84.999996337824783</v>
      </c>
      <c r="M130" s="39">
        <v>3</v>
      </c>
      <c r="N130" s="11" t="s">
        <v>1469</v>
      </c>
      <c r="O130" s="11" t="s">
        <v>1469</v>
      </c>
      <c r="P130" s="11" t="s">
        <v>174</v>
      </c>
      <c r="Q130" s="11" t="s">
        <v>34</v>
      </c>
      <c r="R130" s="30">
        <f t="shared" ref="R130:R137" si="62">S130+T130</f>
        <v>220497.36</v>
      </c>
      <c r="S130" s="30">
        <v>220497.36</v>
      </c>
      <c r="T130" s="30">
        <v>0</v>
      </c>
      <c r="U130" s="1">
        <f t="shared" si="59"/>
        <v>33723.14</v>
      </c>
      <c r="V130" s="81">
        <v>33723.14</v>
      </c>
      <c r="W130" s="42">
        <v>0</v>
      </c>
      <c r="X130" s="1">
        <f t="shared" si="60"/>
        <v>5188.17</v>
      </c>
      <c r="Y130" s="30">
        <v>5188.17</v>
      </c>
      <c r="Z130" s="30">
        <v>0</v>
      </c>
      <c r="AA130" s="2">
        <f t="shared" ref="AA130:AA137" si="63">AB130+AC130</f>
        <v>0</v>
      </c>
      <c r="AB130" s="30">
        <v>0</v>
      </c>
      <c r="AC130" s="30">
        <v>0</v>
      </c>
      <c r="AD130" s="16">
        <f t="shared" si="30"/>
        <v>259408.67</v>
      </c>
      <c r="AE130" s="35"/>
      <c r="AF130" s="2">
        <f t="shared" si="61"/>
        <v>259408.67</v>
      </c>
      <c r="AG130" s="21" t="s">
        <v>857</v>
      </c>
      <c r="AH130" s="74" t="s">
        <v>151</v>
      </c>
      <c r="AI130" s="30">
        <v>202807.57</v>
      </c>
      <c r="AJ130" s="30">
        <v>31017.620000000003</v>
      </c>
    </row>
    <row r="131" spans="1:36" s="179" customFormat="1" ht="112.5" customHeight="1" x14ac:dyDescent="0.25">
      <c r="A131" s="6">
        <v>128</v>
      </c>
      <c r="B131" s="31">
        <v>119901</v>
      </c>
      <c r="C131" s="11">
        <v>486</v>
      </c>
      <c r="D131" s="9" t="s">
        <v>1639</v>
      </c>
      <c r="E131" s="32" t="s">
        <v>457</v>
      </c>
      <c r="F131" s="11" t="s">
        <v>880</v>
      </c>
      <c r="G131" s="11" t="s">
        <v>656</v>
      </c>
      <c r="H131" s="8" t="s">
        <v>151</v>
      </c>
      <c r="I131" s="12" t="s">
        <v>881</v>
      </c>
      <c r="J131" s="25">
        <v>43377</v>
      </c>
      <c r="K131" s="25">
        <v>43925</v>
      </c>
      <c r="L131" s="26">
        <f t="shared" si="58"/>
        <v>85.000004041383775</v>
      </c>
      <c r="M131" s="39">
        <v>3</v>
      </c>
      <c r="N131" s="11" t="s">
        <v>1469</v>
      </c>
      <c r="O131" s="11" t="s">
        <v>1469</v>
      </c>
      <c r="P131" s="11" t="s">
        <v>174</v>
      </c>
      <c r="Q131" s="11" t="s">
        <v>460</v>
      </c>
      <c r="R131" s="30">
        <f t="shared" si="62"/>
        <v>420648.02</v>
      </c>
      <c r="S131" s="30">
        <v>420648.02</v>
      </c>
      <c r="T131" s="36">
        <v>0</v>
      </c>
      <c r="U131" s="1">
        <f t="shared" si="59"/>
        <v>64334.38</v>
      </c>
      <c r="V131" s="82">
        <v>64334.38</v>
      </c>
      <c r="W131" s="55">
        <v>0</v>
      </c>
      <c r="X131" s="1">
        <f t="shared" si="60"/>
        <v>9897.6</v>
      </c>
      <c r="Y131" s="51">
        <v>9897.6</v>
      </c>
      <c r="Z131" s="51">
        <v>0</v>
      </c>
      <c r="AA131" s="2">
        <f t="shared" si="63"/>
        <v>0</v>
      </c>
      <c r="AB131" s="36">
        <v>0</v>
      </c>
      <c r="AC131" s="36">
        <v>0</v>
      </c>
      <c r="AD131" s="16">
        <f t="shared" si="30"/>
        <v>494880</v>
      </c>
      <c r="AE131" s="35"/>
      <c r="AF131" s="2">
        <f t="shared" si="61"/>
        <v>494880</v>
      </c>
      <c r="AG131" s="38" t="s">
        <v>857</v>
      </c>
      <c r="AH131" s="38" t="s">
        <v>1424</v>
      </c>
      <c r="AI131" s="30">
        <v>352319.13999999996</v>
      </c>
      <c r="AJ131" s="30">
        <v>53884.060000000019</v>
      </c>
    </row>
    <row r="132" spans="1:36" s="179" customFormat="1" ht="243.75" customHeight="1" x14ac:dyDescent="0.25">
      <c r="A132" s="6">
        <v>129</v>
      </c>
      <c r="B132" s="31">
        <v>126537</v>
      </c>
      <c r="C132" s="11">
        <v>569</v>
      </c>
      <c r="D132" s="9" t="s">
        <v>1639</v>
      </c>
      <c r="E132" s="24" t="s">
        <v>899</v>
      </c>
      <c r="F132" s="11" t="s">
        <v>1042</v>
      </c>
      <c r="G132" s="11" t="s">
        <v>656</v>
      </c>
      <c r="H132" s="8" t="s">
        <v>151</v>
      </c>
      <c r="I132" s="12" t="s">
        <v>1043</v>
      </c>
      <c r="J132" s="25">
        <v>43567</v>
      </c>
      <c r="K132" s="25">
        <v>44542</v>
      </c>
      <c r="L132" s="26">
        <f t="shared" si="58"/>
        <v>85.000000206342506</v>
      </c>
      <c r="M132" s="39">
        <v>3</v>
      </c>
      <c r="N132" s="11" t="s">
        <v>1469</v>
      </c>
      <c r="O132" s="11" t="s">
        <v>1469</v>
      </c>
      <c r="P132" s="11" t="s">
        <v>174</v>
      </c>
      <c r="Q132" s="11" t="s">
        <v>460</v>
      </c>
      <c r="R132" s="30">
        <f t="shared" si="62"/>
        <v>3089523.44</v>
      </c>
      <c r="S132" s="30">
        <v>3089523.44</v>
      </c>
      <c r="T132" s="34">
        <v>0</v>
      </c>
      <c r="U132" s="1">
        <f t="shared" si="59"/>
        <v>472515.34</v>
      </c>
      <c r="V132" s="82">
        <v>472515.34</v>
      </c>
      <c r="W132" s="42">
        <v>0</v>
      </c>
      <c r="X132" s="1">
        <f t="shared" si="60"/>
        <v>72694.67</v>
      </c>
      <c r="Y132" s="30">
        <v>72694.67</v>
      </c>
      <c r="Z132" s="34">
        <v>0</v>
      </c>
      <c r="AA132" s="2">
        <f t="shared" si="63"/>
        <v>0</v>
      </c>
      <c r="AB132" s="34">
        <v>0</v>
      </c>
      <c r="AC132" s="34">
        <v>0</v>
      </c>
      <c r="AD132" s="16">
        <f t="shared" si="30"/>
        <v>3634733.4499999997</v>
      </c>
      <c r="AE132" s="30">
        <v>0</v>
      </c>
      <c r="AF132" s="2">
        <f t="shared" si="61"/>
        <v>3634733.4499999997</v>
      </c>
      <c r="AG132" s="38" t="s">
        <v>857</v>
      </c>
      <c r="AH132" s="38" t="s">
        <v>1784</v>
      </c>
      <c r="AI132" s="30">
        <f>101326.08+67116+473703.3+529750.17-28548.49+365060-26190.17+363473-46589.69+424740.4+162696.98+58778.47</f>
        <v>2445316.0500000003</v>
      </c>
      <c r="AJ132" s="30">
        <f>15496.93+26880.76+85630.48+46856.66+51827.17+46589.69+11245.13+80473.05+8989.65</f>
        <v>373989.52</v>
      </c>
    </row>
    <row r="133" spans="1:36" s="179" customFormat="1" ht="141.75" x14ac:dyDescent="0.25">
      <c r="A133" s="6">
        <v>130</v>
      </c>
      <c r="B133" s="31">
        <v>129241</v>
      </c>
      <c r="C133" s="31">
        <v>650</v>
      </c>
      <c r="D133" s="9" t="s">
        <v>1639</v>
      </c>
      <c r="E133" s="83" t="s">
        <v>1071</v>
      </c>
      <c r="F133" s="31" t="s">
        <v>1078</v>
      </c>
      <c r="G133" s="11" t="s">
        <v>1651</v>
      </c>
      <c r="H133" s="8" t="s">
        <v>151</v>
      </c>
      <c r="I133" s="12" t="s">
        <v>1072</v>
      </c>
      <c r="J133" s="25">
        <v>43608</v>
      </c>
      <c r="K133" s="25">
        <v>44462</v>
      </c>
      <c r="L133" s="26">
        <f t="shared" si="58"/>
        <v>85.000000168986716</v>
      </c>
      <c r="M133" s="39">
        <v>3</v>
      </c>
      <c r="N133" s="11" t="s">
        <v>1469</v>
      </c>
      <c r="O133" s="11" t="s">
        <v>1469</v>
      </c>
      <c r="P133" s="11" t="s">
        <v>174</v>
      </c>
      <c r="Q133" s="11" t="s">
        <v>460</v>
      </c>
      <c r="R133" s="30">
        <f t="shared" si="62"/>
        <v>2514990.63</v>
      </c>
      <c r="S133" s="30">
        <v>2514990.63</v>
      </c>
      <c r="T133" s="34">
        <v>0</v>
      </c>
      <c r="U133" s="1">
        <f t="shared" si="59"/>
        <v>384645.62</v>
      </c>
      <c r="V133" s="82">
        <v>384645.62</v>
      </c>
      <c r="W133" s="42">
        <v>0</v>
      </c>
      <c r="X133" s="1">
        <f t="shared" si="60"/>
        <v>59176.25</v>
      </c>
      <c r="Y133" s="30">
        <v>59176.25</v>
      </c>
      <c r="Z133" s="30">
        <v>0</v>
      </c>
      <c r="AA133" s="2">
        <f t="shared" si="63"/>
        <v>0</v>
      </c>
      <c r="AB133" s="34">
        <v>0</v>
      </c>
      <c r="AC133" s="34">
        <v>0</v>
      </c>
      <c r="AD133" s="16">
        <f t="shared" ref="AD133:AD196" si="64">R133+U133+X133+AA133</f>
        <v>2958812.5</v>
      </c>
      <c r="AE133" s="30">
        <v>0</v>
      </c>
      <c r="AF133" s="2">
        <f t="shared" si="61"/>
        <v>2958812.5</v>
      </c>
      <c r="AG133" s="38" t="s">
        <v>857</v>
      </c>
      <c r="AH133" s="35"/>
      <c r="AI133" s="30">
        <f>81663.7+16254.4+2062406.83-2565.16+19337.36-2397.2+18071.2-2468.57+59069.22-2436.33+151871.2+1232.93</f>
        <v>2400039.5800000005</v>
      </c>
      <c r="AJ133" s="30">
        <f>9110.66+2608.32+315426.93+2565.16+2397.2+2468.57+6188+2436.33+23227.36+636.35</f>
        <v>367064.87999999995</v>
      </c>
    </row>
    <row r="134" spans="1:36" s="179" customFormat="1" ht="141.75" x14ac:dyDescent="0.25">
      <c r="A134" s="6">
        <v>131</v>
      </c>
      <c r="B134" s="31">
        <v>129152</v>
      </c>
      <c r="C134" s="31">
        <v>656</v>
      </c>
      <c r="D134" s="9" t="s">
        <v>1639</v>
      </c>
      <c r="E134" s="83" t="str">
        <f>E133</f>
        <v>CP 12 less/2018</v>
      </c>
      <c r="F134" s="31" t="s">
        <v>1086</v>
      </c>
      <c r="G134" s="31" t="s">
        <v>793</v>
      </c>
      <c r="H134" s="8" t="s">
        <v>151</v>
      </c>
      <c r="I134" s="12" t="s">
        <v>1087</v>
      </c>
      <c r="J134" s="25">
        <v>43621</v>
      </c>
      <c r="K134" s="25">
        <v>44352</v>
      </c>
      <c r="L134" s="26">
        <f t="shared" si="58"/>
        <v>85.000000171199162</v>
      </c>
      <c r="M134" s="39">
        <f>M133</f>
        <v>3</v>
      </c>
      <c r="N134" s="11" t="s">
        <v>1469</v>
      </c>
      <c r="O134" s="11" t="s">
        <v>1469</v>
      </c>
      <c r="P134" s="11" t="s">
        <v>174</v>
      </c>
      <c r="Q134" s="11" t="s">
        <v>460</v>
      </c>
      <c r="R134" s="30">
        <f t="shared" si="62"/>
        <v>2482488.84</v>
      </c>
      <c r="S134" s="30">
        <v>2482488.84</v>
      </c>
      <c r="T134" s="34">
        <v>0</v>
      </c>
      <c r="U134" s="1">
        <f t="shared" si="59"/>
        <v>379674.76</v>
      </c>
      <c r="V134" s="82">
        <v>379674.76</v>
      </c>
      <c r="W134" s="42">
        <v>0</v>
      </c>
      <c r="X134" s="1">
        <f t="shared" si="60"/>
        <v>58411.5</v>
      </c>
      <c r="Y134" s="30">
        <v>58411.5</v>
      </c>
      <c r="Z134" s="30">
        <v>0</v>
      </c>
      <c r="AA134" s="2">
        <f t="shared" si="63"/>
        <v>0</v>
      </c>
      <c r="AB134" s="34">
        <v>0</v>
      </c>
      <c r="AC134" s="34">
        <v>0</v>
      </c>
      <c r="AD134" s="16">
        <f t="shared" si="64"/>
        <v>2920575.0999999996</v>
      </c>
      <c r="AE134" s="30">
        <v>11900</v>
      </c>
      <c r="AF134" s="2">
        <f t="shared" si="61"/>
        <v>2932475.0999999996</v>
      </c>
      <c r="AG134" s="38" t="s">
        <v>857</v>
      </c>
      <c r="AH134" s="35"/>
      <c r="AI134" s="30">
        <f>80009.94+18030.19+9429.9+12478.84+487781.48+546784.53+1249054.82+24937.15</f>
        <v>2428506.85</v>
      </c>
      <c r="AJ134" s="30">
        <f>12236.81+2757.56+1442.22+1908.53+74601.87+83625.87+191031.92+3813.91</f>
        <v>371418.69</v>
      </c>
    </row>
    <row r="135" spans="1:36" s="179" customFormat="1" ht="189" x14ac:dyDescent="0.25">
      <c r="A135" s="6">
        <v>132</v>
      </c>
      <c r="B135" s="31">
        <v>135232</v>
      </c>
      <c r="C135" s="11">
        <v>816</v>
      </c>
      <c r="D135" s="9" t="s">
        <v>1639</v>
      </c>
      <c r="E135" s="24" t="s">
        <v>1441</v>
      </c>
      <c r="F135" s="11" t="s">
        <v>1468</v>
      </c>
      <c r="G135" s="31" t="s">
        <v>793</v>
      </c>
      <c r="H135" s="8" t="s">
        <v>151</v>
      </c>
      <c r="I135" s="12" t="s">
        <v>2686</v>
      </c>
      <c r="J135" s="25">
        <v>43969</v>
      </c>
      <c r="K135" s="25">
        <v>45064</v>
      </c>
      <c r="L135" s="26">
        <f t="shared" si="58"/>
        <v>85</v>
      </c>
      <c r="M135" s="11">
        <v>3</v>
      </c>
      <c r="N135" s="11" t="s">
        <v>1469</v>
      </c>
      <c r="O135" s="11" t="s">
        <v>1469</v>
      </c>
      <c r="P135" s="27" t="s">
        <v>174</v>
      </c>
      <c r="Q135" s="11" t="s">
        <v>34</v>
      </c>
      <c r="R135" s="30">
        <f t="shared" si="62"/>
        <v>2589746</v>
      </c>
      <c r="S135" s="2">
        <v>2589746</v>
      </c>
      <c r="T135" s="2">
        <v>0</v>
      </c>
      <c r="U135" s="1">
        <f t="shared" si="59"/>
        <v>396078.8</v>
      </c>
      <c r="V135" s="28">
        <v>396078.8</v>
      </c>
      <c r="W135" s="28">
        <v>0</v>
      </c>
      <c r="X135" s="1">
        <f t="shared" si="60"/>
        <v>60935.199999999997</v>
      </c>
      <c r="Y135" s="2">
        <v>60935.199999999997</v>
      </c>
      <c r="Z135" s="2">
        <v>0</v>
      </c>
      <c r="AA135" s="2">
        <f t="shared" si="63"/>
        <v>0</v>
      </c>
      <c r="AB135" s="2">
        <v>0</v>
      </c>
      <c r="AC135" s="2">
        <v>0</v>
      </c>
      <c r="AD135" s="16">
        <f t="shared" si="64"/>
        <v>3046760</v>
      </c>
      <c r="AE135" s="30">
        <v>0</v>
      </c>
      <c r="AF135" s="2">
        <f t="shared" si="61"/>
        <v>3046760</v>
      </c>
      <c r="AG135" s="38" t="s">
        <v>486</v>
      </c>
      <c r="AH135" s="38" t="s">
        <v>2215</v>
      </c>
      <c r="AI135" s="30">
        <f>51670.8+45861.75+67740.75+57973.4+510133.45</f>
        <v>733380.15</v>
      </c>
      <c r="AJ135" s="30">
        <f>7902.59+7014.15+10360.35+8866.52+78020.41</f>
        <v>112164.02</v>
      </c>
    </row>
    <row r="136" spans="1:36" s="179" customFormat="1" ht="157.5" x14ac:dyDescent="0.25">
      <c r="A136" s="6">
        <v>133</v>
      </c>
      <c r="B136" s="31">
        <v>151944</v>
      </c>
      <c r="C136" s="11">
        <v>1124</v>
      </c>
      <c r="D136" s="9" t="s">
        <v>1640</v>
      </c>
      <c r="E136" s="24" t="s">
        <v>1807</v>
      </c>
      <c r="F136" s="31" t="s">
        <v>1857</v>
      </c>
      <c r="G136" s="31" t="s">
        <v>1651</v>
      </c>
      <c r="H136" s="11" t="s">
        <v>1835</v>
      </c>
      <c r="I136" s="12" t="s">
        <v>1859</v>
      </c>
      <c r="J136" s="25">
        <v>44498</v>
      </c>
      <c r="K136" s="25">
        <v>44955</v>
      </c>
      <c r="L136" s="26">
        <f t="shared" si="58"/>
        <v>85.000002989355309</v>
      </c>
      <c r="M136" s="11">
        <v>3</v>
      </c>
      <c r="N136" s="11" t="s">
        <v>1469</v>
      </c>
      <c r="O136" s="11" t="s">
        <v>1858</v>
      </c>
      <c r="P136" s="27" t="s">
        <v>174</v>
      </c>
      <c r="Q136" s="11" t="s">
        <v>34</v>
      </c>
      <c r="R136" s="30">
        <f t="shared" si="62"/>
        <v>255908.03</v>
      </c>
      <c r="S136" s="2">
        <v>255908.03</v>
      </c>
      <c r="T136" s="2">
        <v>0</v>
      </c>
      <c r="U136" s="1">
        <f t="shared" si="59"/>
        <v>32497.08</v>
      </c>
      <c r="V136" s="28">
        <v>32497.08</v>
      </c>
      <c r="W136" s="28">
        <v>0</v>
      </c>
      <c r="X136" s="1">
        <f t="shared" si="60"/>
        <v>12663.15</v>
      </c>
      <c r="Y136" s="2">
        <v>12663.15</v>
      </c>
      <c r="Z136" s="2">
        <v>0</v>
      </c>
      <c r="AA136" s="2">
        <f t="shared" si="63"/>
        <v>0</v>
      </c>
      <c r="AB136" s="2">
        <v>0</v>
      </c>
      <c r="AC136" s="2">
        <v>0</v>
      </c>
      <c r="AD136" s="16">
        <f t="shared" si="64"/>
        <v>301068.26</v>
      </c>
      <c r="AE136" s="30">
        <v>0</v>
      </c>
      <c r="AF136" s="2">
        <f t="shared" si="61"/>
        <v>301068.26</v>
      </c>
      <c r="AG136" s="38" t="s">
        <v>486</v>
      </c>
      <c r="AH136" s="35"/>
      <c r="AI136" s="30">
        <f>24900-3094.38+58702.4+13426.89+37172.63</f>
        <v>131107.54</v>
      </c>
      <c r="AJ136" s="30">
        <f>3094.38+8978.02+5685.22</f>
        <v>17757.620000000003</v>
      </c>
    </row>
    <row r="137" spans="1:36" s="179" customFormat="1" ht="157.5" x14ac:dyDescent="0.25">
      <c r="A137" s="6">
        <v>134</v>
      </c>
      <c r="B137" s="31">
        <v>155166</v>
      </c>
      <c r="C137" s="11">
        <v>1210</v>
      </c>
      <c r="D137" s="9" t="s">
        <v>1639</v>
      </c>
      <c r="E137" s="24" t="s">
        <v>2024</v>
      </c>
      <c r="F137" s="31" t="s">
        <v>2236</v>
      </c>
      <c r="G137" s="31" t="s">
        <v>656</v>
      </c>
      <c r="H137" s="8" t="s">
        <v>151</v>
      </c>
      <c r="I137" s="12" t="s">
        <v>2237</v>
      </c>
      <c r="J137" s="25">
        <v>44706</v>
      </c>
      <c r="K137" s="25">
        <v>45194</v>
      </c>
      <c r="L137" s="26">
        <f t="shared" si="58"/>
        <v>84.999999949699884</v>
      </c>
      <c r="M137" s="11">
        <v>3</v>
      </c>
      <c r="N137" s="11" t="s">
        <v>1469</v>
      </c>
      <c r="O137" s="11" t="s">
        <v>1469</v>
      </c>
      <c r="P137" s="27" t="s">
        <v>174</v>
      </c>
      <c r="Q137" s="11" t="s">
        <v>34</v>
      </c>
      <c r="R137" s="30">
        <f t="shared" si="62"/>
        <v>2534785.84</v>
      </c>
      <c r="S137" s="2">
        <v>2534785.84</v>
      </c>
      <c r="T137" s="2">
        <v>0</v>
      </c>
      <c r="U137" s="1">
        <f t="shared" si="59"/>
        <v>387673.13</v>
      </c>
      <c r="V137" s="28">
        <v>387673.13</v>
      </c>
      <c r="W137" s="28">
        <v>0</v>
      </c>
      <c r="X137" s="1">
        <f t="shared" si="60"/>
        <v>59642.02</v>
      </c>
      <c r="Y137" s="2">
        <v>59642.02</v>
      </c>
      <c r="Z137" s="2">
        <v>0</v>
      </c>
      <c r="AA137" s="2">
        <f t="shared" si="63"/>
        <v>0</v>
      </c>
      <c r="AB137" s="2">
        <v>0</v>
      </c>
      <c r="AC137" s="2">
        <v>0</v>
      </c>
      <c r="AD137" s="16">
        <f t="shared" si="64"/>
        <v>2982100.9899999998</v>
      </c>
      <c r="AE137" s="30">
        <v>0</v>
      </c>
      <c r="AF137" s="2">
        <f t="shared" si="61"/>
        <v>2982100.9899999998</v>
      </c>
      <c r="AG137" s="38" t="s">
        <v>486</v>
      </c>
      <c r="AH137" s="35"/>
      <c r="AI137" s="30">
        <v>298210.09000000003</v>
      </c>
      <c r="AJ137" s="30">
        <v>0</v>
      </c>
    </row>
    <row r="138" spans="1:36" s="179" customFormat="1" ht="220.5" x14ac:dyDescent="0.25">
      <c r="A138" s="6">
        <v>135</v>
      </c>
      <c r="B138" s="31">
        <v>120791</v>
      </c>
      <c r="C138" s="11">
        <v>88</v>
      </c>
      <c r="D138" s="9" t="s">
        <v>1639</v>
      </c>
      <c r="E138" s="24" t="s">
        <v>277</v>
      </c>
      <c r="F138" s="11" t="s">
        <v>282</v>
      </c>
      <c r="G138" s="11" t="s">
        <v>1660</v>
      </c>
      <c r="H138" s="27" t="s">
        <v>283</v>
      </c>
      <c r="I138" s="45" t="s">
        <v>284</v>
      </c>
      <c r="J138" s="25">
        <v>43180</v>
      </c>
      <c r="K138" s="25">
        <v>43667</v>
      </c>
      <c r="L138" s="26">
        <f t="shared" ref="L138:L144" si="65">R138/AD138*100</f>
        <v>84.174275146898083</v>
      </c>
      <c r="M138" s="11">
        <v>5</v>
      </c>
      <c r="N138" s="11" t="s">
        <v>285</v>
      </c>
      <c r="O138" s="11" t="s">
        <v>286</v>
      </c>
      <c r="P138" s="27" t="s">
        <v>174</v>
      </c>
      <c r="Q138" s="11" t="s">
        <v>34</v>
      </c>
      <c r="R138" s="1">
        <f t="shared" ref="R138:R144" si="66">S138+T138</f>
        <v>316573.06</v>
      </c>
      <c r="S138" s="2">
        <v>316573.06</v>
      </c>
      <c r="T138" s="2">
        <v>0</v>
      </c>
      <c r="U138" s="1">
        <f t="shared" si="59"/>
        <v>51997.5</v>
      </c>
      <c r="V138" s="28">
        <v>51997.5</v>
      </c>
      <c r="W138" s="28">
        <v>0</v>
      </c>
      <c r="X138" s="1">
        <f t="shared" si="60"/>
        <v>7521.85</v>
      </c>
      <c r="Y138" s="2">
        <v>7521.85</v>
      </c>
      <c r="Z138" s="2">
        <v>0</v>
      </c>
      <c r="AA138" s="2">
        <f t="shared" ref="AA138:AA144" si="67">AB138+AC138</f>
        <v>0</v>
      </c>
      <c r="AB138" s="2">
        <v>0</v>
      </c>
      <c r="AC138" s="2">
        <v>0</v>
      </c>
      <c r="AD138" s="16">
        <f t="shared" si="64"/>
        <v>376092.41</v>
      </c>
      <c r="AE138" s="2">
        <v>0</v>
      </c>
      <c r="AF138" s="2">
        <f t="shared" ref="AF138:AF144" si="68">AD138+AE138</f>
        <v>376092.41</v>
      </c>
      <c r="AG138" s="21" t="s">
        <v>857</v>
      </c>
      <c r="AH138" s="29" t="s">
        <v>151</v>
      </c>
      <c r="AI138" s="30">
        <v>249647.94000000006</v>
      </c>
      <c r="AJ138" s="30">
        <v>41012.170000000006</v>
      </c>
    </row>
    <row r="139" spans="1:36" s="179" customFormat="1" ht="189" x14ac:dyDescent="0.25">
      <c r="A139" s="6">
        <v>136</v>
      </c>
      <c r="B139" s="11">
        <v>128386</v>
      </c>
      <c r="C139" s="11">
        <v>657</v>
      </c>
      <c r="D139" s="9" t="s">
        <v>1639</v>
      </c>
      <c r="E139" s="83" t="s">
        <v>1071</v>
      </c>
      <c r="F139" s="11" t="s">
        <v>1076</v>
      </c>
      <c r="G139" s="85" t="s">
        <v>1473</v>
      </c>
      <c r="H139" s="8" t="s">
        <v>151</v>
      </c>
      <c r="I139" s="86" t="s">
        <v>2687</v>
      </c>
      <c r="J139" s="25">
        <v>43613</v>
      </c>
      <c r="K139" s="25">
        <v>45074</v>
      </c>
      <c r="L139" s="26">
        <f t="shared" si="65"/>
        <v>84.999999962468991</v>
      </c>
      <c r="M139" s="11">
        <v>5</v>
      </c>
      <c r="N139" s="11" t="s">
        <v>285</v>
      </c>
      <c r="O139" s="87" t="s">
        <v>1077</v>
      </c>
      <c r="P139" s="27" t="s">
        <v>174</v>
      </c>
      <c r="Q139" s="11" t="s">
        <v>34</v>
      </c>
      <c r="R139" s="1">
        <f t="shared" si="66"/>
        <v>3397190.5700000003</v>
      </c>
      <c r="S139" s="2">
        <v>3397190.5700000003</v>
      </c>
      <c r="T139" s="2">
        <v>0</v>
      </c>
      <c r="U139" s="1">
        <f t="shared" si="59"/>
        <v>519570.32000000007</v>
      </c>
      <c r="V139" s="28">
        <v>519570.32000000007</v>
      </c>
      <c r="W139" s="28">
        <v>0</v>
      </c>
      <c r="X139" s="1">
        <f t="shared" si="60"/>
        <v>79933.900000000009</v>
      </c>
      <c r="Y139" s="2">
        <v>79933.900000000009</v>
      </c>
      <c r="Z139" s="2">
        <v>0</v>
      </c>
      <c r="AA139" s="2">
        <f t="shared" si="67"/>
        <v>0</v>
      </c>
      <c r="AB139" s="2">
        <v>0</v>
      </c>
      <c r="AC139" s="2">
        <v>0</v>
      </c>
      <c r="AD139" s="16">
        <f t="shared" si="64"/>
        <v>3996694.7900000005</v>
      </c>
      <c r="AE139" s="2">
        <v>78502.27</v>
      </c>
      <c r="AF139" s="2">
        <f t="shared" si="68"/>
        <v>4075197.0600000005</v>
      </c>
      <c r="AG139" s="38" t="s">
        <v>486</v>
      </c>
      <c r="AH139" s="29" t="s">
        <v>2389</v>
      </c>
      <c r="AI139" s="30">
        <f>361593.44+96748.7+399669-26609.64-12754.89+399669-50426.81+380140.61</f>
        <v>1548029.4099999997</v>
      </c>
      <c r="AJ139" s="30">
        <f>55302.51+14796.86+26609.64+28495.74+50426.81</f>
        <v>175631.56</v>
      </c>
    </row>
    <row r="140" spans="1:36" s="179" customFormat="1" ht="130.5" customHeight="1" x14ac:dyDescent="0.25">
      <c r="A140" s="6">
        <v>137</v>
      </c>
      <c r="B140" s="11">
        <v>128739</v>
      </c>
      <c r="C140" s="11">
        <v>630</v>
      </c>
      <c r="D140" s="9" t="s">
        <v>1639</v>
      </c>
      <c r="E140" s="83" t="s">
        <v>1071</v>
      </c>
      <c r="F140" s="31" t="s">
        <v>1140</v>
      </c>
      <c r="G140" s="11" t="s">
        <v>1660</v>
      </c>
      <c r="H140" s="8" t="s">
        <v>151</v>
      </c>
      <c r="I140" s="86" t="s">
        <v>2688</v>
      </c>
      <c r="J140" s="25">
        <v>43654</v>
      </c>
      <c r="K140" s="25">
        <v>44965</v>
      </c>
      <c r="L140" s="26">
        <f t="shared" si="65"/>
        <v>85.000000167824169</v>
      </c>
      <c r="M140" s="11">
        <v>5</v>
      </c>
      <c r="N140" s="11" t="s">
        <v>285</v>
      </c>
      <c r="O140" s="11" t="s">
        <v>286</v>
      </c>
      <c r="P140" s="27" t="s">
        <v>174</v>
      </c>
      <c r="Q140" s="11" t="s">
        <v>34</v>
      </c>
      <c r="R140" s="1">
        <f t="shared" si="66"/>
        <v>2532412.23</v>
      </c>
      <c r="S140" s="2">
        <v>2532412.23</v>
      </c>
      <c r="T140" s="2">
        <v>0</v>
      </c>
      <c r="U140" s="1">
        <f t="shared" si="59"/>
        <v>387310.1</v>
      </c>
      <c r="V140" s="28">
        <v>387310.1</v>
      </c>
      <c r="W140" s="28">
        <v>0</v>
      </c>
      <c r="X140" s="1">
        <f t="shared" si="60"/>
        <v>59586.17</v>
      </c>
      <c r="Y140" s="2">
        <v>59586.17</v>
      </c>
      <c r="Z140" s="2">
        <v>0</v>
      </c>
      <c r="AA140" s="2">
        <f t="shared" si="67"/>
        <v>0</v>
      </c>
      <c r="AB140" s="2">
        <v>0</v>
      </c>
      <c r="AC140" s="2">
        <v>0</v>
      </c>
      <c r="AD140" s="16">
        <f t="shared" si="64"/>
        <v>2979308.5</v>
      </c>
      <c r="AE140" s="2">
        <v>0</v>
      </c>
      <c r="AF140" s="2">
        <f t="shared" si="68"/>
        <v>2979308.5</v>
      </c>
      <c r="AG140" s="38" t="s">
        <v>486</v>
      </c>
      <c r="AH140" s="29" t="s">
        <v>3284</v>
      </c>
      <c r="AI140" s="30">
        <f>61209.43-1190.67+16783.71+51674+5984.38+156268</f>
        <v>290728.84999999998</v>
      </c>
      <c r="AJ140" s="30">
        <f>4447.07+1190.67+6108.52+8818.34</f>
        <v>20564.599999999999</v>
      </c>
    </row>
    <row r="141" spans="1:36" s="179" customFormat="1" ht="130.5" customHeight="1" x14ac:dyDescent="0.25">
      <c r="A141" s="6">
        <v>138</v>
      </c>
      <c r="B141" s="11">
        <v>135523</v>
      </c>
      <c r="C141" s="11">
        <v>831</v>
      </c>
      <c r="D141" s="9" t="s">
        <v>1639</v>
      </c>
      <c r="E141" s="24" t="s">
        <v>1441</v>
      </c>
      <c r="F141" s="31" t="s">
        <v>1471</v>
      </c>
      <c r="G141" s="85" t="s">
        <v>1473</v>
      </c>
      <c r="H141" s="11" t="s">
        <v>1472</v>
      </c>
      <c r="I141" s="12" t="s">
        <v>2689</v>
      </c>
      <c r="J141" s="25">
        <v>43969</v>
      </c>
      <c r="K141" s="25">
        <v>45064</v>
      </c>
      <c r="L141" s="26">
        <f t="shared" si="65"/>
        <v>85.000000126847326</v>
      </c>
      <c r="M141" s="11">
        <v>5</v>
      </c>
      <c r="N141" s="11" t="s">
        <v>285</v>
      </c>
      <c r="O141" s="11" t="s">
        <v>1473</v>
      </c>
      <c r="P141" s="27" t="s">
        <v>174</v>
      </c>
      <c r="Q141" s="11" t="s">
        <v>34</v>
      </c>
      <c r="R141" s="1">
        <f>S141+T141</f>
        <v>3350484.53</v>
      </c>
      <c r="S141" s="2">
        <v>3350484.53</v>
      </c>
      <c r="T141" s="2">
        <v>0</v>
      </c>
      <c r="U141" s="1">
        <f t="shared" si="59"/>
        <v>512427.03</v>
      </c>
      <c r="V141" s="28">
        <v>512427.03</v>
      </c>
      <c r="W141" s="28">
        <v>0</v>
      </c>
      <c r="X141" s="1">
        <f t="shared" si="60"/>
        <v>78834.94</v>
      </c>
      <c r="Y141" s="2">
        <v>78834.94</v>
      </c>
      <c r="Z141" s="2">
        <v>0</v>
      </c>
      <c r="AA141" s="2">
        <f t="shared" si="67"/>
        <v>0</v>
      </c>
      <c r="AB141" s="2">
        <v>0</v>
      </c>
      <c r="AC141" s="2">
        <v>0</v>
      </c>
      <c r="AD141" s="16">
        <f t="shared" si="64"/>
        <v>3941746.4999999995</v>
      </c>
      <c r="AE141" s="2">
        <v>0</v>
      </c>
      <c r="AF141" s="2">
        <f t="shared" si="68"/>
        <v>3941746.4999999995</v>
      </c>
      <c r="AG141" s="38" t="s">
        <v>486</v>
      </c>
      <c r="AH141" s="29" t="s">
        <v>2560</v>
      </c>
      <c r="AI141" s="30">
        <f>226408.43-15004.21+54632.06+92434.65+226408.43+163483.98+81420.63+335505.45</f>
        <v>1165289.4200000002</v>
      </c>
      <c r="AJ141" s="30">
        <f>15004.21+39820.75+54121.31+17961.87</f>
        <v>126908.13999999998</v>
      </c>
    </row>
    <row r="142" spans="1:36" s="179" customFormat="1" ht="130.5" customHeight="1" x14ac:dyDescent="0.25">
      <c r="A142" s="6">
        <v>139</v>
      </c>
      <c r="B142" s="11">
        <v>136349</v>
      </c>
      <c r="C142" s="11">
        <v>834</v>
      </c>
      <c r="D142" s="9" t="s">
        <v>1639</v>
      </c>
      <c r="E142" s="24" t="s">
        <v>1441</v>
      </c>
      <c r="F142" s="31" t="s">
        <v>1485</v>
      </c>
      <c r="G142" s="11" t="s">
        <v>1660</v>
      </c>
      <c r="H142" s="8" t="s">
        <v>151</v>
      </c>
      <c r="I142" s="12" t="s">
        <v>2690</v>
      </c>
      <c r="J142" s="25">
        <v>43969</v>
      </c>
      <c r="K142" s="25">
        <v>44883</v>
      </c>
      <c r="L142" s="26">
        <f t="shared" si="65"/>
        <v>85</v>
      </c>
      <c r="M142" s="11">
        <v>5</v>
      </c>
      <c r="N142" s="11" t="s">
        <v>285</v>
      </c>
      <c r="O142" s="11" t="s">
        <v>286</v>
      </c>
      <c r="P142" s="27" t="s">
        <v>174</v>
      </c>
      <c r="Q142" s="11" t="s">
        <v>34</v>
      </c>
      <c r="R142" s="1">
        <f t="shared" si="66"/>
        <v>2447700.7999999998</v>
      </c>
      <c r="S142" s="2">
        <v>2447700.7999999998</v>
      </c>
      <c r="T142" s="2">
        <v>0</v>
      </c>
      <c r="U142" s="1">
        <f>V142+W142</f>
        <v>374354.24</v>
      </c>
      <c r="V142" s="28">
        <v>374354.24</v>
      </c>
      <c r="W142" s="28">
        <v>0</v>
      </c>
      <c r="X142" s="1">
        <f t="shared" si="60"/>
        <v>57592.959999999999</v>
      </c>
      <c r="Y142" s="2">
        <v>57592.959999999999</v>
      </c>
      <c r="Z142" s="2">
        <v>0</v>
      </c>
      <c r="AA142" s="2">
        <f t="shared" si="67"/>
        <v>0</v>
      </c>
      <c r="AB142" s="2">
        <v>0</v>
      </c>
      <c r="AC142" s="2">
        <v>0</v>
      </c>
      <c r="AD142" s="16">
        <f t="shared" si="64"/>
        <v>2879648</v>
      </c>
      <c r="AE142" s="2">
        <v>0</v>
      </c>
      <c r="AF142" s="2">
        <f t="shared" si="68"/>
        <v>2879648</v>
      </c>
      <c r="AG142" s="38" t="s">
        <v>486</v>
      </c>
      <c r="AH142" s="29" t="s">
        <v>151</v>
      </c>
      <c r="AI142" s="30">
        <f>85000+81913.12-6938.61+68223.46</f>
        <v>228197.97000000003</v>
      </c>
      <c r="AJ142" s="30">
        <f>16086.88+6938.61+11875.37</f>
        <v>34900.86</v>
      </c>
    </row>
    <row r="143" spans="1:36" s="179" customFormat="1" ht="130.5" customHeight="1" x14ac:dyDescent="0.25">
      <c r="A143" s="6">
        <v>140</v>
      </c>
      <c r="B143" s="11">
        <v>135786</v>
      </c>
      <c r="C143" s="11">
        <v>818</v>
      </c>
      <c r="D143" s="9" t="s">
        <v>1639</v>
      </c>
      <c r="E143" s="24" t="s">
        <v>1441</v>
      </c>
      <c r="F143" s="31" t="s">
        <v>1594</v>
      </c>
      <c r="G143" s="31" t="s">
        <v>1593</v>
      </c>
      <c r="H143" s="8" t="s">
        <v>151</v>
      </c>
      <c r="I143" s="12" t="s">
        <v>2691</v>
      </c>
      <c r="J143" s="25">
        <v>44035</v>
      </c>
      <c r="K143" s="25">
        <v>44765</v>
      </c>
      <c r="L143" s="26">
        <f t="shared" si="65"/>
        <v>84.999999898090948</v>
      </c>
      <c r="M143" s="11">
        <v>5</v>
      </c>
      <c r="N143" s="11" t="s">
        <v>285</v>
      </c>
      <c r="O143" s="11" t="s">
        <v>286</v>
      </c>
      <c r="P143" s="27" t="s">
        <v>174</v>
      </c>
      <c r="Q143" s="11" t="s">
        <v>34</v>
      </c>
      <c r="R143" s="1">
        <f t="shared" si="66"/>
        <v>2502231</v>
      </c>
      <c r="S143" s="2">
        <v>2502231</v>
      </c>
      <c r="T143" s="2">
        <v>0</v>
      </c>
      <c r="U143" s="1">
        <f>V143+W143</f>
        <v>382694.15</v>
      </c>
      <c r="V143" s="28">
        <v>382694.15</v>
      </c>
      <c r="W143" s="28">
        <v>0</v>
      </c>
      <c r="X143" s="1">
        <f t="shared" si="60"/>
        <v>58876.03</v>
      </c>
      <c r="Y143" s="2">
        <v>58876.03</v>
      </c>
      <c r="Z143" s="2">
        <v>0</v>
      </c>
      <c r="AA143" s="2">
        <f t="shared" si="67"/>
        <v>0</v>
      </c>
      <c r="AB143" s="2">
        <v>0</v>
      </c>
      <c r="AC143" s="2">
        <v>0</v>
      </c>
      <c r="AD143" s="16">
        <f t="shared" si="64"/>
        <v>2943801.1799999997</v>
      </c>
      <c r="AE143" s="2">
        <v>0</v>
      </c>
      <c r="AF143" s="2">
        <f t="shared" si="68"/>
        <v>2943801.1799999997</v>
      </c>
      <c r="AG143" s="38" t="s">
        <v>857</v>
      </c>
      <c r="AH143" s="29" t="s">
        <v>151</v>
      </c>
      <c r="AI143" s="30">
        <f>155929.74+96350.05+226793.38+174305.99+318622.5+217396.4+318622.5</f>
        <v>1508020.5599999998</v>
      </c>
      <c r="AJ143" s="30">
        <f>23848.08+14735.89+34686.04+26658.56+48730.5+33248.86+48730.5</f>
        <v>230638.43</v>
      </c>
    </row>
    <row r="144" spans="1:36" s="179" customFormat="1" ht="130.5" customHeight="1" x14ac:dyDescent="0.25">
      <c r="A144" s="6">
        <v>141</v>
      </c>
      <c r="B144" s="11">
        <v>154621</v>
      </c>
      <c r="C144" s="11">
        <v>1243</v>
      </c>
      <c r="D144" s="9" t="s">
        <v>1639</v>
      </c>
      <c r="E144" s="24" t="s">
        <v>2024</v>
      </c>
      <c r="F144" s="31" t="s">
        <v>2230</v>
      </c>
      <c r="G144" s="31" t="s">
        <v>2229</v>
      </c>
      <c r="H144" s="8" t="s">
        <v>151</v>
      </c>
      <c r="I144" s="12" t="s">
        <v>2692</v>
      </c>
      <c r="J144" s="25">
        <v>44700</v>
      </c>
      <c r="K144" s="25">
        <v>45188</v>
      </c>
      <c r="L144" s="26">
        <f t="shared" si="65"/>
        <v>85.000000644961489</v>
      </c>
      <c r="M144" s="11">
        <v>5</v>
      </c>
      <c r="N144" s="11" t="s">
        <v>285</v>
      </c>
      <c r="O144" s="11" t="s">
        <v>286</v>
      </c>
      <c r="P144" s="27" t="s">
        <v>174</v>
      </c>
      <c r="Q144" s="11" t="s">
        <v>34</v>
      </c>
      <c r="R144" s="1">
        <f t="shared" si="66"/>
        <v>1515594.39</v>
      </c>
      <c r="S144" s="2">
        <v>1515594.39</v>
      </c>
      <c r="T144" s="2">
        <v>0</v>
      </c>
      <c r="U144" s="1">
        <f>V144+W144</f>
        <v>231796.78</v>
      </c>
      <c r="V144" s="28">
        <v>231796.78</v>
      </c>
      <c r="W144" s="28">
        <v>0</v>
      </c>
      <c r="X144" s="1">
        <f t="shared" si="60"/>
        <v>35661.040000000001</v>
      </c>
      <c r="Y144" s="2">
        <v>35661.040000000001</v>
      </c>
      <c r="Z144" s="2">
        <v>0</v>
      </c>
      <c r="AA144" s="2">
        <f t="shared" si="67"/>
        <v>0</v>
      </c>
      <c r="AB144" s="2">
        <v>0</v>
      </c>
      <c r="AC144" s="2">
        <v>0</v>
      </c>
      <c r="AD144" s="16">
        <f t="shared" si="64"/>
        <v>1783052.21</v>
      </c>
      <c r="AE144" s="2">
        <v>0</v>
      </c>
      <c r="AF144" s="2">
        <f t="shared" si="68"/>
        <v>1783052.21</v>
      </c>
      <c r="AG144" s="38" t="s">
        <v>486</v>
      </c>
      <c r="AH144" s="29" t="s">
        <v>151</v>
      </c>
      <c r="AI144" s="30">
        <v>178305.21</v>
      </c>
      <c r="AJ144" s="30">
        <v>0</v>
      </c>
    </row>
    <row r="145" spans="1:36" s="179" customFormat="1" ht="220.5" x14ac:dyDescent="0.25">
      <c r="A145" s="6">
        <v>142</v>
      </c>
      <c r="B145" s="31">
        <v>120583</v>
      </c>
      <c r="C145" s="11">
        <v>77</v>
      </c>
      <c r="D145" s="9" t="s">
        <v>1639</v>
      </c>
      <c r="E145" s="24" t="s">
        <v>277</v>
      </c>
      <c r="F145" s="11" t="s">
        <v>176</v>
      </c>
      <c r="G145" s="11" t="s">
        <v>947</v>
      </c>
      <c r="H145" s="8" t="s">
        <v>151</v>
      </c>
      <c r="I145" s="46" t="s">
        <v>180</v>
      </c>
      <c r="J145" s="25">
        <v>43126</v>
      </c>
      <c r="K145" s="25">
        <v>43369</v>
      </c>
      <c r="L145" s="26">
        <f t="shared" ref="L145:L161" si="69">R145/AD145*100</f>
        <v>84.999999763641128</v>
      </c>
      <c r="M145" s="11">
        <v>6</v>
      </c>
      <c r="N145" s="11" t="s">
        <v>182</v>
      </c>
      <c r="O145" s="11" t="s">
        <v>183</v>
      </c>
      <c r="P145" s="27" t="s">
        <v>174</v>
      </c>
      <c r="Q145" s="11" t="s">
        <v>34</v>
      </c>
      <c r="R145" s="1">
        <f t="shared" ref="R145:R161" si="70">S145+T145</f>
        <v>359622.64</v>
      </c>
      <c r="S145" s="2">
        <v>359622.64</v>
      </c>
      <c r="T145" s="2">
        <v>0</v>
      </c>
      <c r="U145" s="1">
        <f t="shared" ref="U145:U159" si="71">V145+W145</f>
        <v>55001.11</v>
      </c>
      <c r="V145" s="28">
        <v>55001.11</v>
      </c>
      <c r="W145" s="28">
        <v>0</v>
      </c>
      <c r="X145" s="1">
        <f t="shared" ref="X145:X161" si="72">Y145+Z145</f>
        <v>8461.7099999999991</v>
      </c>
      <c r="Y145" s="2">
        <v>8461.7099999999991</v>
      </c>
      <c r="Z145" s="2">
        <v>0</v>
      </c>
      <c r="AA145" s="2">
        <f t="shared" ref="AA145:AA161" si="73">AB145+AC145</f>
        <v>0</v>
      </c>
      <c r="AB145" s="2">
        <v>0</v>
      </c>
      <c r="AC145" s="2">
        <v>0</v>
      </c>
      <c r="AD145" s="16">
        <f t="shared" si="64"/>
        <v>423085.46</v>
      </c>
      <c r="AE145" s="2">
        <v>0</v>
      </c>
      <c r="AF145" s="2">
        <f t="shared" ref="AF145:AF161" si="74">AD145+AE145</f>
        <v>423085.46</v>
      </c>
      <c r="AG145" s="21" t="s">
        <v>857</v>
      </c>
      <c r="AH145" s="29" t="s">
        <v>151</v>
      </c>
      <c r="AI145" s="30">
        <v>300081.25</v>
      </c>
      <c r="AJ145" s="30">
        <v>45894.78</v>
      </c>
    </row>
    <row r="146" spans="1:36" s="179" customFormat="1" ht="141.75" x14ac:dyDescent="0.25">
      <c r="A146" s="6">
        <v>143</v>
      </c>
      <c r="B146" s="31">
        <v>110080</v>
      </c>
      <c r="C146" s="11">
        <v>118</v>
      </c>
      <c r="D146" s="9" t="s">
        <v>1639</v>
      </c>
      <c r="E146" s="24" t="s">
        <v>277</v>
      </c>
      <c r="F146" s="11" t="s">
        <v>256</v>
      </c>
      <c r="G146" s="11" t="s">
        <v>257</v>
      </c>
      <c r="H146" s="8" t="s">
        <v>151</v>
      </c>
      <c r="I146" s="12" t="s">
        <v>258</v>
      </c>
      <c r="J146" s="25">
        <v>43171</v>
      </c>
      <c r="K146" s="25">
        <v>43658</v>
      </c>
      <c r="L146" s="26">
        <f t="shared" si="69"/>
        <v>84.9999996799977</v>
      </c>
      <c r="M146" s="11">
        <v>6</v>
      </c>
      <c r="N146" s="11" t="s">
        <v>182</v>
      </c>
      <c r="O146" s="11" t="s">
        <v>394</v>
      </c>
      <c r="P146" s="27" t="s">
        <v>174</v>
      </c>
      <c r="Q146" s="11" t="s">
        <v>34</v>
      </c>
      <c r="R146" s="1">
        <f t="shared" si="70"/>
        <v>531246.18999999994</v>
      </c>
      <c r="S146" s="2">
        <v>531246.18999999994</v>
      </c>
      <c r="T146" s="2">
        <v>0</v>
      </c>
      <c r="U146" s="1">
        <f t="shared" si="71"/>
        <v>81249.41</v>
      </c>
      <c r="V146" s="28">
        <v>81249.41</v>
      </c>
      <c r="W146" s="28">
        <v>0</v>
      </c>
      <c r="X146" s="1">
        <f t="shared" si="72"/>
        <v>12499.92</v>
      </c>
      <c r="Y146" s="2">
        <v>12499.92</v>
      </c>
      <c r="Z146" s="2">
        <v>0</v>
      </c>
      <c r="AA146" s="2">
        <f t="shared" si="73"/>
        <v>0</v>
      </c>
      <c r="AB146" s="2">
        <v>0</v>
      </c>
      <c r="AC146" s="2">
        <v>0</v>
      </c>
      <c r="AD146" s="16">
        <f t="shared" si="64"/>
        <v>624995.52</v>
      </c>
      <c r="AE146" s="2">
        <v>0</v>
      </c>
      <c r="AF146" s="2">
        <f t="shared" si="74"/>
        <v>624995.52</v>
      </c>
      <c r="AG146" s="21" t="s">
        <v>857</v>
      </c>
      <c r="AH146" s="29" t="s">
        <v>151</v>
      </c>
      <c r="AI146" s="30">
        <v>425198.5</v>
      </c>
      <c r="AJ146" s="30">
        <v>65030.360000000015</v>
      </c>
    </row>
    <row r="147" spans="1:36" s="179" customFormat="1" ht="204.75" x14ac:dyDescent="0.25">
      <c r="A147" s="6">
        <v>144</v>
      </c>
      <c r="B147" s="31">
        <v>120588</v>
      </c>
      <c r="C147" s="11">
        <v>104</v>
      </c>
      <c r="D147" s="9" t="s">
        <v>1639</v>
      </c>
      <c r="E147" s="24" t="s">
        <v>277</v>
      </c>
      <c r="F147" s="11" t="s">
        <v>326</v>
      </c>
      <c r="G147" s="11" t="s">
        <v>1652</v>
      </c>
      <c r="H147" s="8" t="s">
        <v>151</v>
      </c>
      <c r="I147" s="12" t="s">
        <v>327</v>
      </c>
      <c r="J147" s="25">
        <v>43201</v>
      </c>
      <c r="K147" s="25">
        <v>43749</v>
      </c>
      <c r="L147" s="26">
        <f t="shared" si="69"/>
        <v>85.000000000000014</v>
      </c>
      <c r="M147" s="11">
        <v>6</v>
      </c>
      <c r="N147" s="11" t="s">
        <v>182</v>
      </c>
      <c r="O147" s="11" t="s">
        <v>394</v>
      </c>
      <c r="P147" s="27" t="s">
        <v>174</v>
      </c>
      <c r="Q147" s="11" t="s">
        <v>34</v>
      </c>
      <c r="R147" s="1">
        <f t="shared" si="70"/>
        <v>354701.26</v>
      </c>
      <c r="S147" s="2">
        <v>354701.26</v>
      </c>
      <c r="T147" s="2">
        <v>0</v>
      </c>
      <c r="U147" s="1">
        <f t="shared" si="71"/>
        <v>54248.43</v>
      </c>
      <c r="V147" s="28">
        <v>54248.43</v>
      </c>
      <c r="W147" s="28">
        <v>0</v>
      </c>
      <c r="X147" s="1">
        <f t="shared" si="72"/>
        <v>8345.91</v>
      </c>
      <c r="Y147" s="2">
        <v>8345.91</v>
      </c>
      <c r="Z147" s="2">
        <v>0</v>
      </c>
      <c r="AA147" s="2">
        <f t="shared" si="73"/>
        <v>0</v>
      </c>
      <c r="AB147" s="2">
        <v>0</v>
      </c>
      <c r="AC147" s="2">
        <v>0</v>
      </c>
      <c r="AD147" s="16">
        <f t="shared" si="64"/>
        <v>417295.6</v>
      </c>
      <c r="AE147" s="2">
        <v>0</v>
      </c>
      <c r="AF147" s="2">
        <f t="shared" si="74"/>
        <v>417295.6</v>
      </c>
      <c r="AG147" s="21" t="s">
        <v>857</v>
      </c>
      <c r="AH147" s="29" t="s">
        <v>1047</v>
      </c>
      <c r="AI147" s="30">
        <v>329554.89999999997</v>
      </c>
      <c r="AJ147" s="30">
        <v>50402.509999999987</v>
      </c>
    </row>
    <row r="148" spans="1:36" s="179" customFormat="1" ht="207" customHeight="1" x14ac:dyDescent="0.25">
      <c r="A148" s="6">
        <v>145</v>
      </c>
      <c r="B148" s="31">
        <v>126485</v>
      </c>
      <c r="C148" s="11">
        <v>546</v>
      </c>
      <c r="D148" s="9" t="s">
        <v>1639</v>
      </c>
      <c r="E148" s="24" t="s">
        <v>899</v>
      </c>
      <c r="F148" s="11" t="s">
        <v>2148</v>
      </c>
      <c r="G148" s="11" t="s">
        <v>947</v>
      </c>
      <c r="H148" s="8" t="s">
        <v>151</v>
      </c>
      <c r="I148" s="12" t="s">
        <v>2693</v>
      </c>
      <c r="J148" s="25">
        <v>43455</v>
      </c>
      <c r="K148" s="25">
        <v>44398</v>
      </c>
      <c r="L148" s="26">
        <f t="shared" si="69"/>
        <v>85</v>
      </c>
      <c r="M148" s="11">
        <v>6</v>
      </c>
      <c r="N148" s="11" t="s">
        <v>182</v>
      </c>
      <c r="O148" s="11" t="s">
        <v>183</v>
      </c>
      <c r="P148" s="27" t="s">
        <v>174</v>
      </c>
      <c r="Q148" s="11" t="s">
        <v>34</v>
      </c>
      <c r="R148" s="1">
        <f t="shared" si="70"/>
        <v>3257796.87</v>
      </c>
      <c r="S148" s="2">
        <v>3257796.87</v>
      </c>
      <c r="T148" s="2">
        <v>0</v>
      </c>
      <c r="U148" s="1">
        <f t="shared" si="71"/>
        <v>498251.29</v>
      </c>
      <c r="V148" s="28">
        <v>498251.29</v>
      </c>
      <c r="W148" s="28">
        <v>0</v>
      </c>
      <c r="X148" s="1">
        <f t="shared" si="72"/>
        <v>76654.039999999994</v>
      </c>
      <c r="Y148" s="2">
        <v>76654.039999999994</v>
      </c>
      <c r="Z148" s="2">
        <v>0</v>
      </c>
      <c r="AA148" s="2">
        <f t="shared" si="73"/>
        <v>0</v>
      </c>
      <c r="AB148" s="2">
        <v>0</v>
      </c>
      <c r="AC148" s="2">
        <v>0</v>
      </c>
      <c r="AD148" s="16">
        <f t="shared" si="64"/>
        <v>3832702.2</v>
      </c>
      <c r="AE148" s="2"/>
      <c r="AF148" s="2">
        <f t="shared" si="74"/>
        <v>3832702.2</v>
      </c>
      <c r="AG148" s="38" t="s">
        <v>857</v>
      </c>
      <c r="AH148" s="29" t="s">
        <v>1756</v>
      </c>
      <c r="AI148" s="30">
        <f>526834.95+248284.81+380000+318918.04+380000-24455.26+1290656.83</f>
        <v>3120239.37</v>
      </c>
      <c r="AJ148" s="30">
        <f>80574.74+37972.97+106893.35+24455.26+227316.75</f>
        <v>477213.07</v>
      </c>
    </row>
    <row r="149" spans="1:36" s="179" customFormat="1" ht="240.75" customHeight="1" x14ac:dyDescent="0.25">
      <c r="A149" s="6">
        <v>146</v>
      </c>
      <c r="B149" s="31">
        <v>126214</v>
      </c>
      <c r="C149" s="11">
        <v>527</v>
      </c>
      <c r="D149" s="9" t="s">
        <v>1639</v>
      </c>
      <c r="E149" s="24" t="s">
        <v>899</v>
      </c>
      <c r="F149" s="11" t="s">
        <v>975</v>
      </c>
      <c r="G149" s="11" t="s">
        <v>1653</v>
      </c>
      <c r="H149" s="8" t="s">
        <v>151</v>
      </c>
      <c r="I149" s="12" t="s">
        <v>976</v>
      </c>
      <c r="J149" s="25">
        <v>43507</v>
      </c>
      <c r="K149" s="25">
        <v>45057</v>
      </c>
      <c r="L149" s="26">
        <f t="shared" si="69"/>
        <v>85.000000000000014</v>
      </c>
      <c r="M149" s="11">
        <v>6</v>
      </c>
      <c r="N149" s="11" t="s">
        <v>182</v>
      </c>
      <c r="O149" s="11" t="s">
        <v>394</v>
      </c>
      <c r="P149" s="27" t="s">
        <v>174</v>
      </c>
      <c r="Q149" s="11" t="s">
        <v>34</v>
      </c>
      <c r="R149" s="1">
        <f t="shared" si="70"/>
        <v>3316506.2</v>
      </c>
      <c r="S149" s="2">
        <v>3316506.2</v>
      </c>
      <c r="T149" s="2">
        <v>0</v>
      </c>
      <c r="U149" s="1">
        <f t="shared" si="71"/>
        <v>507230.36</v>
      </c>
      <c r="V149" s="28">
        <v>507230.36</v>
      </c>
      <c r="W149" s="28">
        <v>0</v>
      </c>
      <c r="X149" s="1">
        <f t="shared" si="72"/>
        <v>78035.44</v>
      </c>
      <c r="Y149" s="2">
        <v>78035.44</v>
      </c>
      <c r="Z149" s="2">
        <v>0</v>
      </c>
      <c r="AA149" s="2">
        <f t="shared" si="73"/>
        <v>0</v>
      </c>
      <c r="AB149" s="2">
        <v>0</v>
      </c>
      <c r="AC149" s="2">
        <v>0</v>
      </c>
      <c r="AD149" s="16">
        <f t="shared" si="64"/>
        <v>3901772</v>
      </c>
      <c r="AE149" s="2">
        <v>0</v>
      </c>
      <c r="AF149" s="2">
        <f t="shared" si="74"/>
        <v>3901772</v>
      </c>
      <c r="AG149" s="38" t="s">
        <v>486</v>
      </c>
      <c r="AH149" s="29" t="s">
        <v>3134</v>
      </c>
      <c r="AI149" s="30">
        <f>369954.38+411573.28+44291.56+44291.56+44291.56</f>
        <v>914402.34000000008</v>
      </c>
      <c r="AJ149" s="30">
        <f>56581.26+62946.51+6774.01+6774.01+6774.01</f>
        <v>139849.80000000002</v>
      </c>
    </row>
    <row r="150" spans="1:36" s="179" customFormat="1" ht="240.75" customHeight="1" x14ac:dyDescent="0.25">
      <c r="A150" s="6">
        <v>147</v>
      </c>
      <c r="B150" s="11">
        <v>128473</v>
      </c>
      <c r="C150" s="11">
        <v>629</v>
      </c>
      <c r="D150" s="9" t="s">
        <v>1639</v>
      </c>
      <c r="E150" s="24" t="s">
        <v>1071</v>
      </c>
      <c r="F150" s="11" t="s">
        <v>1123</v>
      </c>
      <c r="G150" s="11" t="s">
        <v>1652</v>
      </c>
      <c r="H150" s="8" t="s">
        <v>151</v>
      </c>
      <c r="I150" s="12" t="s">
        <v>2694</v>
      </c>
      <c r="J150" s="25">
        <v>43640</v>
      </c>
      <c r="K150" s="25">
        <v>45009</v>
      </c>
      <c r="L150" s="26">
        <f t="shared" si="69"/>
        <v>85</v>
      </c>
      <c r="M150" s="11">
        <v>6</v>
      </c>
      <c r="N150" s="11" t="s">
        <v>182</v>
      </c>
      <c r="O150" s="11" t="s">
        <v>394</v>
      </c>
      <c r="P150" s="27" t="s">
        <v>174</v>
      </c>
      <c r="Q150" s="11" t="s">
        <v>34</v>
      </c>
      <c r="R150" s="1">
        <f t="shared" si="70"/>
        <v>2773068.05</v>
      </c>
      <c r="S150" s="2">
        <v>2773068.05</v>
      </c>
      <c r="T150" s="2">
        <v>0</v>
      </c>
      <c r="U150" s="1">
        <f t="shared" si="71"/>
        <v>424116.29</v>
      </c>
      <c r="V150" s="28">
        <v>424116.29</v>
      </c>
      <c r="W150" s="28">
        <v>0</v>
      </c>
      <c r="X150" s="1">
        <f t="shared" si="72"/>
        <v>65248.66</v>
      </c>
      <c r="Y150" s="2">
        <v>65248.66</v>
      </c>
      <c r="Z150" s="2">
        <v>0</v>
      </c>
      <c r="AA150" s="2">
        <f t="shared" si="73"/>
        <v>0</v>
      </c>
      <c r="AB150" s="2">
        <v>0</v>
      </c>
      <c r="AC150" s="2">
        <v>0</v>
      </c>
      <c r="AD150" s="16">
        <f t="shared" si="64"/>
        <v>3262433</v>
      </c>
      <c r="AE150" s="2">
        <v>102340</v>
      </c>
      <c r="AF150" s="2">
        <f t="shared" si="74"/>
        <v>3364773</v>
      </c>
      <c r="AG150" s="38" t="s">
        <v>486</v>
      </c>
      <c r="AH150" s="29" t="s">
        <v>1963</v>
      </c>
      <c r="AI150" s="30">
        <f>219757.88+193444.4</f>
        <v>413202.28</v>
      </c>
      <c r="AJ150" s="30">
        <f>33610.02+29585.59</f>
        <v>63195.61</v>
      </c>
    </row>
    <row r="151" spans="1:36" s="179" customFormat="1" ht="409.6" customHeight="1" x14ac:dyDescent="0.25">
      <c r="A151" s="6">
        <v>148</v>
      </c>
      <c r="B151" s="11">
        <v>129268</v>
      </c>
      <c r="C151" s="88">
        <v>655</v>
      </c>
      <c r="D151" s="9" t="s">
        <v>1639</v>
      </c>
      <c r="E151" s="24" t="s">
        <v>1071</v>
      </c>
      <c r="F151" s="11" t="s">
        <v>1114</v>
      </c>
      <c r="G151" s="11" t="s">
        <v>1150</v>
      </c>
      <c r="H151" s="8" t="s">
        <v>151</v>
      </c>
      <c r="I151" s="12" t="s">
        <v>2695</v>
      </c>
      <c r="J151" s="25">
        <v>43634</v>
      </c>
      <c r="K151" s="25">
        <v>44214</v>
      </c>
      <c r="L151" s="26">
        <f t="shared" si="69"/>
        <v>84.999999999999986</v>
      </c>
      <c r="M151" s="11">
        <v>5</v>
      </c>
      <c r="N151" s="11" t="s">
        <v>182</v>
      </c>
      <c r="O151" s="11" t="s">
        <v>1115</v>
      </c>
      <c r="P151" s="27" t="str">
        <f>P149</f>
        <v>APL</v>
      </c>
      <c r="Q151" s="11" t="str">
        <f>Q149</f>
        <v>119 - Investiții în capacitatea instituțională și în eficiența administrațiilor și a serviciilor publice la nivel național, regional și local, în perspectiva realizării de reforme, a unei mai bune legiferări și a bunei guvernanțe</v>
      </c>
      <c r="R151" s="1">
        <f t="shared" si="70"/>
        <v>1962765.6</v>
      </c>
      <c r="S151" s="2">
        <v>1962765.6</v>
      </c>
      <c r="T151" s="2">
        <v>0</v>
      </c>
      <c r="U151" s="1">
        <f t="shared" si="71"/>
        <v>300187.68</v>
      </c>
      <c r="V151" s="28">
        <v>300187.68</v>
      </c>
      <c r="W151" s="28">
        <v>0</v>
      </c>
      <c r="X151" s="1">
        <f t="shared" si="72"/>
        <v>46182.720000000001</v>
      </c>
      <c r="Y151" s="2">
        <v>46182.720000000001</v>
      </c>
      <c r="Z151" s="2">
        <v>0</v>
      </c>
      <c r="AA151" s="2">
        <f t="shared" si="73"/>
        <v>0</v>
      </c>
      <c r="AB151" s="2">
        <v>0</v>
      </c>
      <c r="AC151" s="2">
        <v>0</v>
      </c>
      <c r="AD151" s="16">
        <f t="shared" si="64"/>
        <v>2309136.0000000005</v>
      </c>
      <c r="AE151" s="2">
        <v>0</v>
      </c>
      <c r="AF151" s="2">
        <f t="shared" si="74"/>
        <v>2309136.0000000005</v>
      </c>
      <c r="AG151" s="38" t="s">
        <v>857</v>
      </c>
      <c r="AH151" s="29" t="s">
        <v>151</v>
      </c>
      <c r="AI151" s="30">
        <f>72304.61+19204.05+710933.79+92672.62+673975.2+37295.79+12775.25</f>
        <v>1619161.31</v>
      </c>
      <c r="AJ151" s="30">
        <f>3424.24+3817.06+3817.06+2937.09+108731.04+14173.46+103078.56+5704.06+1953.86</f>
        <v>247636.42999999996</v>
      </c>
    </row>
    <row r="152" spans="1:36" s="179" customFormat="1" ht="220.5" x14ac:dyDescent="0.25">
      <c r="A152" s="6">
        <v>149</v>
      </c>
      <c r="B152" s="11">
        <v>135879</v>
      </c>
      <c r="C152" s="88">
        <v>774</v>
      </c>
      <c r="D152" s="9" t="s">
        <v>1639</v>
      </c>
      <c r="E152" s="24" t="s">
        <v>1441</v>
      </c>
      <c r="F152" s="11" t="s">
        <v>1495</v>
      </c>
      <c r="G152" s="31" t="s">
        <v>1150</v>
      </c>
      <c r="H152" s="8" t="s">
        <v>151</v>
      </c>
      <c r="I152" s="12" t="s">
        <v>2696</v>
      </c>
      <c r="J152" s="25">
        <v>43969</v>
      </c>
      <c r="K152" s="25">
        <v>44822</v>
      </c>
      <c r="L152" s="26">
        <f t="shared" si="69"/>
        <v>85.000000000000014</v>
      </c>
      <c r="M152" s="11">
        <v>5</v>
      </c>
      <c r="N152" s="11" t="s">
        <v>182</v>
      </c>
      <c r="O152" s="11" t="s">
        <v>1115</v>
      </c>
      <c r="P152" s="27" t="s">
        <v>174</v>
      </c>
      <c r="Q152" s="11" t="s">
        <v>34</v>
      </c>
      <c r="R152" s="1">
        <f t="shared" si="70"/>
        <v>528564.85</v>
      </c>
      <c r="S152" s="2">
        <v>528564.85</v>
      </c>
      <c r="T152" s="2">
        <v>0</v>
      </c>
      <c r="U152" s="1">
        <f t="shared" si="71"/>
        <v>80839.33</v>
      </c>
      <c r="V152" s="28">
        <v>80839.33</v>
      </c>
      <c r="W152" s="28">
        <v>0</v>
      </c>
      <c r="X152" s="1">
        <f t="shared" si="72"/>
        <v>12436.82</v>
      </c>
      <c r="Y152" s="2">
        <v>12436.82</v>
      </c>
      <c r="Z152" s="2">
        <v>0</v>
      </c>
      <c r="AA152" s="2">
        <f t="shared" si="73"/>
        <v>0</v>
      </c>
      <c r="AB152" s="2">
        <v>0</v>
      </c>
      <c r="AC152" s="2">
        <v>0</v>
      </c>
      <c r="AD152" s="16">
        <f t="shared" si="64"/>
        <v>621840.99999999988</v>
      </c>
      <c r="AE152" s="2">
        <v>75327</v>
      </c>
      <c r="AF152" s="2">
        <f t="shared" si="74"/>
        <v>697167.99999999988</v>
      </c>
      <c r="AG152" s="38" t="s">
        <v>857</v>
      </c>
      <c r="AH152" s="29" t="s">
        <v>2055</v>
      </c>
      <c r="AI152" s="30">
        <f>12254.02+11395.1+30554.27+10719.35+8992.15+16116.85+53558.14+9529.83+99127</f>
        <v>252246.71</v>
      </c>
      <c r="AJ152" s="30">
        <f>1874.15+1742.78+4673.01+1639.43+1375.27+2464.93+8191.25+1457.5+15160.6</f>
        <v>38578.92</v>
      </c>
    </row>
    <row r="153" spans="1:36" s="179" customFormat="1" ht="204.75" x14ac:dyDescent="0.25">
      <c r="A153" s="6">
        <v>150</v>
      </c>
      <c r="B153" s="11">
        <v>136177</v>
      </c>
      <c r="C153" s="88">
        <v>819</v>
      </c>
      <c r="D153" s="9" t="s">
        <v>1639</v>
      </c>
      <c r="E153" s="24" t="s">
        <v>1441</v>
      </c>
      <c r="F153" s="11" t="s">
        <v>1532</v>
      </c>
      <c r="G153" s="31" t="s">
        <v>1533</v>
      </c>
      <c r="H153" s="8" t="s">
        <v>151</v>
      </c>
      <c r="I153" s="12" t="s">
        <v>2697</v>
      </c>
      <c r="J153" s="25">
        <v>43998</v>
      </c>
      <c r="K153" s="25">
        <v>44850</v>
      </c>
      <c r="L153" s="26">
        <f t="shared" si="69"/>
        <v>85</v>
      </c>
      <c r="M153" s="11">
        <v>5</v>
      </c>
      <c r="N153" s="11" t="s">
        <v>182</v>
      </c>
      <c r="O153" s="11" t="s">
        <v>1534</v>
      </c>
      <c r="P153" s="27" t="s">
        <v>174</v>
      </c>
      <c r="Q153" s="11" t="s">
        <v>34</v>
      </c>
      <c r="R153" s="1">
        <f t="shared" si="70"/>
        <v>2537310.1800000002</v>
      </c>
      <c r="S153" s="2">
        <v>2537310.1800000002</v>
      </c>
      <c r="T153" s="2">
        <v>0</v>
      </c>
      <c r="U153" s="1">
        <f t="shared" si="71"/>
        <v>388059.2</v>
      </c>
      <c r="V153" s="28">
        <v>388059.2</v>
      </c>
      <c r="W153" s="28">
        <v>0</v>
      </c>
      <c r="X153" s="1">
        <f t="shared" si="72"/>
        <v>59701.42</v>
      </c>
      <c r="Y153" s="2">
        <v>59701.42</v>
      </c>
      <c r="Z153" s="2">
        <v>0</v>
      </c>
      <c r="AA153" s="2">
        <f t="shared" si="73"/>
        <v>0</v>
      </c>
      <c r="AB153" s="2">
        <v>0</v>
      </c>
      <c r="AC153" s="2">
        <v>0</v>
      </c>
      <c r="AD153" s="16">
        <f t="shared" si="64"/>
        <v>2985070.8000000003</v>
      </c>
      <c r="AE153" s="2">
        <v>0</v>
      </c>
      <c r="AF153" s="2">
        <f t="shared" si="74"/>
        <v>2985070.8000000003</v>
      </c>
      <c r="AG153" s="38" t="s">
        <v>486</v>
      </c>
      <c r="AH153" s="29" t="s">
        <v>1951</v>
      </c>
      <c r="AI153" s="30">
        <f>33929.88+132830.35+55079.15+30068.75+39902.4+31300.4+353070.46</f>
        <v>676181.39000000013</v>
      </c>
      <c r="AJ153" s="30">
        <f>5189.27+20315.23+8423.87+4598.75+6102.72+4787.12+53999.01</f>
        <v>103415.97</v>
      </c>
    </row>
    <row r="154" spans="1:36" s="179" customFormat="1" ht="267.75" x14ac:dyDescent="0.25">
      <c r="A154" s="6">
        <v>151</v>
      </c>
      <c r="B154" s="11">
        <v>135941</v>
      </c>
      <c r="C154" s="88">
        <v>775</v>
      </c>
      <c r="D154" s="9" t="s">
        <v>1639</v>
      </c>
      <c r="E154" s="24" t="s">
        <v>1441</v>
      </c>
      <c r="F154" s="11" t="s">
        <v>1558</v>
      </c>
      <c r="G154" s="31" t="s">
        <v>1559</v>
      </c>
      <c r="H154" s="8" t="s">
        <v>151</v>
      </c>
      <c r="I154" s="12" t="s">
        <v>2698</v>
      </c>
      <c r="J154" s="25">
        <v>44014</v>
      </c>
      <c r="K154" s="25">
        <v>44653</v>
      </c>
      <c r="L154" s="26">
        <f t="shared" si="69"/>
        <v>85.000000048627584</v>
      </c>
      <c r="M154" s="11">
        <v>5</v>
      </c>
      <c r="N154" s="11" t="s">
        <v>182</v>
      </c>
      <c r="O154" s="11" t="s">
        <v>1560</v>
      </c>
      <c r="P154" s="27" t="s">
        <v>174</v>
      </c>
      <c r="Q154" s="11" t="s">
        <v>34</v>
      </c>
      <c r="R154" s="1">
        <f t="shared" si="70"/>
        <v>2621969</v>
      </c>
      <c r="S154" s="2">
        <v>2621969</v>
      </c>
      <c r="T154" s="2">
        <v>0</v>
      </c>
      <c r="U154" s="1">
        <f t="shared" si="71"/>
        <v>401007.02</v>
      </c>
      <c r="V154" s="28">
        <v>401007.02</v>
      </c>
      <c r="W154" s="28">
        <v>0</v>
      </c>
      <c r="X154" s="1">
        <f t="shared" si="72"/>
        <v>61693.39</v>
      </c>
      <c r="Y154" s="2">
        <v>61693.39</v>
      </c>
      <c r="Z154" s="2">
        <v>0</v>
      </c>
      <c r="AA154" s="2">
        <f t="shared" si="73"/>
        <v>0</v>
      </c>
      <c r="AB154" s="2">
        <v>0</v>
      </c>
      <c r="AC154" s="2">
        <v>0</v>
      </c>
      <c r="AD154" s="16">
        <f t="shared" si="64"/>
        <v>3084669.41</v>
      </c>
      <c r="AE154" s="2">
        <v>0</v>
      </c>
      <c r="AF154" s="2">
        <f t="shared" si="74"/>
        <v>3084669.41</v>
      </c>
      <c r="AG154" s="38" t="s">
        <v>857</v>
      </c>
      <c r="AH154" s="29" t="s">
        <v>1842</v>
      </c>
      <c r="AI154" s="30">
        <f>180987.13-16741.02+34854.48+1698328.73-7065.69+18264.47+298392.5+73210.4+299097.91+1255.3</f>
        <v>2580584.21</v>
      </c>
      <c r="AJ154" s="30">
        <f>16741.02+3003.78+259744.4+7065.69+45636.5+3305.12+56593.09+2587.99</f>
        <v>394677.58999999997</v>
      </c>
    </row>
    <row r="155" spans="1:36" s="179" customFormat="1" ht="204.75" x14ac:dyDescent="0.25">
      <c r="A155" s="6">
        <v>152</v>
      </c>
      <c r="B155" s="11">
        <v>135985</v>
      </c>
      <c r="C155" s="88">
        <v>776</v>
      </c>
      <c r="D155" s="9" t="s">
        <v>1639</v>
      </c>
      <c r="E155" s="24" t="s">
        <v>1441</v>
      </c>
      <c r="F155" s="11" t="s">
        <v>1561</v>
      </c>
      <c r="G155" s="31" t="s">
        <v>947</v>
      </c>
      <c r="H155" s="8" t="s">
        <v>151</v>
      </c>
      <c r="I155" s="12" t="s">
        <v>2699</v>
      </c>
      <c r="J155" s="25">
        <v>44014</v>
      </c>
      <c r="K155" s="25">
        <v>44744</v>
      </c>
      <c r="L155" s="26">
        <f t="shared" si="69"/>
        <v>85.000000029098828</v>
      </c>
      <c r="M155" s="11">
        <v>5</v>
      </c>
      <c r="N155" s="11" t="s">
        <v>182</v>
      </c>
      <c r="O155" s="11" t="s">
        <v>183</v>
      </c>
      <c r="P155" s="27" t="s">
        <v>174</v>
      </c>
      <c r="Q155" s="11" t="s">
        <v>34</v>
      </c>
      <c r="R155" s="1">
        <f t="shared" si="70"/>
        <v>1460540.61</v>
      </c>
      <c r="S155" s="2">
        <v>1460540.61</v>
      </c>
      <c r="T155" s="2">
        <v>0</v>
      </c>
      <c r="U155" s="1">
        <f t="shared" si="71"/>
        <v>223376.8</v>
      </c>
      <c r="V155" s="28">
        <v>223376.8</v>
      </c>
      <c r="W155" s="28">
        <v>0</v>
      </c>
      <c r="X155" s="1">
        <f t="shared" si="72"/>
        <v>34365.660000000003</v>
      </c>
      <c r="Y155" s="2">
        <v>34365.660000000003</v>
      </c>
      <c r="Z155" s="2">
        <v>0</v>
      </c>
      <c r="AA155" s="2">
        <f t="shared" si="73"/>
        <v>0</v>
      </c>
      <c r="AB155" s="2">
        <v>0</v>
      </c>
      <c r="AC155" s="2">
        <v>0</v>
      </c>
      <c r="AD155" s="16">
        <f t="shared" si="64"/>
        <v>1718283.07</v>
      </c>
      <c r="AE155" s="2">
        <v>0</v>
      </c>
      <c r="AF155" s="2">
        <f t="shared" si="74"/>
        <v>1718283.07</v>
      </c>
      <c r="AG155" s="38" t="s">
        <v>857</v>
      </c>
      <c r="AH155" s="29" t="s">
        <v>1955</v>
      </c>
      <c r="AI155" s="30">
        <f>47797.2+219320.51+594785.37+201288.5+289440.07</f>
        <v>1352631.6500000001</v>
      </c>
      <c r="AJ155" s="30">
        <f>7310.16+33543.14+90967.18+30785.3+44267.31</f>
        <v>206873.08999999997</v>
      </c>
    </row>
    <row r="156" spans="1:36" s="179" customFormat="1" ht="141.75" x14ac:dyDescent="0.25">
      <c r="A156" s="6">
        <v>153</v>
      </c>
      <c r="B156" s="11">
        <v>135341</v>
      </c>
      <c r="C156" s="11">
        <v>835</v>
      </c>
      <c r="D156" s="9" t="s">
        <v>1639</v>
      </c>
      <c r="E156" s="24" t="s">
        <v>1441</v>
      </c>
      <c r="F156" s="11" t="s">
        <v>1600</v>
      </c>
      <c r="G156" s="11" t="s">
        <v>1652</v>
      </c>
      <c r="H156" s="8" t="s">
        <v>151</v>
      </c>
      <c r="I156" s="12" t="s">
        <v>2700</v>
      </c>
      <c r="J156" s="25">
        <v>44048</v>
      </c>
      <c r="K156" s="25">
        <v>44870</v>
      </c>
      <c r="L156" s="26">
        <f t="shared" si="69"/>
        <v>85</v>
      </c>
      <c r="M156" s="11">
        <v>5</v>
      </c>
      <c r="N156" s="11" t="s">
        <v>182</v>
      </c>
      <c r="O156" s="11" t="s">
        <v>394</v>
      </c>
      <c r="P156" s="27" t="s">
        <v>174</v>
      </c>
      <c r="Q156" s="11" t="s">
        <v>34</v>
      </c>
      <c r="R156" s="1">
        <f t="shared" si="70"/>
        <v>3399981.3</v>
      </c>
      <c r="S156" s="2">
        <v>3399981.3</v>
      </c>
      <c r="T156" s="2">
        <v>0</v>
      </c>
      <c r="U156" s="1">
        <f t="shared" si="71"/>
        <v>519997.14</v>
      </c>
      <c r="V156" s="28">
        <v>519997.14</v>
      </c>
      <c r="W156" s="28">
        <v>0</v>
      </c>
      <c r="X156" s="1">
        <f t="shared" si="72"/>
        <v>79999.56</v>
      </c>
      <c r="Y156" s="2">
        <v>79999.56</v>
      </c>
      <c r="Z156" s="2">
        <v>0</v>
      </c>
      <c r="AA156" s="2">
        <f t="shared" si="73"/>
        <v>0</v>
      </c>
      <c r="AB156" s="2">
        <v>0</v>
      </c>
      <c r="AC156" s="2">
        <v>0</v>
      </c>
      <c r="AD156" s="16">
        <f t="shared" si="64"/>
        <v>3999978</v>
      </c>
      <c r="AE156" s="2">
        <v>49980</v>
      </c>
      <c r="AF156" s="2">
        <f t="shared" si="74"/>
        <v>4049958</v>
      </c>
      <c r="AG156" s="38" t="s">
        <v>486</v>
      </c>
      <c r="AH156" s="29" t="s">
        <v>151</v>
      </c>
      <c r="AI156" s="30">
        <f>859.78+2743800</f>
        <v>2744659.78</v>
      </c>
      <c r="AJ156" s="30">
        <f>131.5+419640</f>
        <v>419771.5</v>
      </c>
    </row>
    <row r="157" spans="1:36" s="179" customFormat="1" ht="141.75" x14ac:dyDescent="0.25">
      <c r="A157" s="6">
        <v>154</v>
      </c>
      <c r="B157" s="11">
        <v>152139</v>
      </c>
      <c r="C157" s="88">
        <v>1137</v>
      </c>
      <c r="D157" s="9" t="s">
        <v>1640</v>
      </c>
      <c r="E157" s="24" t="s">
        <v>1807</v>
      </c>
      <c r="F157" s="11" t="s">
        <v>1845</v>
      </c>
      <c r="G157" s="11" t="s">
        <v>1652</v>
      </c>
      <c r="H157" s="8" t="s">
        <v>151</v>
      </c>
      <c r="I157" s="12" t="s">
        <v>1846</v>
      </c>
      <c r="J157" s="25">
        <v>44496</v>
      </c>
      <c r="K157" s="25">
        <v>44861</v>
      </c>
      <c r="L157" s="26">
        <f t="shared" si="69"/>
        <v>85.000000000000014</v>
      </c>
      <c r="M157" s="11">
        <v>5</v>
      </c>
      <c r="N157" s="11" t="s">
        <v>182</v>
      </c>
      <c r="O157" s="11" t="s">
        <v>394</v>
      </c>
      <c r="P157" s="27" t="s">
        <v>174</v>
      </c>
      <c r="Q157" s="11" t="s">
        <v>34</v>
      </c>
      <c r="R157" s="1">
        <f t="shared" si="70"/>
        <v>352608.9</v>
      </c>
      <c r="S157" s="2">
        <v>352608.9</v>
      </c>
      <c r="T157" s="2">
        <v>0</v>
      </c>
      <c r="U157" s="1">
        <f t="shared" si="71"/>
        <v>53928.42</v>
      </c>
      <c r="V157" s="28">
        <v>53928.42</v>
      </c>
      <c r="W157" s="28">
        <v>0</v>
      </c>
      <c r="X157" s="1">
        <f t="shared" si="72"/>
        <v>8296.68</v>
      </c>
      <c r="Y157" s="2">
        <v>8296.68</v>
      </c>
      <c r="Z157" s="2">
        <v>0</v>
      </c>
      <c r="AA157" s="2">
        <f t="shared" si="73"/>
        <v>0</v>
      </c>
      <c r="AB157" s="2">
        <v>0</v>
      </c>
      <c r="AC157" s="2">
        <v>0</v>
      </c>
      <c r="AD157" s="16">
        <f t="shared" si="64"/>
        <v>414834</v>
      </c>
      <c r="AE157" s="2">
        <v>0</v>
      </c>
      <c r="AF157" s="2">
        <f t="shared" si="74"/>
        <v>414834</v>
      </c>
      <c r="AG157" s="38" t="s">
        <v>486</v>
      </c>
      <c r="AH157" s="29" t="s">
        <v>151</v>
      </c>
      <c r="AI157" s="30">
        <v>631.91</v>
      </c>
      <c r="AJ157" s="30">
        <v>96.64</v>
      </c>
    </row>
    <row r="158" spans="1:36" s="179" customFormat="1" ht="393.75" x14ac:dyDescent="0.25">
      <c r="A158" s="6">
        <v>155</v>
      </c>
      <c r="B158" s="11">
        <v>155153</v>
      </c>
      <c r="C158" s="88">
        <v>1235</v>
      </c>
      <c r="D158" s="9" t="s">
        <v>1639</v>
      </c>
      <c r="E158" s="24" t="s">
        <v>2024</v>
      </c>
      <c r="F158" s="11" t="s">
        <v>2093</v>
      </c>
      <c r="G158" s="31" t="s">
        <v>1150</v>
      </c>
      <c r="H158" s="8" t="s">
        <v>151</v>
      </c>
      <c r="I158" s="12" t="s">
        <v>2094</v>
      </c>
      <c r="J158" s="25">
        <v>44655</v>
      </c>
      <c r="K158" s="25">
        <v>45142</v>
      </c>
      <c r="L158" s="26">
        <f t="shared" si="69"/>
        <v>85</v>
      </c>
      <c r="M158" s="11">
        <v>5</v>
      </c>
      <c r="N158" s="11" t="s">
        <v>182</v>
      </c>
      <c r="O158" s="11" t="s">
        <v>1115</v>
      </c>
      <c r="P158" s="27" t="str">
        <f>P156</f>
        <v>APL</v>
      </c>
      <c r="Q158" s="11" t="str">
        <f>Q156</f>
        <v>119 - Investiții în capacitatea instituțională și în eficiența administrațiilor și a serviciilor publice la nivel național, regional și local, în perspectiva realizării de reforme, a unei mai bune legiferări și a bunei guvernanțe</v>
      </c>
      <c r="R158" s="1">
        <f t="shared" si="70"/>
        <v>2876408.5</v>
      </c>
      <c r="S158" s="2">
        <v>2876408.5</v>
      </c>
      <c r="T158" s="2">
        <v>0</v>
      </c>
      <c r="U158" s="1">
        <f t="shared" si="71"/>
        <v>439921.3</v>
      </c>
      <c r="V158" s="28">
        <v>439921.3</v>
      </c>
      <c r="W158" s="28">
        <v>0</v>
      </c>
      <c r="X158" s="1">
        <f t="shared" si="72"/>
        <v>67680.2</v>
      </c>
      <c r="Y158" s="2">
        <v>67680.2</v>
      </c>
      <c r="Z158" s="2">
        <v>0</v>
      </c>
      <c r="AA158" s="2">
        <f t="shared" si="73"/>
        <v>0</v>
      </c>
      <c r="AB158" s="2">
        <v>0</v>
      </c>
      <c r="AC158" s="2">
        <v>0</v>
      </c>
      <c r="AD158" s="16">
        <f t="shared" si="64"/>
        <v>3384010</v>
      </c>
      <c r="AE158" s="2">
        <v>0</v>
      </c>
      <c r="AF158" s="2">
        <f t="shared" si="74"/>
        <v>3384010</v>
      </c>
      <c r="AG158" s="38" t="s">
        <v>486</v>
      </c>
      <c r="AH158" s="29"/>
      <c r="AI158" s="30">
        <v>0</v>
      </c>
      <c r="AJ158" s="30">
        <v>0</v>
      </c>
    </row>
    <row r="159" spans="1:36" s="179" customFormat="1" ht="283.5" x14ac:dyDescent="0.25">
      <c r="A159" s="6">
        <v>156</v>
      </c>
      <c r="B159" s="11">
        <v>155157</v>
      </c>
      <c r="C159" s="88">
        <v>1240</v>
      </c>
      <c r="D159" s="9" t="s">
        <v>1639</v>
      </c>
      <c r="E159" s="24" t="s">
        <v>2024</v>
      </c>
      <c r="F159" s="11" t="s">
        <v>2137</v>
      </c>
      <c r="G159" s="31" t="s">
        <v>1533</v>
      </c>
      <c r="H159" s="8" t="s">
        <v>151</v>
      </c>
      <c r="I159" s="12" t="s">
        <v>2138</v>
      </c>
      <c r="J159" s="25">
        <v>44664</v>
      </c>
      <c r="K159" s="25">
        <v>45151</v>
      </c>
      <c r="L159" s="26">
        <f t="shared" si="69"/>
        <v>85</v>
      </c>
      <c r="M159" s="11">
        <v>5</v>
      </c>
      <c r="N159" s="11" t="s">
        <v>182</v>
      </c>
      <c r="O159" s="11" t="s">
        <v>1534</v>
      </c>
      <c r="P159" s="27" t="s">
        <v>174</v>
      </c>
      <c r="Q159" s="11" t="s">
        <v>34</v>
      </c>
      <c r="R159" s="1">
        <f t="shared" si="70"/>
        <v>2839590.75</v>
      </c>
      <c r="S159" s="2">
        <v>2839590.75</v>
      </c>
      <c r="T159" s="2">
        <v>0</v>
      </c>
      <c r="U159" s="1">
        <f t="shared" si="71"/>
        <v>434290.35</v>
      </c>
      <c r="V159" s="28">
        <v>434290.35</v>
      </c>
      <c r="W159" s="28">
        <v>0</v>
      </c>
      <c r="X159" s="1">
        <f t="shared" si="72"/>
        <v>66813.899999999994</v>
      </c>
      <c r="Y159" s="2">
        <v>66813.899999999994</v>
      </c>
      <c r="Z159" s="2">
        <v>0</v>
      </c>
      <c r="AA159" s="2">
        <f t="shared" si="73"/>
        <v>0</v>
      </c>
      <c r="AB159" s="2">
        <v>0</v>
      </c>
      <c r="AC159" s="2">
        <v>0</v>
      </c>
      <c r="AD159" s="16">
        <f t="shared" si="64"/>
        <v>3340695</v>
      </c>
      <c r="AE159" s="2">
        <v>0</v>
      </c>
      <c r="AF159" s="2">
        <f t="shared" si="74"/>
        <v>3340695</v>
      </c>
      <c r="AG159" s="38" t="s">
        <v>486</v>
      </c>
      <c r="AH159" s="29"/>
      <c r="AI159" s="30">
        <v>0</v>
      </c>
      <c r="AJ159" s="30">
        <v>0</v>
      </c>
    </row>
    <row r="160" spans="1:36" s="179" customFormat="1" ht="236.25" x14ac:dyDescent="0.25">
      <c r="A160" s="6">
        <v>157</v>
      </c>
      <c r="B160" s="11">
        <v>154788</v>
      </c>
      <c r="C160" s="88">
        <v>1178</v>
      </c>
      <c r="D160" s="9" t="s">
        <v>1639</v>
      </c>
      <c r="E160" s="24" t="s">
        <v>2024</v>
      </c>
      <c r="F160" s="11" t="s">
        <v>2178</v>
      </c>
      <c r="G160" s="31" t="s">
        <v>1559</v>
      </c>
      <c r="H160" s="8" t="s">
        <v>151</v>
      </c>
      <c r="I160" s="12" t="s">
        <v>2701</v>
      </c>
      <c r="J160" s="25">
        <v>44672</v>
      </c>
      <c r="K160" s="25">
        <v>45159</v>
      </c>
      <c r="L160" s="26">
        <f t="shared" si="69"/>
        <v>85.000000387650871</v>
      </c>
      <c r="M160" s="11">
        <v>5</v>
      </c>
      <c r="N160" s="11" t="s">
        <v>182</v>
      </c>
      <c r="O160" s="11" t="s">
        <v>1560</v>
      </c>
      <c r="P160" s="27" t="s">
        <v>174</v>
      </c>
      <c r="Q160" s="11" t="s">
        <v>34</v>
      </c>
      <c r="R160" s="1">
        <f t="shared" si="70"/>
        <v>2740868.49</v>
      </c>
      <c r="S160" s="2">
        <v>2740868.49</v>
      </c>
      <c r="T160" s="2">
        <v>0</v>
      </c>
      <c r="U160" s="1">
        <f>V160+W160</f>
        <v>419191.63</v>
      </c>
      <c r="V160" s="28">
        <v>419191.63</v>
      </c>
      <c r="W160" s="28">
        <v>0</v>
      </c>
      <c r="X160" s="1">
        <f t="shared" si="72"/>
        <v>64491.03</v>
      </c>
      <c r="Y160" s="2">
        <v>64491.03</v>
      </c>
      <c r="Z160" s="2">
        <v>0</v>
      </c>
      <c r="AA160" s="2">
        <f t="shared" si="73"/>
        <v>0</v>
      </c>
      <c r="AB160" s="2">
        <v>0</v>
      </c>
      <c r="AC160" s="2">
        <v>0</v>
      </c>
      <c r="AD160" s="16">
        <f t="shared" si="64"/>
        <v>3224551.15</v>
      </c>
      <c r="AE160" s="2">
        <v>0</v>
      </c>
      <c r="AF160" s="2">
        <f t="shared" si="74"/>
        <v>3224551.15</v>
      </c>
      <c r="AG160" s="38" t="s">
        <v>486</v>
      </c>
      <c r="AH160" s="29"/>
      <c r="AI160" s="30">
        <v>32000</v>
      </c>
      <c r="AJ160" s="30">
        <v>0</v>
      </c>
    </row>
    <row r="161" spans="1:36" s="179" customFormat="1" ht="157.5" x14ac:dyDescent="0.25">
      <c r="A161" s="6">
        <v>158</v>
      </c>
      <c r="B161" s="11">
        <v>155147</v>
      </c>
      <c r="C161" s="88">
        <v>1205</v>
      </c>
      <c r="D161" s="9" t="s">
        <v>1639</v>
      </c>
      <c r="E161" s="24" t="s">
        <v>2024</v>
      </c>
      <c r="F161" s="11" t="s">
        <v>2185</v>
      </c>
      <c r="G161" s="31" t="s">
        <v>947</v>
      </c>
      <c r="H161" s="8" t="s">
        <v>151</v>
      </c>
      <c r="I161" s="12" t="s">
        <v>2702</v>
      </c>
      <c r="J161" s="25">
        <v>44679</v>
      </c>
      <c r="K161" s="25">
        <v>45105</v>
      </c>
      <c r="L161" s="26">
        <f t="shared" si="69"/>
        <v>84.999999999999986</v>
      </c>
      <c r="M161" s="11">
        <v>5</v>
      </c>
      <c r="N161" s="11" t="s">
        <v>182</v>
      </c>
      <c r="O161" s="11" t="s">
        <v>183</v>
      </c>
      <c r="P161" s="27" t="s">
        <v>174</v>
      </c>
      <c r="Q161" s="11" t="s">
        <v>34</v>
      </c>
      <c r="R161" s="1">
        <f t="shared" si="70"/>
        <v>2541158.98</v>
      </c>
      <c r="S161" s="2">
        <v>2541158.98</v>
      </c>
      <c r="T161" s="2">
        <v>0</v>
      </c>
      <c r="U161" s="1">
        <f>V161+W161</f>
        <v>388647.85</v>
      </c>
      <c r="V161" s="28">
        <v>388647.85</v>
      </c>
      <c r="W161" s="28">
        <v>0</v>
      </c>
      <c r="X161" s="1">
        <f t="shared" si="72"/>
        <v>59791.97</v>
      </c>
      <c r="Y161" s="2">
        <v>59791.97</v>
      </c>
      <c r="Z161" s="2">
        <v>0</v>
      </c>
      <c r="AA161" s="2">
        <f t="shared" si="73"/>
        <v>0</v>
      </c>
      <c r="AB161" s="2">
        <v>0</v>
      </c>
      <c r="AC161" s="2">
        <v>0</v>
      </c>
      <c r="AD161" s="16">
        <f t="shared" si="64"/>
        <v>2989598.8000000003</v>
      </c>
      <c r="AE161" s="2">
        <v>0</v>
      </c>
      <c r="AF161" s="2">
        <f t="shared" si="74"/>
        <v>2989598.8000000003</v>
      </c>
      <c r="AG161" s="38" t="s">
        <v>486</v>
      </c>
      <c r="AH161" s="29"/>
      <c r="AI161" s="30">
        <v>0</v>
      </c>
      <c r="AJ161" s="30">
        <v>0</v>
      </c>
    </row>
    <row r="162" spans="1:36" s="179" customFormat="1" ht="141.75" x14ac:dyDescent="0.25">
      <c r="A162" s="6">
        <v>159</v>
      </c>
      <c r="B162" s="11">
        <v>120642</v>
      </c>
      <c r="C162" s="11">
        <v>84</v>
      </c>
      <c r="D162" s="9" t="s">
        <v>1639</v>
      </c>
      <c r="E162" s="24" t="s">
        <v>277</v>
      </c>
      <c r="F162" s="11" t="s">
        <v>278</v>
      </c>
      <c r="G162" s="11" t="s">
        <v>279</v>
      </c>
      <c r="H162" s="8" t="s">
        <v>151</v>
      </c>
      <c r="I162" s="45" t="s">
        <v>431</v>
      </c>
      <c r="J162" s="25">
        <v>43175</v>
      </c>
      <c r="K162" s="25">
        <v>43662</v>
      </c>
      <c r="L162" s="26">
        <f t="shared" ref="L162:L176" si="75">R162/AD162*100</f>
        <v>84.999998716744599</v>
      </c>
      <c r="M162" s="11">
        <v>2</v>
      </c>
      <c r="N162" s="11" t="s">
        <v>280</v>
      </c>
      <c r="O162" s="11" t="s">
        <v>281</v>
      </c>
      <c r="P162" s="27" t="s">
        <v>174</v>
      </c>
      <c r="Q162" s="11" t="s">
        <v>34</v>
      </c>
      <c r="R162" s="1">
        <f t="shared" ref="R162:R176" si="76">S162+T162</f>
        <v>264951.15000000002</v>
      </c>
      <c r="S162" s="2">
        <v>264951.15000000002</v>
      </c>
      <c r="T162" s="2">
        <v>0</v>
      </c>
      <c r="U162" s="1">
        <f t="shared" ref="U162:U178" si="77">V162+W162</f>
        <v>40521.949999999997</v>
      </c>
      <c r="V162" s="28">
        <v>40521.949999999997</v>
      </c>
      <c r="W162" s="28">
        <v>0</v>
      </c>
      <c r="X162" s="1">
        <f t="shared" ref="X162:X178" si="78">Y162+Z162</f>
        <v>6234.14</v>
      </c>
      <c r="Y162" s="2">
        <v>6234.14</v>
      </c>
      <c r="Z162" s="2">
        <v>0</v>
      </c>
      <c r="AA162" s="2">
        <f t="shared" ref="AA162:AA176" si="79">AB162+AC162</f>
        <v>0</v>
      </c>
      <c r="AB162" s="2">
        <v>0</v>
      </c>
      <c r="AC162" s="2">
        <v>0</v>
      </c>
      <c r="AD162" s="16">
        <f t="shared" si="64"/>
        <v>311707.24000000005</v>
      </c>
      <c r="AE162" s="2">
        <v>0</v>
      </c>
      <c r="AF162" s="2">
        <f t="shared" ref="AF162:AF176" si="80">AD162+AE162</f>
        <v>311707.24000000005</v>
      </c>
      <c r="AG162" s="21" t="s">
        <v>857</v>
      </c>
      <c r="AH162" s="29" t="s">
        <v>151</v>
      </c>
      <c r="AI162" s="30">
        <v>161700.98000000001</v>
      </c>
      <c r="AJ162" s="30">
        <v>24730.730000000003</v>
      </c>
    </row>
    <row r="163" spans="1:36" s="179" customFormat="1" ht="141.75" x14ac:dyDescent="0.25">
      <c r="A163" s="6">
        <v>160</v>
      </c>
      <c r="B163" s="31">
        <v>116521</v>
      </c>
      <c r="C163" s="11">
        <v>405</v>
      </c>
      <c r="D163" s="32" t="s">
        <v>1640</v>
      </c>
      <c r="E163" s="32" t="s">
        <v>507</v>
      </c>
      <c r="F163" s="11" t="s">
        <v>661</v>
      </c>
      <c r="G163" s="11" t="s">
        <v>1590</v>
      </c>
      <c r="H163" s="8" t="s">
        <v>151</v>
      </c>
      <c r="I163" s="32" t="s">
        <v>662</v>
      </c>
      <c r="J163" s="25">
        <v>43304</v>
      </c>
      <c r="K163" s="25">
        <v>43792</v>
      </c>
      <c r="L163" s="26">
        <f t="shared" si="75"/>
        <v>85.000001706742694</v>
      </c>
      <c r="M163" s="11">
        <v>2</v>
      </c>
      <c r="N163" s="11" t="s">
        <v>280</v>
      </c>
      <c r="O163" s="11" t="s">
        <v>280</v>
      </c>
      <c r="P163" s="11" t="s">
        <v>174</v>
      </c>
      <c r="Q163" s="11" t="s">
        <v>34</v>
      </c>
      <c r="R163" s="1">
        <f t="shared" si="76"/>
        <v>249012.35</v>
      </c>
      <c r="S163" s="30">
        <v>249012.35</v>
      </c>
      <c r="T163" s="30">
        <v>0</v>
      </c>
      <c r="U163" s="1">
        <f t="shared" si="77"/>
        <v>38084.239999999998</v>
      </c>
      <c r="V163" s="42">
        <v>38084.239999999998</v>
      </c>
      <c r="W163" s="42">
        <v>0</v>
      </c>
      <c r="X163" s="1">
        <f t="shared" si="78"/>
        <v>5859.11</v>
      </c>
      <c r="Y163" s="30">
        <v>5859.11</v>
      </c>
      <c r="Z163" s="30">
        <v>0</v>
      </c>
      <c r="AA163" s="2">
        <f t="shared" si="79"/>
        <v>0</v>
      </c>
      <c r="AB163" s="30">
        <v>0</v>
      </c>
      <c r="AC163" s="30">
        <v>0</v>
      </c>
      <c r="AD163" s="16">
        <f t="shared" si="64"/>
        <v>292955.7</v>
      </c>
      <c r="AE163" s="38">
        <v>0</v>
      </c>
      <c r="AF163" s="2">
        <f t="shared" si="80"/>
        <v>292955.7</v>
      </c>
      <c r="AG163" s="21" t="s">
        <v>857</v>
      </c>
      <c r="AH163" s="38"/>
      <c r="AI163" s="30">
        <v>201942.88</v>
      </c>
      <c r="AJ163" s="30">
        <f>9579.42+5275.29+1268.05+14762.58</f>
        <v>30885.339999999997</v>
      </c>
    </row>
    <row r="164" spans="1:36" s="179" customFormat="1" ht="189" x14ac:dyDescent="0.25">
      <c r="A164" s="6">
        <v>161</v>
      </c>
      <c r="B164" s="31">
        <v>126409</v>
      </c>
      <c r="C164" s="11">
        <v>551</v>
      </c>
      <c r="D164" s="9" t="s">
        <v>1639</v>
      </c>
      <c r="E164" s="32" t="s">
        <v>899</v>
      </c>
      <c r="F164" s="11" t="s">
        <v>917</v>
      </c>
      <c r="G164" s="11" t="s">
        <v>1590</v>
      </c>
      <c r="H164" s="8" t="s">
        <v>151</v>
      </c>
      <c r="I164" s="32" t="s">
        <v>2703</v>
      </c>
      <c r="J164" s="25">
        <v>43439</v>
      </c>
      <c r="K164" s="25">
        <v>44931</v>
      </c>
      <c r="L164" s="26">
        <f t="shared" si="75"/>
        <v>85.000000607988994</v>
      </c>
      <c r="M164" s="11">
        <v>2</v>
      </c>
      <c r="N164" s="11" t="s">
        <v>280</v>
      </c>
      <c r="O164" s="11" t="s">
        <v>280</v>
      </c>
      <c r="P164" s="11" t="s">
        <v>174</v>
      </c>
      <c r="Q164" s="11" t="s">
        <v>34</v>
      </c>
      <c r="R164" s="1">
        <f t="shared" si="76"/>
        <v>3075713.53</v>
      </c>
      <c r="S164" s="30">
        <v>3075713.53</v>
      </c>
      <c r="T164" s="30">
        <v>0</v>
      </c>
      <c r="U164" s="1">
        <f t="shared" si="77"/>
        <v>470403.21</v>
      </c>
      <c r="V164" s="42">
        <v>470403.21</v>
      </c>
      <c r="W164" s="42">
        <v>0</v>
      </c>
      <c r="X164" s="1">
        <f t="shared" si="78"/>
        <v>72369.740000000005</v>
      </c>
      <c r="Y164" s="30">
        <v>72369.740000000005</v>
      </c>
      <c r="Z164" s="30">
        <v>0</v>
      </c>
      <c r="AA164" s="2">
        <f t="shared" si="79"/>
        <v>0</v>
      </c>
      <c r="AB164" s="30">
        <v>0</v>
      </c>
      <c r="AC164" s="30">
        <v>0</v>
      </c>
      <c r="AD164" s="16">
        <f t="shared" si="64"/>
        <v>3618486.48</v>
      </c>
      <c r="AE164" s="38">
        <v>0</v>
      </c>
      <c r="AF164" s="2">
        <f t="shared" si="80"/>
        <v>3618486.48</v>
      </c>
      <c r="AG164" s="38" t="s">
        <v>486</v>
      </c>
      <c r="AH164" s="38" t="s">
        <v>1669</v>
      </c>
      <c r="AI164" s="30">
        <f>183107.25+130271.09+133951.13+97196.32+126539.04+168904.53+126539.04+199170.93</f>
        <v>1165679.33</v>
      </c>
      <c r="AJ164" s="30">
        <f>28004.63+19923.81+20486.64+14865.32+19353.03+25832.46+19353.03+30461.42</f>
        <v>178280.33999999997</v>
      </c>
    </row>
    <row r="165" spans="1:36" s="179" customFormat="1" ht="141.75" x14ac:dyDescent="0.25">
      <c r="A165" s="6">
        <v>162</v>
      </c>
      <c r="B165" s="31">
        <v>125745</v>
      </c>
      <c r="C165" s="11">
        <v>531</v>
      </c>
      <c r="D165" s="9" t="s">
        <v>1639</v>
      </c>
      <c r="E165" s="32" t="s">
        <v>899</v>
      </c>
      <c r="F165" s="11" t="s">
        <v>1893</v>
      </c>
      <c r="G165" s="11" t="s">
        <v>1654</v>
      </c>
      <c r="H165" s="8" t="s">
        <v>151</v>
      </c>
      <c r="I165" s="32" t="s">
        <v>2704</v>
      </c>
      <c r="J165" s="25">
        <v>43550</v>
      </c>
      <c r="K165" s="25">
        <v>45011</v>
      </c>
      <c r="L165" s="26">
        <f t="shared" si="75"/>
        <v>85</v>
      </c>
      <c r="M165" s="11">
        <v>2</v>
      </c>
      <c r="N165" s="11" t="s">
        <v>280</v>
      </c>
      <c r="O165" s="11" t="s">
        <v>280</v>
      </c>
      <c r="P165" s="11" t="s">
        <v>174</v>
      </c>
      <c r="Q165" s="11" t="s">
        <v>34</v>
      </c>
      <c r="R165" s="1">
        <f t="shared" si="76"/>
        <v>1983050</v>
      </c>
      <c r="S165" s="30">
        <v>1983050</v>
      </c>
      <c r="T165" s="30">
        <v>0</v>
      </c>
      <c r="U165" s="1">
        <f t="shared" si="77"/>
        <v>303290</v>
      </c>
      <c r="V165" s="42">
        <v>303290</v>
      </c>
      <c r="W165" s="42">
        <v>0</v>
      </c>
      <c r="X165" s="1">
        <f t="shared" si="78"/>
        <v>46660</v>
      </c>
      <c r="Y165" s="30">
        <v>46660</v>
      </c>
      <c r="Z165" s="30">
        <v>0</v>
      </c>
      <c r="AA165" s="2">
        <f t="shared" si="79"/>
        <v>0</v>
      </c>
      <c r="AB165" s="30">
        <v>0</v>
      </c>
      <c r="AC165" s="30">
        <v>0</v>
      </c>
      <c r="AD165" s="16">
        <f t="shared" si="64"/>
        <v>2333000</v>
      </c>
      <c r="AE165" s="38">
        <v>0</v>
      </c>
      <c r="AF165" s="2">
        <f t="shared" si="80"/>
        <v>2333000</v>
      </c>
      <c r="AG165" s="38" t="s">
        <v>486</v>
      </c>
      <c r="AH165" s="38" t="s">
        <v>2020</v>
      </c>
      <c r="AI165" s="30">
        <f>1517.25+775063.14+83364.29+145583.17+1001.38+72791.59</f>
        <v>1079320.82</v>
      </c>
      <c r="AJ165" s="30">
        <f>232.05+118539.09+12749.84+22265.66+153.16+11132.83</f>
        <v>165072.63</v>
      </c>
    </row>
    <row r="166" spans="1:36" s="179" customFormat="1" ht="189" x14ac:dyDescent="0.25">
      <c r="A166" s="6">
        <v>163</v>
      </c>
      <c r="B166" s="31">
        <v>109686</v>
      </c>
      <c r="C166" s="31">
        <v>122</v>
      </c>
      <c r="D166" s="9" t="s">
        <v>1639</v>
      </c>
      <c r="E166" s="24" t="s">
        <v>277</v>
      </c>
      <c r="F166" s="11" t="s">
        <v>1175</v>
      </c>
      <c r="G166" s="11" t="s">
        <v>1590</v>
      </c>
      <c r="H166" s="8" t="s">
        <v>151</v>
      </c>
      <c r="I166" s="12" t="s">
        <v>539</v>
      </c>
      <c r="J166" s="25">
        <v>43276</v>
      </c>
      <c r="K166" s="25">
        <v>43763</v>
      </c>
      <c r="L166" s="26">
        <f t="shared" si="75"/>
        <v>85.000000118226325</v>
      </c>
      <c r="M166" s="11">
        <v>2</v>
      </c>
      <c r="N166" s="11" t="s">
        <v>280</v>
      </c>
      <c r="O166" s="11" t="s">
        <v>280</v>
      </c>
      <c r="P166" s="27" t="s">
        <v>174</v>
      </c>
      <c r="Q166" s="11" t="s">
        <v>34</v>
      </c>
      <c r="R166" s="2">
        <f t="shared" si="76"/>
        <v>359480.02</v>
      </c>
      <c r="S166" s="2">
        <v>359480.02</v>
      </c>
      <c r="T166" s="2">
        <v>0</v>
      </c>
      <c r="U166" s="1">
        <f t="shared" si="77"/>
        <v>54979.3</v>
      </c>
      <c r="V166" s="28">
        <v>54979.3</v>
      </c>
      <c r="W166" s="28">
        <v>0</v>
      </c>
      <c r="X166" s="1">
        <f t="shared" si="78"/>
        <v>8458.35</v>
      </c>
      <c r="Y166" s="2">
        <v>8458.35</v>
      </c>
      <c r="Z166" s="2">
        <v>0</v>
      </c>
      <c r="AA166" s="2">
        <f t="shared" si="79"/>
        <v>0</v>
      </c>
      <c r="AB166" s="2">
        <v>0</v>
      </c>
      <c r="AC166" s="2">
        <v>0</v>
      </c>
      <c r="AD166" s="16">
        <f t="shared" si="64"/>
        <v>422917.67</v>
      </c>
      <c r="AE166" s="2">
        <v>0</v>
      </c>
      <c r="AF166" s="2">
        <f t="shared" si="80"/>
        <v>422917.67</v>
      </c>
      <c r="AG166" s="21" t="s">
        <v>857</v>
      </c>
      <c r="AH166" s="29" t="s">
        <v>151</v>
      </c>
      <c r="AI166" s="30">
        <v>258837.34</v>
      </c>
      <c r="AJ166" s="30">
        <v>39586.89</v>
      </c>
    </row>
    <row r="167" spans="1:36" s="179" customFormat="1" ht="267.75" x14ac:dyDescent="0.25">
      <c r="A167" s="6">
        <v>164</v>
      </c>
      <c r="B167" s="31">
        <v>136064</v>
      </c>
      <c r="C167" s="31">
        <v>828</v>
      </c>
      <c r="D167" s="9" t="s">
        <v>1639</v>
      </c>
      <c r="E167" s="24" t="s">
        <v>1441</v>
      </c>
      <c r="F167" s="11" t="s">
        <v>1587</v>
      </c>
      <c r="G167" s="31" t="s">
        <v>279</v>
      </c>
      <c r="H167" s="8" t="s">
        <v>151</v>
      </c>
      <c r="I167" s="12" t="s">
        <v>2705</v>
      </c>
      <c r="J167" s="25">
        <v>44025</v>
      </c>
      <c r="K167" s="25">
        <v>44878</v>
      </c>
      <c r="L167" s="26">
        <f t="shared" si="75"/>
        <v>85.000000030293194</v>
      </c>
      <c r="M167" s="11">
        <v>2</v>
      </c>
      <c r="N167" s="11" t="s">
        <v>280</v>
      </c>
      <c r="O167" s="11" t="s">
        <v>281</v>
      </c>
      <c r="P167" s="27" t="s">
        <v>174</v>
      </c>
      <c r="Q167" s="11" t="s">
        <v>34</v>
      </c>
      <c r="R167" s="2">
        <f t="shared" si="76"/>
        <v>2805910.13</v>
      </c>
      <c r="S167" s="2">
        <v>2805910.13</v>
      </c>
      <c r="T167" s="2">
        <v>0</v>
      </c>
      <c r="U167" s="1">
        <f t="shared" si="77"/>
        <v>429139.20000000001</v>
      </c>
      <c r="V167" s="28">
        <v>429139.20000000001</v>
      </c>
      <c r="W167" s="28">
        <v>0</v>
      </c>
      <c r="X167" s="1">
        <f t="shared" si="78"/>
        <v>66021.41</v>
      </c>
      <c r="Y167" s="2">
        <v>66021.41</v>
      </c>
      <c r="Z167" s="2">
        <v>0</v>
      </c>
      <c r="AA167" s="2">
        <f t="shared" si="79"/>
        <v>0</v>
      </c>
      <c r="AB167" s="2">
        <v>0</v>
      </c>
      <c r="AC167" s="2">
        <v>0</v>
      </c>
      <c r="AD167" s="16">
        <f t="shared" si="64"/>
        <v>3301070.74</v>
      </c>
      <c r="AE167" s="2">
        <v>0</v>
      </c>
      <c r="AF167" s="2">
        <f t="shared" si="80"/>
        <v>3301070.74</v>
      </c>
      <c r="AG167" s="38" t="s">
        <v>486</v>
      </c>
      <c r="AH167" s="29" t="s">
        <v>1866</v>
      </c>
      <c r="AI167" s="30">
        <f>255188.7+321492.74+23599.4</f>
        <v>600280.84</v>
      </c>
      <c r="AJ167" s="30">
        <f>39028.86+49169.48+3609.32</f>
        <v>91807.66</v>
      </c>
    </row>
    <row r="168" spans="1:36" s="179" customFormat="1" ht="157.5" x14ac:dyDescent="0.25">
      <c r="A168" s="6">
        <v>165</v>
      </c>
      <c r="B168" s="31">
        <v>135502</v>
      </c>
      <c r="C168" s="31">
        <v>849</v>
      </c>
      <c r="D168" s="9" t="s">
        <v>1639</v>
      </c>
      <c r="E168" s="24" t="s">
        <v>1441</v>
      </c>
      <c r="F168" s="11" t="s">
        <v>1904</v>
      </c>
      <c r="G168" s="31" t="s">
        <v>1590</v>
      </c>
      <c r="H168" s="11" t="s">
        <v>1591</v>
      </c>
      <c r="I168" s="12" t="s">
        <v>2706</v>
      </c>
      <c r="J168" s="25">
        <v>44032</v>
      </c>
      <c r="K168" s="25">
        <v>44946</v>
      </c>
      <c r="L168" s="26">
        <f t="shared" si="75"/>
        <v>84.492445397023275</v>
      </c>
      <c r="M168" s="11">
        <v>2</v>
      </c>
      <c r="N168" s="11" t="s">
        <v>280</v>
      </c>
      <c r="O168" s="11" t="s">
        <v>280</v>
      </c>
      <c r="P168" s="27" t="s">
        <v>174</v>
      </c>
      <c r="Q168" s="11" t="s">
        <v>34</v>
      </c>
      <c r="R168" s="2">
        <f t="shared" si="76"/>
        <v>3125976.55</v>
      </c>
      <c r="S168" s="2">
        <v>3125976.55</v>
      </c>
      <c r="T168" s="2">
        <v>0</v>
      </c>
      <c r="U168" s="1">
        <f t="shared" si="77"/>
        <v>499740.52</v>
      </c>
      <c r="V168" s="28">
        <v>499740.52</v>
      </c>
      <c r="W168" s="28">
        <v>0</v>
      </c>
      <c r="X168" s="1">
        <f t="shared" si="78"/>
        <v>73994.23</v>
      </c>
      <c r="Y168" s="2">
        <v>73994.23</v>
      </c>
      <c r="Z168" s="2">
        <v>0</v>
      </c>
      <c r="AA168" s="2">
        <f t="shared" si="79"/>
        <v>0</v>
      </c>
      <c r="AB168" s="2">
        <v>0</v>
      </c>
      <c r="AC168" s="2">
        <v>0</v>
      </c>
      <c r="AD168" s="16">
        <f t="shared" si="64"/>
        <v>3699711.3</v>
      </c>
      <c r="AE168" s="2">
        <v>0</v>
      </c>
      <c r="AF168" s="2">
        <f t="shared" si="80"/>
        <v>3699711.3</v>
      </c>
      <c r="AG168" s="38" t="s">
        <v>486</v>
      </c>
      <c r="AH168" s="29" t="s">
        <v>3254</v>
      </c>
      <c r="AI168" s="30">
        <f>101000-5334.64-7508.09+112268.94+60282.54+93296+115256.38+13832.64+101000+92451.86+107528.1+81718.97</f>
        <v>865792.7</v>
      </c>
      <c r="AJ168" s="30">
        <f>5334.64+10222.53+1723.49+10638.1+16464+20339.36+20185.71+16100.84+18901.32+14420.99</f>
        <v>134330.97999999998</v>
      </c>
    </row>
    <row r="169" spans="1:36" s="179" customFormat="1" ht="189" x14ac:dyDescent="0.25">
      <c r="A169" s="6">
        <v>166</v>
      </c>
      <c r="B169" s="31">
        <v>135880</v>
      </c>
      <c r="C169" s="31">
        <v>854</v>
      </c>
      <c r="D169" s="9" t="s">
        <v>1639</v>
      </c>
      <c r="E169" s="24" t="s">
        <v>1441</v>
      </c>
      <c r="F169" s="11" t="s">
        <v>1611</v>
      </c>
      <c r="G169" s="31" t="s">
        <v>1612</v>
      </c>
      <c r="H169" s="11" t="s">
        <v>1613</v>
      </c>
      <c r="I169" s="12" t="s">
        <v>1614</v>
      </c>
      <c r="J169" s="25">
        <v>44050</v>
      </c>
      <c r="K169" s="25">
        <v>44841</v>
      </c>
      <c r="L169" s="26">
        <f t="shared" si="75"/>
        <v>84.337001452313444</v>
      </c>
      <c r="M169" s="11">
        <v>2</v>
      </c>
      <c r="N169" s="11" t="s">
        <v>280</v>
      </c>
      <c r="O169" s="11" t="s">
        <v>1615</v>
      </c>
      <c r="P169" s="27" t="s">
        <v>174</v>
      </c>
      <c r="Q169" s="11" t="s">
        <v>34</v>
      </c>
      <c r="R169" s="2">
        <f t="shared" si="76"/>
        <v>2240754.7000000002</v>
      </c>
      <c r="S169" s="2">
        <v>2240754.7000000002</v>
      </c>
      <c r="T169" s="2">
        <v>0</v>
      </c>
      <c r="U169" s="1">
        <f t="shared" si="77"/>
        <v>363013.19</v>
      </c>
      <c r="V169" s="28">
        <v>363013.19</v>
      </c>
      <c r="W169" s="28">
        <v>0</v>
      </c>
      <c r="X169" s="1">
        <f t="shared" si="78"/>
        <v>32414.09</v>
      </c>
      <c r="Y169" s="2">
        <v>32414.09</v>
      </c>
      <c r="Z169" s="2">
        <v>0</v>
      </c>
      <c r="AA169" s="2">
        <f t="shared" si="79"/>
        <v>20723.84</v>
      </c>
      <c r="AB169" s="2">
        <v>20723.84</v>
      </c>
      <c r="AC169" s="2">
        <v>0</v>
      </c>
      <c r="AD169" s="16">
        <f t="shared" si="64"/>
        <v>2656905.8199999998</v>
      </c>
      <c r="AE169" s="2">
        <v>0</v>
      </c>
      <c r="AF169" s="2">
        <f t="shared" si="80"/>
        <v>2656905.8199999998</v>
      </c>
      <c r="AG169" s="38" t="s">
        <v>486</v>
      </c>
      <c r="AH169" s="29"/>
      <c r="AI169" s="30">
        <f>265690.57-11802.77+78685.18-11027.93+167825.48-8670.03+192124.91+162070.57+21342.65+151276.14-11322.39</f>
        <v>996192.38</v>
      </c>
      <c r="AJ169" s="30">
        <f>11802.77+11027.93+25667.43+8670.03+34683.88+3264.17+26695.78+11322.39</f>
        <v>133134.38</v>
      </c>
    </row>
    <row r="170" spans="1:36" s="179" customFormat="1" ht="299.25" x14ac:dyDescent="0.25">
      <c r="A170" s="6">
        <v>167</v>
      </c>
      <c r="B170" s="31">
        <v>152010</v>
      </c>
      <c r="C170" s="31">
        <v>1116</v>
      </c>
      <c r="D170" s="9" t="s">
        <v>1640</v>
      </c>
      <c r="E170" s="24" t="s">
        <v>1807</v>
      </c>
      <c r="F170" s="11" t="s">
        <v>1838</v>
      </c>
      <c r="G170" s="31" t="s">
        <v>1654</v>
      </c>
      <c r="H170" s="11" t="s">
        <v>1839</v>
      </c>
      <c r="I170" s="12" t="s">
        <v>2707</v>
      </c>
      <c r="J170" s="25">
        <v>44489</v>
      </c>
      <c r="K170" s="25">
        <v>44977</v>
      </c>
      <c r="L170" s="26">
        <f t="shared" si="75"/>
        <v>84.999998848548771</v>
      </c>
      <c r="M170" s="11">
        <v>2</v>
      </c>
      <c r="N170" s="11" t="s">
        <v>280</v>
      </c>
      <c r="O170" s="11" t="s">
        <v>280</v>
      </c>
      <c r="P170" s="27" t="s">
        <v>174</v>
      </c>
      <c r="Q170" s="11" t="s">
        <v>34</v>
      </c>
      <c r="R170" s="2">
        <f t="shared" si="76"/>
        <v>332189.49</v>
      </c>
      <c r="S170" s="2">
        <v>332189.49</v>
      </c>
      <c r="T170" s="2">
        <v>0</v>
      </c>
      <c r="U170" s="1">
        <f t="shared" si="77"/>
        <v>46217.52</v>
      </c>
      <c r="V170" s="28">
        <v>46217.52</v>
      </c>
      <c r="W170" s="28">
        <v>0</v>
      </c>
      <c r="X170" s="1">
        <f t="shared" si="78"/>
        <v>12404.16</v>
      </c>
      <c r="Y170" s="2">
        <v>12404.16</v>
      </c>
      <c r="Z170" s="2">
        <v>0</v>
      </c>
      <c r="AA170" s="2">
        <f t="shared" si="79"/>
        <v>0</v>
      </c>
      <c r="AB170" s="2">
        <v>0</v>
      </c>
      <c r="AC170" s="2">
        <v>0</v>
      </c>
      <c r="AD170" s="16">
        <f t="shared" si="64"/>
        <v>390811.17</v>
      </c>
      <c r="AE170" s="2">
        <v>0</v>
      </c>
      <c r="AF170" s="2">
        <f t="shared" si="80"/>
        <v>390811.17</v>
      </c>
      <c r="AG170" s="38" t="s">
        <v>486</v>
      </c>
      <c r="AH170" s="29"/>
      <c r="AI170" s="30">
        <f>768.74+5744.31</f>
        <v>6513.05</v>
      </c>
      <c r="AJ170" s="30">
        <f>117.57+878.54</f>
        <v>996.1099999999999</v>
      </c>
    </row>
    <row r="171" spans="1:36" s="179" customFormat="1" ht="173.25" x14ac:dyDescent="0.25">
      <c r="A171" s="6">
        <v>168</v>
      </c>
      <c r="B171" s="31">
        <v>152221</v>
      </c>
      <c r="C171" s="31">
        <v>1122</v>
      </c>
      <c r="D171" s="9" t="s">
        <v>1640</v>
      </c>
      <c r="E171" s="24" t="s">
        <v>1807</v>
      </c>
      <c r="F171" s="11" t="s">
        <v>1867</v>
      </c>
      <c r="G171" s="31" t="s">
        <v>1612</v>
      </c>
      <c r="H171" s="8" t="s">
        <v>151</v>
      </c>
      <c r="I171" s="12" t="s">
        <v>1868</v>
      </c>
      <c r="J171" s="25">
        <v>44509</v>
      </c>
      <c r="K171" s="25">
        <v>44935</v>
      </c>
      <c r="L171" s="26">
        <f t="shared" si="75"/>
        <v>85.000001218573288</v>
      </c>
      <c r="M171" s="11">
        <v>2</v>
      </c>
      <c r="N171" s="11" t="s">
        <v>280</v>
      </c>
      <c r="O171" s="11" t="s">
        <v>1615</v>
      </c>
      <c r="P171" s="27" t="s">
        <v>174</v>
      </c>
      <c r="Q171" s="11" t="s">
        <v>34</v>
      </c>
      <c r="R171" s="2">
        <f t="shared" si="76"/>
        <v>348768.52</v>
      </c>
      <c r="S171" s="2">
        <v>348768.52</v>
      </c>
      <c r="T171" s="2">
        <v>0</v>
      </c>
      <c r="U171" s="1">
        <f t="shared" si="77"/>
        <v>53341.06</v>
      </c>
      <c r="V171" s="28">
        <v>53341.06</v>
      </c>
      <c r="W171" s="28">
        <v>0</v>
      </c>
      <c r="X171" s="1">
        <f t="shared" si="78"/>
        <v>8206.32</v>
      </c>
      <c r="Y171" s="2">
        <v>8206.32</v>
      </c>
      <c r="Z171" s="2">
        <v>0</v>
      </c>
      <c r="AA171" s="2">
        <f t="shared" si="79"/>
        <v>0</v>
      </c>
      <c r="AB171" s="2">
        <v>0</v>
      </c>
      <c r="AC171" s="2">
        <v>0</v>
      </c>
      <c r="AD171" s="16">
        <f t="shared" si="64"/>
        <v>410315.9</v>
      </c>
      <c r="AE171" s="2">
        <v>0</v>
      </c>
      <c r="AF171" s="2">
        <f t="shared" si="80"/>
        <v>410315.9</v>
      </c>
      <c r="AG171" s="38" t="s">
        <v>486</v>
      </c>
      <c r="AH171" s="29"/>
      <c r="AI171" s="30">
        <v>45517.5</v>
      </c>
      <c r="AJ171" s="30">
        <v>6961.5</v>
      </c>
    </row>
    <row r="172" spans="1:36" s="179" customFormat="1" ht="267.75" x14ac:dyDescent="0.25">
      <c r="A172" s="6">
        <v>169</v>
      </c>
      <c r="B172" s="31">
        <v>152212</v>
      </c>
      <c r="C172" s="31">
        <v>1144</v>
      </c>
      <c r="D172" s="9" t="s">
        <v>1640</v>
      </c>
      <c r="E172" s="24" t="s">
        <v>1807</v>
      </c>
      <c r="F172" s="11" t="s">
        <v>1946</v>
      </c>
      <c r="G172" s="31" t="s">
        <v>279</v>
      </c>
      <c r="H172" s="8" t="s">
        <v>151</v>
      </c>
      <c r="I172" s="12" t="s">
        <v>2708</v>
      </c>
      <c r="J172" s="25">
        <v>44544</v>
      </c>
      <c r="K172" s="25">
        <v>44909</v>
      </c>
      <c r="L172" s="26">
        <f t="shared" si="75"/>
        <v>85.000000000000014</v>
      </c>
      <c r="M172" s="11">
        <v>2</v>
      </c>
      <c r="N172" s="11" t="s">
        <v>280</v>
      </c>
      <c r="O172" s="11" t="s">
        <v>281</v>
      </c>
      <c r="P172" s="27" t="s">
        <v>174</v>
      </c>
      <c r="Q172" s="11" t="s">
        <v>34</v>
      </c>
      <c r="R172" s="2">
        <f t="shared" si="76"/>
        <v>352608.9</v>
      </c>
      <c r="S172" s="2">
        <v>352608.9</v>
      </c>
      <c r="T172" s="2">
        <v>0</v>
      </c>
      <c r="U172" s="1">
        <f t="shared" si="77"/>
        <v>53928.42</v>
      </c>
      <c r="V172" s="28">
        <v>53928.42</v>
      </c>
      <c r="W172" s="28">
        <v>0</v>
      </c>
      <c r="X172" s="1">
        <f t="shared" si="78"/>
        <v>8296.68</v>
      </c>
      <c r="Y172" s="2">
        <v>8296.68</v>
      </c>
      <c r="Z172" s="2">
        <v>0</v>
      </c>
      <c r="AA172" s="2">
        <f t="shared" si="79"/>
        <v>0</v>
      </c>
      <c r="AB172" s="2">
        <v>0</v>
      </c>
      <c r="AC172" s="2">
        <v>0</v>
      </c>
      <c r="AD172" s="16">
        <f t="shared" si="64"/>
        <v>414834</v>
      </c>
      <c r="AE172" s="2">
        <v>0</v>
      </c>
      <c r="AF172" s="2">
        <f t="shared" si="80"/>
        <v>414834</v>
      </c>
      <c r="AG172" s="38" t="s">
        <v>486</v>
      </c>
      <c r="AH172" s="29"/>
      <c r="AI172" s="30">
        <v>0</v>
      </c>
      <c r="AJ172" s="30">
        <v>0</v>
      </c>
    </row>
    <row r="173" spans="1:36" s="179" customFormat="1" ht="141.75" x14ac:dyDescent="0.25">
      <c r="A173" s="6">
        <v>170</v>
      </c>
      <c r="B173" s="31">
        <v>155101</v>
      </c>
      <c r="C173" s="31">
        <v>1169</v>
      </c>
      <c r="D173" s="9" t="s">
        <v>1639</v>
      </c>
      <c r="E173" s="24" t="s">
        <v>2024</v>
      </c>
      <c r="F173" s="11" t="s">
        <v>2030</v>
      </c>
      <c r="G173" s="31" t="s">
        <v>2029</v>
      </c>
      <c r="H173" s="8" t="s">
        <v>151</v>
      </c>
      <c r="I173" s="12" t="s">
        <v>2709</v>
      </c>
      <c r="J173" s="25">
        <v>44637</v>
      </c>
      <c r="K173" s="25">
        <v>45124</v>
      </c>
      <c r="L173" s="26">
        <f t="shared" si="75"/>
        <v>85</v>
      </c>
      <c r="M173" s="11">
        <v>2</v>
      </c>
      <c r="N173" s="11" t="s">
        <v>280</v>
      </c>
      <c r="O173" s="11" t="s">
        <v>2031</v>
      </c>
      <c r="P173" s="27" t="s">
        <v>174</v>
      </c>
      <c r="Q173" s="11" t="s">
        <v>34</v>
      </c>
      <c r="R173" s="2">
        <f t="shared" si="76"/>
        <v>1254107</v>
      </c>
      <c r="S173" s="2">
        <v>1254107</v>
      </c>
      <c r="T173" s="2">
        <v>0</v>
      </c>
      <c r="U173" s="1">
        <f t="shared" si="77"/>
        <v>191804.6</v>
      </c>
      <c r="V173" s="28">
        <v>191804.6</v>
      </c>
      <c r="W173" s="28">
        <v>0</v>
      </c>
      <c r="X173" s="1">
        <f t="shared" si="78"/>
        <v>29508.400000000001</v>
      </c>
      <c r="Y173" s="2">
        <v>29508.400000000001</v>
      </c>
      <c r="Z173" s="2">
        <v>0</v>
      </c>
      <c r="AA173" s="2">
        <f t="shared" si="79"/>
        <v>0</v>
      </c>
      <c r="AB173" s="2">
        <v>0</v>
      </c>
      <c r="AC173" s="2">
        <v>0</v>
      </c>
      <c r="AD173" s="16">
        <f t="shared" si="64"/>
        <v>1475420</v>
      </c>
      <c r="AE173" s="2">
        <v>0</v>
      </c>
      <c r="AF173" s="2">
        <f t="shared" si="80"/>
        <v>1475420</v>
      </c>
      <c r="AG173" s="38" t="s">
        <v>486</v>
      </c>
      <c r="AH173" s="29"/>
      <c r="AI173" s="30">
        <f>145000-14309.75</f>
        <v>130690.25</v>
      </c>
      <c r="AJ173" s="30">
        <f>14309.75</f>
        <v>14309.75</v>
      </c>
    </row>
    <row r="174" spans="1:36" s="179" customFormat="1" ht="141.75" x14ac:dyDescent="0.25">
      <c r="A174" s="6">
        <v>171</v>
      </c>
      <c r="B174" s="31">
        <v>154771</v>
      </c>
      <c r="C174" s="31">
        <v>1183</v>
      </c>
      <c r="D174" s="9" t="s">
        <v>1639</v>
      </c>
      <c r="E174" s="24" t="s">
        <v>2024</v>
      </c>
      <c r="F174" s="11" t="s">
        <v>2071</v>
      </c>
      <c r="G174" s="31" t="s">
        <v>2070</v>
      </c>
      <c r="H174" s="8" t="s">
        <v>151</v>
      </c>
      <c r="I174" s="12" t="s">
        <v>2710</v>
      </c>
      <c r="J174" s="25">
        <v>44649</v>
      </c>
      <c r="K174" s="25">
        <v>45136</v>
      </c>
      <c r="L174" s="26">
        <f t="shared" si="75"/>
        <v>85</v>
      </c>
      <c r="M174" s="11">
        <v>2</v>
      </c>
      <c r="N174" s="11" t="s">
        <v>280</v>
      </c>
      <c r="O174" s="11" t="s">
        <v>2072</v>
      </c>
      <c r="P174" s="27" t="s">
        <v>174</v>
      </c>
      <c r="Q174" s="11" t="s">
        <v>34</v>
      </c>
      <c r="R174" s="2">
        <f t="shared" si="76"/>
        <v>1254107</v>
      </c>
      <c r="S174" s="2">
        <v>1254107</v>
      </c>
      <c r="T174" s="2">
        <v>0</v>
      </c>
      <c r="U174" s="1">
        <f t="shared" si="77"/>
        <v>191804.6</v>
      </c>
      <c r="V174" s="28">
        <v>191804.6</v>
      </c>
      <c r="W174" s="28">
        <v>0</v>
      </c>
      <c r="X174" s="1">
        <f t="shared" si="78"/>
        <v>29508.400000000001</v>
      </c>
      <c r="Y174" s="2">
        <v>29508.400000000001</v>
      </c>
      <c r="Z174" s="2">
        <v>0</v>
      </c>
      <c r="AA174" s="2">
        <f t="shared" si="79"/>
        <v>0</v>
      </c>
      <c r="AB174" s="2">
        <v>0</v>
      </c>
      <c r="AC174" s="2">
        <v>0</v>
      </c>
      <c r="AD174" s="16">
        <f t="shared" si="64"/>
        <v>1475420</v>
      </c>
      <c r="AE174" s="2">
        <v>0</v>
      </c>
      <c r="AF174" s="2">
        <f t="shared" si="80"/>
        <v>1475420</v>
      </c>
      <c r="AG174" s="38" t="s">
        <v>486</v>
      </c>
      <c r="AH174" s="29"/>
      <c r="AI174" s="30">
        <v>145000</v>
      </c>
      <c r="AJ174" s="30">
        <v>0</v>
      </c>
    </row>
    <row r="175" spans="1:36" s="179" customFormat="1" ht="236.25" x14ac:dyDescent="0.25">
      <c r="A175" s="6">
        <v>172</v>
      </c>
      <c r="B175" s="31">
        <v>154659</v>
      </c>
      <c r="C175" s="31">
        <v>1159</v>
      </c>
      <c r="D175" s="9" t="s">
        <v>1639</v>
      </c>
      <c r="E175" s="24" t="s">
        <v>2024</v>
      </c>
      <c r="F175" s="11" t="s">
        <v>2096</v>
      </c>
      <c r="G175" s="31" t="s">
        <v>2095</v>
      </c>
      <c r="H175" s="8" t="s">
        <v>151</v>
      </c>
      <c r="I175" s="12" t="s">
        <v>2711</v>
      </c>
      <c r="J175" s="25">
        <v>44655</v>
      </c>
      <c r="K175" s="25">
        <v>45142</v>
      </c>
      <c r="L175" s="26">
        <f t="shared" si="75"/>
        <v>85.000000291371691</v>
      </c>
      <c r="M175" s="11">
        <v>2</v>
      </c>
      <c r="N175" s="11" t="s">
        <v>280</v>
      </c>
      <c r="O175" s="11" t="s">
        <v>2097</v>
      </c>
      <c r="P175" s="27" t="s">
        <v>174</v>
      </c>
      <c r="Q175" s="11" t="s">
        <v>34</v>
      </c>
      <c r="R175" s="2">
        <f t="shared" si="76"/>
        <v>2187927.08</v>
      </c>
      <c r="S175" s="2">
        <v>2187927.08</v>
      </c>
      <c r="T175" s="2">
        <v>0</v>
      </c>
      <c r="U175" s="1">
        <f t="shared" si="77"/>
        <v>334624.13</v>
      </c>
      <c r="V175" s="28">
        <v>334624.13</v>
      </c>
      <c r="W175" s="28">
        <v>0</v>
      </c>
      <c r="X175" s="1">
        <f t="shared" si="78"/>
        <v>51480.639999999999</v>
      </c>
      <c r="Y175" s="2">
        <v>51480.639999999999</v>
      </c>
      <c r="Z175" s="2">
        <v>0</v>
      </c>
      <c r="AA175" s="2">
        <f t="shared" si="79"/>
        <v>0</v>
      </c>
      <c r="AB175" s="2">
        <v>0</v>
      </c>
      <c r="AC175" s="2">
        <v>0</v>
      </c>
      <c r="AD175" s="16">
        <f t="shared" si="64"/>
        <v>2574031.85</v>
      </c>
      <c r="AE175" s="2">
        <v>0</v>
      </c>
      <c r="AF175" s="2">
        <f t="shared" si="80"/>
        <v>2574031.85</v>
      </c>
      <c r="AG175" s="38" t="s">
        <v>486</v>
      </c>
      <c r="AH175" s="29"/>
      <c r="AI175" s="30">
        <v>0</v>
      </c>
      <c r="AJ175" s="30">
        <v>0</v>
      </c>
    </row>
    <row r="176" spans="1:36" s="179" customFormat="1" ht="173.25" x14ac:dyDescent="0.25">
      <c r="A176" s="6">
        <v>173</v>
      </c>
      <c r="B176" s="31">
        <v>154594</v>
      </c>
      <c r="C176" s="31">
        <v>1182</v>
      </c>
      <c r="D176" s="9" t="s">
        <v>1639</v>
      </c>
      <c r="E176" s="24" t="s">
        <v>2024</v>
      </c>
      <c r="F176" s="11" t="s">
        <v>2212</v>
      </c>
      <c r="G176" s="31" t="s">
        <v>1654</v>
      </c>
      <c r="H176" s="8" t="s">
        <v>151</v>
      </c>
      <c r="I176" s="12" t="s">
        <v>2712</v>
      </c>
      <c r="J176" s="25">
        <v>44694</v>
      </c>
      <c r="K176" s="25">
        <v>45120</v>
      </c>
      <c r="L176" s="26">
        <f t="shared" si="75"/>
        <v>85.000001035993961</v>
      </c>
      <c r="M176" s="11">
        <v>2</v>
      </c>
      <c r="N176" s="11" t="s">
        <v>280</v>
      </c>
      <c r="O176" s="11" t="s">
        <v>280</v>
      </c>
      <c r="P176" s="27" t="s">
        <v>174</v>
      </c>
      <c r="Q176" s="11" t="s">
        <v>34</v>
      </c>
      <c r="R176" s="2">
        <f t="shared" si="76"/>
        <v>410234.06</v>
      </c>
      <c r="S176" s="2">
        <v>410234.06</v>
      </c>
      <c r="T176" s="2">
        <v>0</v>
      </c>
      <c r="U176" s="1">
        <f t="shared" si="77"/>
        <v>62741.67</v>
      </c>
      <c r="V176" s="28">
        <v>62741.67</v>
      </c>
      <c r="W176" s="28">
        <v>0</v>
      </c>
      <c r="X176" s="1">
        <f t="shared" si="78"/>
        <v>9652.57</v>
      </c>
      <c r="Y176" s="2">
        <v>9652.57</v>
      </c>
      <c r="Z176" s="2">
        <v>0</v>
      </c>
      <c r="AA176" s="2">
        <f t="shared" si="79"/>
        <v>0</v>
      </c>
      <c r="AB176" s="2">
        <v>0</v>
      </c>
      <c r="AC176" s="2">
        <v>0</v>
      </c>
      <c r="AD176" s="16">
        <f t="shared" si="64"/>
        <v>482628.3</v>
      </c>
      <c r="AE176" s="2">
        <v>0</v>
      </c>
      <c r="AF176" s="2">
        <f t="shared" si="80"/>
        <v>482628.3</v>
      </c>
      <c r="AG176" s="38" t="s">
        <v>486</v>
      </c>
      <c r="AH176" s="29"/>
      <c r="AI176" s="30">
        <v>0</v>
      </c>
      <c r="AJ176" s="30">
        <v>0</v>
      </c>
    </row>
    <row r="177" spans="1:37" s="179" customFormat="1" ht="141.75" x14ac:dyDescent="0.25">
      <c r="A177" s="6">
        <v>174</v>
      </c>
      <c r="B177" s="31">
        <v>126515</v>
      </c>
      <c r="C177" s="11">
        <v>547</v>
      </c>
      <c r="D177" s="9" t="s">
        <v>1639</v>
      </c>
      <c r="E177" s="32" t="s">
        <v>899</v>
      </c>
      <c r="F177" s="27" t="s">
        <v>992</v>
      </c>
      <c r="G177" s="11" t="s">
        <v>993</v>
      </c>
      <c r="H177" s="8" t="s">
        <v>151</v>
      </c>
      <c r="I177" s="32" t="s">
        <v>1305</v>
      </c>
      <c r="J177" s="25">
        <v>43521</v>
      </c>
      <c r="K177" s="25">
        <v>44798</v>
      </c>
      <c r="L177" s="26">
        <f>R177/AD177*100</f>
        <v>84.999999929518182</v>
      </c>
      <c r="M177" s="11">
        <v>7</v>
      </c>
      <c r="N177" s="11" t="s">
        <v>994</v>
      </c>
      <c r="O177" s="11" t="s">
        <v>995</v>
      </c>
      <c r="P177" s="11" t="s">
        <v>174</v>
      </c>
      <c r="Q177" s="11" t="s">
        <v>34</v>
      </c>
      <c r="R177" s="1">
        <f>S177+T177</f>
        <v>2411970.2999999998</v>
      </c>
      <c r="S177" s="51">
        <v>2411970.2999999998</v>
      </c>
      <c r="T177" s="30">
        <v>0</v>
      </c>
      <c r="U177" s="1">
        <f t="shared" si="77"/>
        <v>368889.58</v>
      </c>
      <c r="V177" s="55">
        <v>368889.58</v>
      </c>
      <c r="W177" s="42">
        <v>0</v>
      </c>
      <c r="X177" s="1">
        <f t="shared" si="78"/>
        <v>56752.24</v>
      </c>
      <c r="Y177" s="51">
        <v>56752.24</v>
      </c>
      <c r="Z177" s="51">
        <v>0</v>
      </c>
      <c r="AA177" s="1">
        <f>AB177+AC177</f>
        <v>0</v>
      </c>
      <c r="AB177" s="51">
        <v>0</v>
      </c>
      <c r="AC177" s="51">
        <v>0</v>
      </c>
      <c r="AD177" s="16">
        <f t="shared" si="64"/>
        <v>2837612.12</v>
      </c>
      <c r="AE177" s="51">
        <v>72392.72</v>
      </c>
      <c r="AF177" s="2">
        <f>AD177+AE177</f>
        <v>2910004.8400000003</v>
      </c>
      <c r="AG177" s="38" t="s">
        <v>857</v>
      </c>
      <c r="AH177" s="38" t="s">
        <v>1797</v>
      </c>
      <c r="AI177" s="30">
        <f>41642.35+26052.89+215969.7+11456.3+369748.88+29499.25+500948.51</f>
        <v>1195317.8799999999</v>
      </c>
      <c r="AJ177" s="30">
        <f>6368.83+3984.56+33030.66+1752.14+56549.83+4511.65+76615.66</f>
        <v>182813.33000000002</v>
      </c>
    </row>
    <row r="178" spans="1:37" s="179" customFormat="1" ht="141.75" x14ac:dyDescent="0.25">
      <c r="A178" s="6">
        <v>175</v>
      </c>
      <c r="B178" s="31">
        <v>154600</v>
      </c>
      <c r="C178" s="11">
        <v>1167</v>
      </c>
      <c r="D178" s="9" t="s">
        <v>1639</v>
      </c>
      <c r="E178" s="24" t="s">
        <v>2024</v>
      </c>
      <c r="F178" s="27" t="s">
        <v>2127</v>
      </c>
      <c r="G178" s="11" t="s">
        <v>2126</v>
      </c>
      <c r="H178" s="8" t="s">
        <v>151</v>
      </c>
      <c r="I178" s="32" t="s">
        <v>2713</v>
      </c>
      <c r="J178" s="25">
        <v>44662</v>
      </c>
      <c r="K178" s="25">
        <v>45149</v>
      </c>
      <c r="L178" s="26">
        <f>R178/AD178*100</f>
        <v>85.000000143943268</v>
      </c>
      <c r="M178" s="11">
        <v>7</v>
      </c>
      <c r="N178" s="11" t="s">
        <v>994</v>
      </c>
      <c r="O178" s="11" t="s">
        <v>995</v>
      </c>
      <c r="P178" s="11" t="s">
        <v>174</v>
      </c>
      <c r="Q178" s="11" t="s">
        <v>34</v>
      </c>
      <c r="R178" s="1">
        <f>S178+T178</f>
        <v>2952552.27</v>
      </c>
      <c r="S178" s="51">
        <v>2952552.27</v>
      </c>
      <c r="T178" s="30">
        <v>0</v>
      </c>
      <c r="U178" s="1">
        <f t="shared" si="77"/>
        <v>451566.82</v>
      </c>
      <c r="V178" s="55">
        <v>451566.82</v>
      </c>
      <c r="W178" s="42">
        <v>0</v>
      </c>
      <c r="X178" s="1">
        <f t="shared" si="78"/>
        <v>69471.81</v>
      </c>
      <c r="Y178" s="51">
        <v>69471.81</v>
      </c>
      <c r="Z178" s="51">
        <v>0</v>
      </c>
      <c r="AA178" s="1">
        <f>AB178+AC178</f>
        <v>0</v>
      </c>
      <c r="AB178" s="51">
        <v>0</v>
      </c>
      <c r="AC178" s="51">
        <v>0</v>
      </c>
      <c r="AD178" s="16">
        <f t="shared" si="64"/>
        <v>3473590.9</v>
      </c>
      <c r="AE178" s="51">
        <v>0</v>
      </c>
      <c r="AF178" s="2">
        <f>AD178+AE178</f>
        <v>3473590.9</v>
      </c>
      <c r="AG178" s="38" t="s">
        <v>486</v>
      </c>
      <c r="AH178" s="38"/>
      <c r="AI178" s="30">
        <v>107593.2</v>
      </c>
      <c r="AJ178" s="30">
        <v>16455.43</v>
      </c>
    </row>
    <row r="179" spans="1:37" s="185" customFormat="1" ht="189" x14ac:dyDescent="0.25">
      <c r="A179" s="6">
        <v>176</v>
      </c>
      <c r="B179" s="31">
        <v>120631</v>
      </c>
      <c r="C179" s="11">
        <v>81</v>
      </c>
      <c r="D179" s="9" t="s">
        <v>1639</v>
      </c>
      <c r="E179" s="24" t="s">
        <v>277</v>
      </c>
      <c r="F179" s="27" t="s">
        <v>187</v>
      </c>
      <c r="G179" s="27" t="s">
        <v>188</v>
      </c>
      <c r="H179" s="8" t="s">
        <v>151</v>
      </c>
      <c r="I179" s="32" t="s">
        <v>1212</v>
      </c>
      <c r="J179" s="25">
        <v>43129</v>
      </c>
      <c r="K179" s="25">
        <v>43614</v>
      </c>
      <c r="L179" s="26">
        <f t="shared" ref="L179:L186" si="81">R179/AD179*100</f>
        <v>84.999999195969949</v>
      </c>
      <c r="M179" s="11">
        <v>3</v>
      </c>
      <c r="N179" s="11" t="s">
        <v>189</v>
      </c>
      <c r="O179" s="11" t="s">
        <v>201</v>
      </c>
      <c r="P179" s="27" t="s">
        <v>174</v>
      </c>
      <c r="Q179" s="11" t="s">
        <v>34</v>
      </c>
      <c r="R179" s="2">
        <f t="shared" ref="R179:R186" si="82">S179+T179</f>
        <v>528587.19999999995</v>
      </c>
      <c r="S179" s="57">
        <v>528587.19999999995</v>
      </c>
      <c r="T179" s="30">
        <v>0</v>
      </c>
      <c r="U179" s="1">
        <f t="shared" ref="U179:U197" si="83">V179+W179</f>
        <v>80842.75</v>
      </c>
      <c r="V179" s="89">
        <v>80842.75</v>
      </c>
      <c r="W179" s="42">
        <v>0</v>
      </c>
      <c r="X179" s="1">
        <f t="shared" ref="X179:X197" si="84">Y179+Z179</f>
        <v>12437.35</v>
      </c>
      <c r="Y179" s="57">
        <v>12437.35</v>
      </c>
      <c r="Z179" s="2">
        <v>0</v>
      </c>
      <c r="AA179" s="2">
        <f t="shared" ref="AA179:AA186" si="85">AB179+AC179</f>
        <v>0</v>
      </c>
      <c r="AB179" s="2">
        <v>0</v>
      </c>
      <c r="AC179" s="2">
        <v>0</v>
      </c>
      <c r="AD179" s="16">
        <f t="shared" si="64"/>
        <v>621867.29999999993</v>
      </c>
      <c r="AE179" s="2">
        <v>0</v>
      </c>
      <c r="AF179" s="2">
        <f t="shared" ref="AF179:AF186" si="86">AD179+AE179</f>
        <v>621867.29999999993</v>
      </c>
      <c r="AG179" s="21" t="s">
        <v>857</v>
      </c>
      <c r="AH179" s="29" t="s">
        <v>151</v>
      </c>
      <c r="AI179" s="30">
        <v>445145.72000000009</v>
      </c>
      <c r="AJ179" s="30">
        <v>68081.099999999919</v>
      </c>
    </row>
    <row r="180" spans="1:37" s="179" customFormat="1" ht="204.75" x14ac:dyDescent="0.25">
      <c r="A180" s="6">
        <v>177</v>
      </c>
      <c r="B180" s="31">
        <v>118772</v>
      </c>
      <c r="C180" s="31">
        <v>441</v>
      </c>
      <c r="D180" s="32" t="s">
        <v>1640</v>
      </c>
      <c r="E180" s="32" t="s">
        <v>507</v>
      </c>
      <c r="F180" s="27" t="s">
        <v>706</v>
      </c>
      <c r="G180" s="27" t="s">
        <v>705</v>
      </c>
      <c r="H180" s="8" t="s">
        <v>151</v>
      </c>
      <c r="I180" s="32" t="s">
        <v>707</v>
      </c>
      <c r="J180" s="25">
        <v>43313</v>
      </c>
      <c r="K180" s="25">
        <v>43678</v>
      </c>
      <c r="L180" s="26">
        <f t="shared" si="81"/>
        <v>85</v>
      </c>
      <c r="M180" s="39">
        <v>3</v>
      </c>
      <c r="N180" s="11" t="s">
        <v>189</v>
      </c>
      <c r="O180" s="11" t="s">
        <v>708</v>
      </c>
      <c r="P180" s="27" t="s">
        <v>174</v>
      </c>
      <c r="Q180" s="11" t="s">
        <v>34</v>
      </c>
      <c r="R180" s="2">
        <f t="shared" si="82"/>
        <v>232055.1</v>
      </c>
      <c r="S180" s="30">
        <v>232055.1</v>
      </c>
      <c r="T180" s="30">
        <v>0</v>
      </c>
      <c r="U180" s="1">
        <f t="shared" si="83"/>
        <v>35490.78</v>
      </c>
      <c r="V180" s="42">
        <v>35490.78</v>
      </c>
      <c r="W180" s="42">
        <v>0</v>
      </c>
      <c r="X180" s="1">
        <f t="shared" si="84"/>
        <v>5460.12</v>
      </c>
      <c r="Y180" s="30">
        <v>5460.12</v>
      </c>
      <c r="Z180" s="30">
        <v>0</v>
      </c>
      <c r="AA180" s="2">
        <f t="shared" si="85"/>
        <v>0</v>
      </c>
      <c r="AB180" s="30">
        <v>0</v>
      </c>
      <c r="AC180" s="30">
        <v>0</v>
      </c>
      <c r="AD180" s="16">
        <f t="shared" si="64"/>
        <v>273006</v>
      </c>
      <c r="AE180" s="35">
        <v>0</v>
      </c>
      <c r="AF180" s="2">
        <f t="shared" si="86"/>
        <v>273006</v>
      </c>
      <c r="AG180" s="21" t="s">
        <v>857</v>
      </c>
      <c r="AH180" s="29" t="s">
        <v>151</v>
      </c>
      <c r="AI180" s="30">
        <v>226177.33000000002</v>
      </c>
      <c r="AJ180" s="30">
        <v>34591.82</v>
      </c>
    </row>
    <row r="181" spans="1:37" s="179" customFormat="1" ht="310.5" customHeight="1" x14ac:dyDescent="0.25">
      <c r="A181" s="6">
        <v>178</v>
      </c>
      <c r="B181" s="31">
        <v>129704</v>
      </c>
      <c r="C181" s="31">
        <v>671</v>
      </c>
      <c r="D181" s="9" t="s">
        <v>1639</v>
      </c>
      <c r="E181" s="32" t="s">
        <v>1071</v>
      </c>
      <c r="F181" s="90" t="s">
        <v>1251</v>
      </c>
      <c r="G181" s="27" t="str">
        <f>$G$180</f>
        <v>Municipiul Moreni</v>
      </c>
      <c r="H181" s="8" t="s">
        <v>151</v>
      </c>
      <c r="I181" s="32" t="s">
        <v>2714</v>
      </c>
      <c r="J181" s="25">
        <v>43706</v>
      </c>
      <c r="K181" s="25">
        <v>44741</v>
      </c>
      <c r="L181" s="26">
        <f t="shared" si="81"/>
        <v>84.999999926251363</v>
      </c>
      <c r="M181" s="39">
        <f>M180</f>
        <v>3</v>
      </c>
      <c r="N181" s="11" t="str">
        <f>N180</f>
        <v>Dâmbovița</v>
      </c>
      <c r="O181" s="11" t="str">
        <f>O180</f>
        <v>Moreni</v>
      </c>
      <c r="P181" s="27" t="str">
        <f>P180</f>
        <v>APL</v>
      </c>
      <c r="Q181" s="11" t="str">
        <f>Q180</f>
        <v>119 - Investiții în capacitatea instituțională și în eficiența administrațiilor și a serviciilor publice la nivel național, regional și local, în perspectiva realizării de reforme, a unei mai bune legiferări și a bunei guvernanțe</v>
      </c>
      <c r="R181" s="2">
        <f t="shared" si="82"/>
        <v>1152563.67</v>
      </c>
      <c r="S181" s="30">
        <v>1152563.67</v>
      </c>
      <c r="T181" s="30">
        <v>0</v>
      </c>
      <c r="U181" s="1">
        <f t="shared" si="83"/>
        <v>176274.44</v>
      </c>
      <c r="V181" s="42">
        <v>176274.44</v>
      </c>
      <c r="W181" s="42">
        <v>0</v>
      </c>
      <c r="X181" s="1">
        <f t="shared" si="84"/>
        <v>27119.15</v>
      </c>
      <c r="Y181" s="30">
        <v>27119.15</v>
      </c>
      <c r="Z181" s="30">
        <v>0</v>
      </c>
      <c r="AA181" s="2">
        <f t="shared" si="85"/>
        <v>0</v>
      </c>
      <c r="AB181" s="30">
        <v>0</v>
      </c>
      <c r="AC181" s="30">
        <v>0</v>
      </c>
      <c r="AD181" s="16">
        <f t="shared" si="64"/>
        <v>1355957.2599999998</v>
      </c>
      <c r="AE181" s="55">
        <v>0</v>
      </c>
      <c r="AF181" s="2">
        <f t="shared" si="86"/>
        <v>1355957.2599999998</v>
      </c>
      <c r="AG181" s="38" t="s">
        <v>857</v>
      </c>
      <c r="AH181" s="29" t="s">
        <v>1870</v>
      </c>
      <c r="AI181" s="30">
        <f>122408.7+133598.52+207668.6+365655.55+108654.97+135595.72+35458.89</f>
        <v>1109040.9499999997</v>
      </c>
      <c r="AJ181" s="30">
        <f>13187.02+5228.86+31761.08+55923.79+37355.96+26161.3</f>
        <v>169618.00999999998</v>
      </c>
    </row>
    <row r="182" spans="1:37" s="179" customFormat="1" ht="204.75" x14ac:dyDescent="0.25">
      <c r="A182" s="6">
        <v>179</v>
      </c>
      <c r="B182" s="31">
        <v>135834</v>
      </c>
      <c r="C182" s="31">
        <v>853</v>
      </c>
      <c r="D182" s="9" t="s">
        <v>1639</v>
      </c>
      <c r="E182" s="24" t="s">
        <v>1441</v>
      </c>
      <c r="F182" s="90" t="s">
        <v>1493</v>
      </c>
      <c r="G182" s="27" t="s">
        <v>188</v>
      </c>
      <c r="H182" s="8" t="s">
        <v>151</v>
      </c>
      <c r="I182" s="32" t="s">
        <v>2715</v>
      </c>
      <c r="J182" s="25">
        <v>43969</v>
      </c>
      <c r="K182" s="25">
        <v>45064</v>
      </c>
      <c r="L182" s="26">
        <f t="shared" si="81"/>
        <v>85.000000013095061</v>
      </c>
      <c r="M182" s="39">
        <f>M181</f>
        <v>3</v>
      </c>
      <c r="N182" s="11" t="str">
        <f>N181</f>
        <v>Dâmbovița</v>
      </c>
      <c r="O182" s="11" t="s">
        <v>1494</v>
      </c>
      <c r="P182" s="27" t="str">
        <f>P181</f>
        <v>APL</v>
      </c>
      <c r="Q182" s="11" t="s">
        <v>34</v>
      </c>
      <c r="R182" s="2">
        <f t="shared" si="82"/>
        <v>3245498.96</v>
      </c>
      <c r="S182" s="30">
        <v>3245498.96</v>
      </c>
      <c r="T182" s="30">
        <v>0</v>
      </c>
      <c r="U182" s="1">
        <f t="shared" si="83"/>
        <v>496370.44</v>
      </c>
      <c r="V182" s="42">
        <v>496370.44</v>
      </c>
      <c r="W182" s="42">
        <v>0</v>
      </c>
      <c r="X182" s="1">
        <f t="shared" si="84"/>
        <v>76364.67</v>
      </c>
      <c r="Y182" s="30">
        <v>76364.67</v>
      </c>
      <c r="Z182" s="30">
        <v>0</v>
      </c>
      <c r="AA182" s="2">
        <f t="shared" si="85"/>
        <v>0</v>
      </c>
      <c r="AB182" s="30">
        <v>0</v>
      </c>
      <c r="AC182" s="30">
        <v>0</v>
      </c>
      <c r="AD182" s="16">
        <f t="shared" si="64"/>
        <v>3818234.07</v>
      </c>
      <c r="AE182" s="55">
        <v>0</v>
      </c>
      <c r="AF182" s="2">
        <f t="shared" si="86"/>
        <v>3818234.07</v>
      </c>
      <c r="AG182" s="38" t="s">
        <v>486</v>
      </c>
      <c r="AH182" s="29" t="s">
        <v>2561</v>
      </c>
      <c r="AI182" s="30">
        <f>40624.48+115154.93+779307.87</f>
        <v>935087.28</v>
      </c>
      <c r="AJ182" s="30">
        <f>6213.16+17611.93+119188.26</f>
        <v>143013.35</v>
      </c>
    </row>
    <row r="183" spans="1:37" s="179" customFormat="1" ht="141.75" x14ac:dyDescent="0.25">
      <c r="A183" s="6">
        <v>180</v>
      </c>
      <c r="B183" s="31">
        <v>152159</v>
      </c>
      <c r="C183" s="31">
        <v>1138</v>
      </c>
      <c r="D183" s="9" t="s">
        <v>1640</v>
      </c>
      <c r="E183" s="24" t="s">
        <v>1807</v>
      </c>
      <c r="F183" s="90" t="s">
        <v>1877</v>
      </c>
      <c r="G183" s="27" t="s">
        <v>1878</v>
      </c>
      <c r="H183" s="8" t="s">
        <v>151</v>
      </c>
      <c r="I183" s="32" t="s">
        <v>2716</v>
      </c>
      <c r="J183" s="25">
        <v>44518</v>
      </c>
      <c r="K183" s="25">
        <v>44883</v>
      </c>
      <c r="L183" s="26">
        <f t="shared" si="81"/>
        <v>85.000000000000014</v>
      </c>
      <c r="M183" s="11">
        <v>3</v>
      </c>
      <c r="N183" s="11" t="s">
        <v>189</v>
      </c>
      <c r="O183" s="11" t="s">
        <v>201</v>
      </c>
      <c r="P183" s="27" t="s">
        <v>174</v>
      </c>
      <c r="Q183" s="11" t="s">
        <v>34</v>
      </c>
      <c r="R183" s="2">
        <f t="shared" si="82"/>
        <v>352396.4</v>
      </c>
      <c r="S183" s="30">
        <v>352396.4</v>
      </c>
      <c r="T183" s="30">
        <v>0</v>
      </c>
      <c r="U183" s="1">
        <f t="shared" si="83"/>
        <v>53895.92</v>
      </c>
      <c r="V183" s="42">
        <v>53895.92</v>
      </c>
      <c r="W183" s="42">
        <v>0</v>
      </c>
      <c r="X183" s="1">
        <f t="shared" si="84"/>
        <v>8291.68</v>
      </c>
      <c r="Y183" s="30">
        <v>8291.68</v>
      </c>
      <c r="Z183" s="30">
        <v>0</v>
      </c>
      <c r="AA183" s="2">
        <f t="shared" si="85"/>
        <v>0</v>
      </c>
      <c r="AB183" s="30">
        <v>0</v>
      </c>
      <c r="AC183" s="30">
        <v>0</v>
      </c>
      <c r="AD183" s="16">
        <f t="shared" si="64"/>
        <v>414584</v>
      </c>
      <c r="AE183" s="55">
        <v>0</v>
      </c>
      <c r="AF183" s="2">
        <f t="shared" si="86"/>
        <v>414584</v>
      </c>
      <c r="AG183" s="38" t="s">
        <v>486</v>
      </c>
      <c r="AH183" s="29"/>
      <c r="AI183" s="30">
        <f>2994.08+140092.75</f>
        <v>143086.82999999999</v>
      </c>
      <c r="AJ183" s="30">
        <f>457.92+21425.95</f>
        <v>21883.87</v>
      </c>
    </row>
    <row r="184" spans="1:37" s="179" customFormat="1" ht="173.25" x14ac:dyDescent="0.25">
      <c r="A184" s="6">
        <v>181</v>
      </c>
      <c r="B184" s="31">
        <v>154915</v>
      </c>
      <c r="C184" s="31">
        <v>1194</v>
      </c>
      <c r="D184" s="9" t="s">
        <v>1639</v>
      </c>
      <c r="E184" s="24" t="s">
        <v>2024</v>
      </c>
      <c r="F184" s="90" t="s">
        <v>2085</v>
      </c>
      <c r="G184" s="27" t="s">
        <v>2084</v>
      </c>
      <c r="H184" s="8" t="s">
        <v>151</v>
      </c>
      <c r="I184" s="32" t="s">
        <v>2717</v>
      </c>
      <c r="J184" s="25">
        <v>44655</v>
      </c>
      <c r="K184" s="25">
        <v>45142</v>
      </c>
      <c r="L184" s="26">
        <f t="shared" si="81"/>
        <v>85</v>
      </c>
      <c r="M184" s="11">
        <v>3</v>
      </c>
      <c r="N184" s="11" t="s">
        <v>189</v>
      </c>
      <c r="O184" s="11" t="s">
        <v>201</v>
      </c>
      <c r="P184" s="27" t="s">
        <v>174</v>
      </c>
      <c r="Q184" s="11" t="s">
        <v>34</v>
      </c>
      <c r="R184" s="2">
        <f t="shared" si="82"/>
        <v>2475696.4</v>
      </c>
      <c r="S184" s="30">
        <v>2475696.4</v>
      </c>
      <c r="T184" s="30">
        <v>0</v>
      </c>
      <c r="U184" s="1">
        <f t="shared" si="83"/>
        <v>378635.92</v>
      </c>
      <c r="V184" s="42">
        <v>378635.92</v>
      </c>
      <c r="W184" s="42">
        <v>0</v>
      </c>
      <c r="X184" s="1">
        <f t="shared" si="84"/>
        <v>58251.68</v>
      </c>
      <c r="Y184" s="30">
        <v>58251.68</v>
      </c>
      <c r="Z184" s="30">
        <v>0</v>
      </c>
      <c r="AA184" s="2">
        <f t="shared" si="85"/>
        <v>0</v>
      </c>
      <c r="AB184" s="30">
        <v>0</v>
      </c>
      <c r="AC184" s="30">
        <v>0</v>
      </c>
      <c r="AD184" s="16">
        <f t="shared" si="64"/>
        <v>2912584</v>
      </c>
      <c r="AE184" s="55">
        <v>0</v>
      </c>
      <c r="AF184" s="2">
        <f t="shared" si="86"/>
        <v>2912584</v>
      </c>
      <c r="AG184" s="38" t="s">
        <v>486</v>
      </c>
      <c r="AH184" s="29"/>
      <c r="AI184" s="30">
        <v>0</v>
      </c>
      <c r="AJ184" s="30">
        <v>0</v>
      </c>
    </row>
    <row r="185" spans="1:37" s="179" customFormat="1" ht="173.25" x14ac:dyDescent="0.25">
      <c r="A185" s="6">
        <v>182</v>
      </c>
      <c r="B185" s="31">
        <v>154632</v>
      </c>
      <c r="C185" s="31">
        <v>1191</v>
      </c>
      <c r="D185" s="9" t="s">
        <v>1639</v>
      </c>
      <c r="E185" s="24" t="s">
        <v>2024</v>
      </c>
      <c r="F185" s="90" t="s">
        <v>2164</v>
      </c>
      <c r="G185" s="27" t="s">
        <v>1878</v>
      </c>
      <c r="H185" s="8" t="s">
        <v>151</v>
      </c>
      <c r="I185" s="32" t="s">
        <v>2718</v>
      </c>
      <c r="J185" s="25">
        <v>44670</v>
      </c>
      <c r="K185" s="25">
        <v>45157</v>
      </c>
      <c r="L185" s="26">
        <f t="shared" si="81"/>
        <v>85.00000008922602</v>
      </c>
      <c r="M185" s="11">
        <v>3</v>
      </c>
      <c r="N185" s="11" t="s">
        <v>189</v>
      </c>
      <c r="O185" s="11" t="s">
        <v>201</v>
      </c>
      <c r="P185" s="27" t="s">
        <v>174</v>
      </c>
      <c r="Q185" s="11" t="s">
        <v>34</v>
      </c>
      <c r="R185" s="2">
        <f t="shared" si="82"/>
        <v>3334229.46</v>
      </c>
      <c r="S185" s="30">
        <v>3334229.46</v>
      </c>
      <c r="T185" s="30">
        <v>0</v>
      </c>
      <c r="U185" s="1">
        <f t="shared" si="83"/>
        <v>509940.97</v>
      </c>
      <c r="V185" s="42">
        <v>509940.97</v>
      </c>
      <c r="W185" s="42">
        <v>0</v>
      </c>
      <c r="X185" s="1">
        <f t="shared" si="84"/>
        <v>78452.460000000006</v>
      </c>
      <c r="Y185" s="30">
        <v>78452.460000000006</v>
      </c>
      <c r="Z185" s="30">
        <v>0</v>
      </c>
      <c r="AA185" s="2">
        <f t="shared" si="85"/>
        <v>0</v>
      </c>
      <c r="AB185" s="30">
        <v>0</v>
      </c>
      <c r="AC185" s="30">
        <v>0</v>
      </c>
      <c r="AD185" s="16">
        <f t="shared" si="64"/>
        <v>3922622.8899999997</v>
      </c>
      <c r="AE185" s="55">
        <v>0</v>
      </c>
      <c r="AF185" s="2">
        <f t="shared" si="86"/>
        <v>3922622.8899999997</v>
      </c>
      <c r="AG185" s="38" t="s">
        <v>486</v>
      </c>
      <c r="AH185" s="29"/>
      <c r="AI185" s="30">
        <v>0</v>
      </c>
      <c r="AJ185" s="30">
        <v>0</v>
      </c>
    </row>
    <row r="186" spans="1:37" s="179" customFormat="1" ht="283.5" x14ac:dyDescent="0.25">
      <c r="A186" s="6">
        <v>183</v>
      </c>
      <c r="B186" s="31">
        <v>154039</v>
      </c>
      <c r="C186" s="31">
        <v>1170</v>
      </c>
      <c r="D186" s="9" t="s">
        <v>1639</v>
      </c>
      <c r="E186" s="24" t="s">
        <v>2024</v>
      </c>
      <c r="F186" s="90" t="s">
        <v>2177</v>
      </c>
      <c r="G186" s="27" t="s">
        <v>705</v>
      </c>
      <c r="H186" s="8" t="s">
        <v>151</v>
      </c>
      <c r="I186" s="32" t="s">
        <v>2719</v>
      </c>
      <c r="J186" s="25">
        <v>44671</v>
      </c>
      <c r="K186" s="25">
        <v>45158</v>
      </c>
      <c r="L186" s="26">
        <f t="shared" si="81"/>
        <v>85.000000375576292</v>
      </c>
      <c r="M186" s="11">
        <v>3</v>
      </c>
      <c r="N186" s="11" t="s">
        <v>189</v>
      </c>
      <c r="O186" s="11" t="s">
        <v>708</v>
      </c>
      <c r="P186" s="27" t="s">
        <v>174</v>
      </c>
      <c r="Q186" s="11" t="s">
        <v>34</v>
      </c>
      <c r="R186" s="2">
        <f t="shared" si="82"/>
        <v>2489507.5</v>
      </c>
      <c r="S186" s="30">
        <v>2489507.5</v>
      </c>
      <c r="T186" s="30">
        <v>0</v>
      </c>
      <c r="U186" s="1">
        <f t="shared" si="83"/>
        <v>380748.18</v>
      </c>
      <c r="V186" s="42">
        <v>380748.18</v>
      </c>
      <c r="W186" s="42">
        <v>0</v>
      </c>
      <c r="X186" s="1">
        <f t="shared" si="84"/>
        <v>58576.66</v>
      </c>
      <c r="Y186" s="30">
        <v>58576.66</v>
      </c>
      <c r="Z186" s="30">
        <v>0</v>
      </c>
      <c r="AA186" s="2">
        <f t="shared" si="85"/>
        <v>0</v>
      </c>
      <c r="AB186" s="30">
        <v>0</v>
      </c>
      <c r="AC186" s="30">
        <v>0</v>
      </c>
      <c r="AD186" s="16">
        <f t="shared" si="64"/>
        <v>2928832.3400000003</v>
      </c>
      <c r="AE186" s="55">
        <v>0</v>
      </c>
      <c r="AF186" s="2">
        <f t="shared" si="86"/>
        <v>2928832.3400000003</v>
      </c>
      <c r="AG186" s="38" t="s">
        <v>486</v>
      </c>
      <c r="AH186" s="29"/>
      <c r="AI186" s="30">
        <v>0</v>
      </c>
      <c r="AJ186" s="30">
        <v>0</v>
      </c>
    </row>
    <row r="187" spans="1:37" s="179" customFormat="1" ht="173.25" x14ac:dyDescent="0.25">
      <c r="A187" s="6">
        <v>184</v>
      </c>
      <c r="B187" s="31">
        <v>120693</v>
      </c>
      <c r="C187" s="11">
        <v>114</v>
      </c>
      <c r="D187" s="9" t="s">
        <v>1639</v>
      </c>
      <c r="E187" s="24" t="s">
        <v>277</v>
      </c>
      <c r="F187" s="27" t="s">
        <v>206</v>
      </c>
      <c r="G187" s="11" t="s">
        <v>207</v>
      </c>
      <c r="H187" s="8" t="s">
        <v>151</v>
      </c>
      <c r="I187" s="12" t="s">
        <v>208</v>
      </c>
      <c r="J187" s="25">
        <v>43145</v>
      </c>
      <c r="K187" s="25">
        <v>43630</v>
      </c>
      <c r="L187" s="26">
        <f t="shared" ref="L187:L197" si="87">R187/AD187*100</f>
        <v>85.000000594539443</v>
      </c>
      <c r="M187" s="11">
        <v>4</v>
      </c>
      <c r="N187" s="11" t="s">
        <v>219</v>
      </c>
      <c r="O187" s="11" t="s">
        <v>209</v>
      </c>
      <c r="P187" s="27" t="s">
        <v>174</v>
      </c>
      <c r="Q187" s="11" t="s">
        <v>34</v>
      </c>
      <c r="R187" s="2">
        <f t="shared" ref="R187:R197" si="88">S187+T187</f>
        <v>357419.52000000002</v>
      </c>
      <c r="S187" s="2">
        <v>357419.52000000002</v>
      </c>
      <c r="T187" s="30">
        <v>0</v>
      </c>
      <c r="U187" s="1">
        <f t="shared" si="83"/>
        <v>54664.160000000003</v>
      </c>
      <c r="V187" s="89">
        <v>54664.160000000003</v>
      </c>
      <c r="W187" s="42">
        <v>0</v>
      </c>
      <c r="X187" s="1">
        <f t="shared" si="84"/>
        <v>8409.8700000000008</v>
      </c>
      <c r="Y187" s="57">
        <v>8409.8700000000008</v>
      </c>
      <c r="Z187" s="91">
        <v>0</v>
      </c>
      <c r="AA187" s="2">
        <f>AB187+AC187</f>
        <v>0</v>
      </c>
      <c r="AB187" s="2">
        <v>0</v>
      </c>
      <c r="AC187" s="2">
        <v>0</v>
      </c>
      <c r="AD187" s="16">
        <f t="shared" si="64"/>
        <v>420493.55000000005</v>
      </c>
      <c r="AE187" s="2">
        <v>0</v>
      </c>
      <c r="AF187" s="2">
        <f t="shared" ref="AF187:AF197" si="89">AD187+AE187</f>
        <v>420493.55000000005</v>
      </c>
      <c r="AG187" s="21" t="s">
        <v>857</v>
      </c>
      <c r="AH187" s="29" t="s">
        <v>151</v>
      </c>
      <c r="AI187" s="30">
        <v>278082.99</v>
      </c>
      <c r="AJ187" s="30">
        <v>42530.380000000005</v>
      </c>
      <c r="AK187" s="43"/>
    </row>
    <row r="188" spans="1:37" s="179" customFormat="1" ht="173.25" customHeight="1" x14ac:dyDescent="0.25">
      <c r="A188" s="6">
        <v>185</v>
      </c>
      <c r="B188" s="11">
        <v>119288</v>
      </c>
      <c r="C188" s="11">
        <v>487</v>
      </c>
      <c r="D188" s="9" t="s">
        <v>1639</v>
      </c>
      <c r="E188" s="11" t="s">
        <v>457</v>
      </c>
      <c r="F188" s="27" t="s">
        <v>1358</v>
      </c>
      <c r="G188" s="11" t="s">
        <v>914</v>
      </c>
      <c r="H188" s="8" t="s">
        <v>151</v>
      </c>
      <c r="I188" s="92" t="s">
        <v>535</v>
      </c>
      <c r="J188" s="25">
        <v>43272</v>
      </c>
      <c r="K188" s="25">
        <v>43667</v>
      </c>
      <c r="L188" s="26">
        <f t="shared" si="87"/>
        <v>85</v>
      </c>
      <c r="M188" s="11">
        <v>4</v>
      </c>
      <c r="N188" s="11" t="s">
        <v>219</v>
      </c>
      <c r="O188" s="11" t="s">
        <v>357</v>
      </c>
      <c r="P188" s="27" t="s">
        <v>174</v>
      </c>
      <c r="Q188" s="11" t="s">
        <v>34</v>
      </c>
      <c r="R188" s="2">
        <f t="shared" si="88"/>
        <v>360400</v>
      </c>
      <c r="S188" s="30">
        <v>360400</v>
      </c>
      <c r="T188" s="30">
        <v>0</v>
      </c>
      <c r="U188" s="1">
        <f t="shared" si="83"/>
        <v>55120</v>
      </c>
      <c r="V188" s="28">
        <v>55120</v>
      </c>
      <c r="W188" s="78">
        <v>0</v>
      </c>
      <c r="X188" s="1">
        <f t="shared" si="84"/>
        <v>8480</v>
      </c>
      <c r="Y188" s="27">
        <v>8480</v>
      </c>
      <c r="Z188" s="30">
        <v>0</v>
      </c>
      <c r="AA188" s="2">
        <f>AB188+AC188</f>
        <v>0</v>
      </c>
      <c r="AB188" s="27">
        <v>0</v>
      </c>
      <c r="AC188" s="27">
        <v>0</v>
      </c>
      <c r="AD188" s="16">
        <f t="shared" si="64"/>
        <v>424000</v>
      </c>
      <c r="AE188" s="35"/>
      <c r="AF188" s="2">
        <f t="shared" si="89"/>
        <v>424000</v>
      </c>
      <c r="AG188" s="21" t="s">
        <v>857</v>
      </c>
      <c r="AH188" s="29" t="s">
        <v>1061</v>
      </c>
      <c r="AI188" s="2">
        <v>305948.81</v>
      </c>
      <c r="AJ188" s="2">
        <v>46792.149999999994</v>
      </c>
    </row>
    <row r="189" spans="1:37" s="179" customFormat="1" ht="299.25" x14ac:dyDescent="0.25">
      <c r="A189" s="6">
        <v>186</v>
      </c>
      <c r="B189" s="85">
        <v>118780</v>
      </c>
      <c r="C189" s="93">
        <v>443</v>
      </c>
      <c r="D189" s="32" t="s">
        <v>1640</v>
      </c>
      <c r="E189" s="94" t="s">
        <v>507</v>
      </c>
      <c r="F189" s="70" t="s">
        <v>692</v>
      </c>
      <c r="G189" s="93" t="s">
        <v>207</v>
      </c>
      <c r="H189" s="11" t="s">
        <v>693</v>
      </c>
      <c r="I189" s="32" t="s">
        <v>694</v>
      </c>
      <c r="J189" s="25">
        <v>43312</v>
      </c>
      <c r="K189" s="25">
        <v>43677</v>
      </c>
      <c r="L189" s="26">
        <f t="shared" si="87"/>
        <v>84.150233941460755</v>
      </c>
      <c r="M189" s="11">
        <v>4</v>
      </c>
      <c r="N189" s="11" t="s">
        <v>499</v>
      </c>
      <c r="O189" s="11" t="s">
        <v>695</v>
      </c>
      <c r="P189" s="27" t="s">
        <v>174</v>
      </c>
      <c r="Q189" s="11" t="s">
        <v>34</v>
      </c>
      <c r="R189" s="2">
        <f t="shared" si="88"/>
        <v>230233.66</v>
      </c>
      <c r="S189" s="30">
        <v>230233.66</v>
      </c>
      <c r="T189" s="30">
        <v>0</v>
      </c>
      <c r="U189" s="1">
        <f t="shared" si="83"/>
        <v>37892.730000000003</v>
      </c>
      <c r="V189" s="42">
        <v>37892.730000000003</v>
      </c>
      <c r="W189" s="42">
        <v>0</v>
      </c>
      <c r="X189" s="1">
        <f t="shared" si="84"/>
        <v>2736.73</v>
      </c>
      <c r="Y189" s="30">
        <v>2736.73</v>
      </c>
      <c r="Z189" s="30">
        <v>0</v>
      </c>
      <c r="AA189" s="2">
        <f>AB189+AC189</f>
        <v>2735.24</v>
      </c>
      <c r="AB189" s="30">
        <v>2735.24</v>
      </c>
      <c r="AC189" s="41">
        <v>0</v>
      </c>
      <c r="AD189" s="16">
        <f t="shared" si="64"/>
        <v>273598.36</v>
      </c>
      <c r="AE189" s="38">
        <v>0</v>
      </c>
      <c r="AF189" s="2">
        <f t="shared" si="89"/>
        <v>273598.36</v>
      </c>
      <c r="AG189" s="21" t="s">
        <v>857</v>
      </c>
      <c r="AH189" s="29" t="s">
        <v>151</v>
      </c>
      <c r="AI189" s="30">
        <v>165046.26</v>
      </c>
      <c r="AJ189" s="30">
        <v>27286.14</v>
      </c>
    </row>
    <row r="190" spans="1:37" s="179" customFormat="1" ht="393.75" x14ac:dyDescent="0.25">
      <c r="A190" s="6">
        <v>187</v>
      </c>
      <c r="B190" s="31">
        <v>119830</v>
      </c>
      <c r="C190" s="11">
        <v>474</v>
      </c>
      <c r="D190" s="9" t="s">
        <v>1639</v>
      </c>
      <c r="E190" s="11" t="s">
        <v>457</v>
      </c>
      <c r="F190" s="27" t="s">
        <v>743</v>
      </c>
      <c r="G190" s="11" t="s">
        <v>744</v>
      </c>
      <c r="H190" s="8" t="s">
        <v>151</v>
      </c>
      <c r="I190" s="32" t="s">
        <v>745</v>
      </c>
      <c r="J190" s="25">
        <v>43322</v>
      </c>
      <c r="K190" s="25">
        <v>43992</v>
      </c>
      <c r="L190" s="26">
        <f t="shared" si="87"/>
        <v>84.999997553055863</v>
      </c>
      <c r="M190" s="11">
        <v>4</v>
      </c>
      <c r="N190" s="11" t="s">
        <v>499</v>
      </c>
      <c r="O190" s="11" t="s">
        <v>746</v>
      </c>
      <c r="P190" s="27" t="s">
        <v>174</v>
      </c>
      <c r="Q190" s="11" t="s">
        <v>34</v>
      </c>
      <c r="R190" s="2">
        <f t="shared" si="88"/>
        <v>347372.04</v>
      </c>
      <c r="S190" s="30">
        <v>347372.04</v>
      </c>
      <c r="T190" s="30">
        <v>0</v>
      </c>
      <c r="U190" s="1">
        <f t="shared" si="83"/>
        <v>53127.519999999997</v>
      </c>
      <c r="V190" s="42">
        <v>53127.519999999997</v>
      </c>
      <c r="W190" s="42">
        <v>0</v>
      </c>
      <c r="X190" s="1">
        <f t="shared" si="84"/>
        <v>8173.4400000000005</v>
      </c>
      <c r="Y190" s="30">
        <v>8173.4400000000005</v>
      </c>
      <c r="Z190" s="30">
        <v>0</v>
      </c>
      <c r="AA190" s="2">
        <f>AB190+AC190</f>
        <v>0</v>
      </c>
      <c r="AB190" s="57">
        <v>0</v>
      </c>
      <c r="AC190" s="57">
        <v>0</v>
      </c>
      <c r="AD190" s="16">
        <f t="shared" si="64"/>
        <v>408673</v>
      </c>
      <c r="AE190" s="2">
        <v>0</v>
      </c>
      <c r="AF190" s="2">
        <f t="shared" si="89"/>
        <v>408673</v>
      </c>
      <c r="AG190" s="38" t="s">
        <v>857</v>
      </c>
      <c r="AH190" s="29" t="s">
        <v>861</v>
      </c>
      <c r="AI190" s="30">
        <v>312673.95</v>
      </c>
      <c r="AJ190" s="30">
        <v>47820.720000000008</v>
      </c>
    </row>
    <row r="191" spans="1:37" s="179" customFormat="1" ht="163.5" customHeight="1" x14ac:dyDescent="0.25">
      <c r="A191" s="6">
        <v>188</v>
      </c>
      <c r="B191" s="31">
        <v>118793</v>
      </c>
      <c r="C191" s="11">
        <v>446</v>
      </c>
      <c r="D191" s="32" t="s">
        <v>1640</v>
      </c>
      <c r="E191" s="11" t="s">
        <v>507</v>
      </c>
      <c r="F191" s="11" t="s">
        <v>747</v>
      </c>
      <c r="G191" s="11" t="s">
        <v>744</v>
      </c>
      <c r="H191" s="11"/>
      <c r="I191" s="33" t="s">
        <v>748</v>
      </c>
      <c r="J191" s="25">
        <v>43322</v>
      </c>
      <c r="K191" s="25">
        <v>43779</v>
      </c>
      <c r="L191" s="26">
        <f t="shared" si="87"/>
        <v>85.000000000000014</v>
      </c>
      <c r="M191" s="11">
        <v>4</v>
      </c>
      <c r="N191" s="11" t="s">
        <v>499</v>
      </c>
      <c r="O191" s="11" t="s">
        <v>746</v>
      </c>
      <c r="P191" s="11" t="s">
        <v>174</v>
      </c>
      <c r="Q191" s="11" t="s">
        <v>34</v>
      </c>
      <c r="R191" s="2">
        <f t="shared" si="88"/>
        <v>239897.2</v>
      </c>
      <c r="S191" s="95">
        <v>239897.2</v>
      </c>
      <c r="T191" s="41">
        <v>0</v>
      </c>
      <c r="U191" s="1">
        <f t="shared" si="83"/>
        <v>36690.160000000003</v>
      </c>
      <c r="V191" s="42">
        <v>36690.160000000003</v>
      </c>
      <c r="W191" s="42">
        <v>0</v>
      </c>
      <c r="X191" s="1">
        <f t="shared" si="84"/>
        <v>5644.6399999999994</v>
      </c>
      <c r="Y191" s="30">
        <v>5644.6399999999994</v>
      </c>
      <c r="Z191" s="30">
        <v>0</v>
      </c>
      <c r="AA191" s="2">
        <f>AB191+AC191</f>
        <v>0</v>
      </c>
      <c r="AB191" s="2">
        <v>0</v>
      </c>
      <c r="AC191" s="2">
        <v>0</v>
      </c>
      <c r="AD191" s="16">
        <f t="shared" si="64"/>
        <v>282232</v>
      </c>
      <c r="AE191" s="38"/>
      <c r="AF191" s="2">
        <f t="shared" si="89"/>
        <v>282232</v>
      </c>
      <c r="AG191" s="21" t="s">
        <v>857</v>
      </c>
      <c r="AH191" s="38" t="s">
        <v>1215</v>
      </c>
      <c r="AI191" s="30">
        <v>214650.99</v>
      </c>
      <c r="AJ191" s="30">
        <v>32828.959999999999</v>
      </c>
    </row>
    <row r="192" spans="1:37" s="183" customFormat="1" ht="178.5" customHeight="1" x14ac:dyDescent="0.25">
      <c r="A192" s="6">
        <v>189</v>
      </c>
      <c r="B192" s="31">
        <v>126292</v>
      </c>
      <c r="C192" s="96">
        <v>514</v>
      </c>
      <c r="D192" s="9" t="s">
        <v>1639</v>
      </c>
      <c r="E192" s="71" t="s">
        <v>899</v>
      </c>
      <c r="F192" s="71" t="s">
        <v>913</v>
      </c>
      <c r="G192" s="71" t="s">
        <v>914</v>
      </c>
      <c r="H192" s="8" t="s">
        <v>151</v>
      </c>
      <c r="I192" s="97" t="s">
        <v>2720</v>
      </c>
      <c r="J192" s="25">
        <v>43439</v>
      </c>
      <c r="K192" s="25">
        <v>44535</v>
      </c>
      <c r="L192" s="26">
        <f t="shared" si="87"/>
        <v>84.999999598958027</v>
      </c>
      <c r="M192" s="96">
        <v>4</v>
      </c>
      <c r="N192" s="71" t="s">
        <v>499</v>
      </c>
      <c r="O192" s="71" t="s">
        <v>357</v>
      </c>
      <c r="P192" s="71" t="s">
        <v>174</v>
      </c>
      <c r="Q192" s="11" t="s">
        <v>34</v>
      </c>
      <c r="R192" s="2">
        <f t="shared" si="88"/>
        <v>2331426.79</v>
      </c>
      <c r="S192" s="30">
        <v>2331426.79</v>
      </c>
      <c r="T192" s="30">
        <v>0</v>
      </c>
      <c r="U192" s="1">
        <f t="shared" si="83"/>
        <v>356571.17</v>
      </c>
      <c r="V192" s="42">
        <v>356571.17</v>
      </c>
      <c r="W192" s="42">
        <v>0</v>
      </c>
      <c r="X192" s="1">
        <f t="shared" si="84"/>
        <v>54857.1</v>
      </c>
      <c r="Y192" s="30">
        <v>54857.1</v>
      </c>
      <c r="Z192" s="30">
        <v>0</v>
      </c>
      <c r="AA192" s="1">
        <v>0</v>
      </c>
      <c r="AB192" s="30">
        <v>0</v>
      </c>
      <c r="AC192" s="30">
        <v>0</v>
      </c>
      <c r="AD192" s="16">
        <f t="shared" si="64"/>
        <v>2742855.06</v>
      </c>
      <c r="AE192" s="30"/>
      <c r="AF192" s="2">
        <f t="shared" si="89"/>
        <v>2742855.06</v>
      </c>
      <c r="AG192" s="38" t="s">
        <v>857</v>
      </c>
      <c r="AH192" s="30" t="s">
        <v>1804</v>
      </c>
      <c r="AI192" s="30">
        <f>142930.13+1325877.08</f>
        <v>1468807.21</v>
      </c>
      <c r="AJ192" s="30">
        <f>21859.91+202781.2</f>
        <v>224641.11000000002</v>
      </c>
    </row>
    <row r="193" spans="1:37" s="186" customFormat="1" ht="187.5" customHeight="1" x14ac:dyDescent="0.25">
      <c r="A193" s="6">
        <v>190</v>
      </c>
      <c r="B193" s="31">
        <v>126320</v>
      </c>
      <c r="C193" s="96">
        <v>515</v>
      </c>
      <c r="D193" s="9" t="s">
        <v>1639</v>
      </c>
      <c r="E193" s="71" t="s">
        <v>899</v>
      </c>
      <c r="F193" s="70" t="s">
        <v>1905</v>
      </c>
      <c r="G193" s="93" t="s">
        <v>207</v>
      </c>
      <c r="H193" s="71" t="s">
        <v>999</v>
      </c>
      <c r="I193" s="98" t="s">
        <v>2721</v>
      </c>
      <c r="J193" s="25">
        <v>43531</v>
      </c>
      <c r="K193" s="25">
        <v>45084</v>
      </c>
      <c r="L193" s="26">
        <f t="shared" si="87"/>
        <v>84.263733041248912</v>
      </c>
      <c r="M193" s="96">
        <v>4</v>
      </c>
      <c r="N193" s="71" t="s">
        <v>499</v>
      </c>
      <c r="O193" s="71" t="s">
        <v>695</v>
      </c>
      <c r="P193" s="71" t="s">
        <v>174</v>
      </c>
      <c r="Q193" s="11" t="s">
        <v>34</v>
      </c>
      <c r="R193" s="48">
        <f t="shared" si="88"/>
        <v>2765436.54</v>
      </c>
      <c r="S193" s="71">
        <v>2765436.54</v>
      </c>
      <c r="T193" s="71">
        <v>0</v>
      </c>
      <c r="U193" s="1">
        <f t="shared" si="83"/>
        <v>450808.12</v>
      </c>
      <c r="V193" s="84">
        <v>450808.12</v>
      </c>
      <c r="W193" s="84">
        <v>0</v>
      </c>
      <c r="X193" s="1">
        <f t="shared" si="84"/>
        <v>28427.56</v>
      </c>
      <c r="Y193" s="71">
        <v>28427.56</v>
      </c>
      <c r="Z193" s="71">
        <v>0</v>
      </c>
      <c r="AA193" s="48">
        <f>AB193+AC193</f>
        <v>37210.080000000002</v>
      </c>
      <c r="AB193" s="71">
        <v>37210.080000000002</v>
      </c>
      <c r="AC193" s="71">
        <v>0</v>
      </c>
      <c r="AD193" s="16">
        <f t="shared" si="64"/>
        <v>3281882.3000000003</v>
      </c>
      <c r="AE193" s="71">
        <v>0</v>
      </c>
      <c r="AF193" s="48">
        <f t="shared" si="89"/>
        <v>3281882.3000000003</v>
      </c>
      <c r="AG193" s="38" t="s">
        <v>486</v>
      </c>
      <c r="AH193" s="71" t="s">
        <v>3285</v>
      </c>
      <c r="AI193" s="30">
        <f>266429.76+125991.5+33676.15-20905.43+606230.28+101177.18+100380.38+37774.85-14429.71+110480.4+11699.5-8212.55-8847.71</f>
        <v>1341444.5999999999</v>
      </c>
      <c r="AJ193" s="30">
        <f>29705.22+12037.96+5150.47+20905.43+82411.3+18822.82+19619.62+5777.33+14429.71+15547.32+8212.55</f>
        <v>232619.72999999998</v>
      </c>
    </row>
    <row r="194" spans="1:37" s="183" customFormat="1" ht="178.5" customHeight="1" x14ac:dyDescent="0.25">
      <c r="A194" s="6">
        <v>191</v>
      </c>
      <c r="B194" s="31">
        <v>128004</v>
      </c>
      <c r="C194" s="96">
        <v>635</v>
      </c>
      <c r="D194" s="9" t="s">
        <v>1639</v>
      </c>
      <c r="E194" s="83" t="s">
        <v>1071</v>
      </c>
      <c r="F194" s="71" t="s">
        <v>1085</v>
      </c>
      <c r="G194" s="71" t="s">
        <v>1084</v>
      </c>
      <c r="H194" s="8" t="s">
        <v>151</v>
      </c>
      <c r="I194" s="97" t="s">
        <v>2722</v>
      </c>
      <c r="J194" s="25">
        <v>43620</v>
      </c>
      <c r="K194" s="25">
        <v>44869</v>
      </c>
      <c r="L194" s="26">
        <f t="shared" si="87"/>
        <v>85</v>
      </c>
      <c r="M194" s="96">
        <v>4</v>
      </c>
      <c r="N194" s="71" t="s">
        <v>499</v>
      </c>
      <c r="O194" s="71" t="s">
        <v>357</v>
      </c>
      <c r="P194" s="71" t="s">
        <v>174</v>
      </c>
      <c r="Q194" s="71" t="s">
        <v>34</v>
      </c>
      <c r="R194" s="2">
        <f t="shared" si="88"/>
        <v>1919118.95</v>
      </c>
      <c r="S194" s="30">
        <v>1919118.95</v>
      </c>
      <c r="T194" s="30">
        <v>0</v>
      </c>
      <c r="U194" s="1">
        <f t="shared" si="83"/>
        <v>293512.31</v>
      </c>
      <c r="V194" s="42">
        <v>293512.31</v>
      </c>
      <c r="W194" s="42">
        <v>0</v>
      </c>
      <c r="X194" s="1">
        <f t="shared" si="84"/>
        <v>45155.74</v>
      </c>
      <c r="Y194" s="30">
        <v>45155.74</v>
      </c>
      <c r="Z194" s="30">
        <v>0</v>
      </c>
      <c r="AA194" s="1">
        <v>0</v>
      </c>
      <c r="AB194" s="30">
        <v>0</v>
      </c>
      <c r="AC194" s="30">
        <v>0</v>
      </c>
      <c r="AD194" s="16">
        <f t="shared" si="64"/>
        <v>2257787</v>
      </c>
      <c r="AE194" s="30">
        <v>0</v>
      </c>
      <c r="AF194" s="2">
        <f t="shared" si="89"/>
        <v>2257787</v>
      </c>
      <c r="AG194" s="38" t="s">
        <v>486</v>
      </c>
      <c r="AH194" s="30" t="s">
        <v>2299</v>
      </c>
      <c r="AI194" s="30">
        <f>23213.93+189613.77+187190.71+443888.02+562209.42</f>
        <v>1406115.85</v>
      </c>
      <c r="AJ194" s="30">
        <f>3550.36+28999.75+28629.19+67888.75+85984.96</f>
        <v>215053.01</v>
      </c>
    </row>
    <row r="195" spans="1:37" s="183" customFormat="1" ht="178.5" customHeight="1" x14ac:dyDescent="0.25">
      <c r="A195" s="6">
        <v>192</v>
      </c>
      <c r="B195" s="99" t="s">
        <v>1990</v>
      </c>
      <c r="C195" s="96">
        <v>501</v>
      </c>
      <c r="D195" s="98" t="s">
        <v>1641</v>
      </c>
      <c r="E195" s="83" t="s">
        <v>983</v>
      </c>
      <c r="F195" s="100" t="s">
        <v>1096</v>
      </c>
      <c r="G195" s="71" t="s">
        <v>693</v>
      </c>
      <c r="H195" s="71" t="s">
        <v>246</v>
      </c>
      <c r="I195" s="97" t="s">
        <v>2723</v>
      </c>
      <c r="J195" s="25">
        <v>43626</v>
      </c>
      <c r="K195" s="25">
        <v>44602</v>
      </c>
      <c r="L195" s="26">
        <f t="shared" si="87"/>
        <v>83.560067781888534</v>
      </c>
      <c r="M195" s="96">
        <v>4</v>
      </c>
      <c r="N195" s="71" t="s">
        <v>499</v>
      </c>
      <c r="O195" s="71" t="s">
        <v>357</v>
      </c>
      <c r="P195" s="71" t="s">
        <v>274</v>
      </c>
      <c r="Q195" s="71" t="s">
        <v>34</v>
      </c>
      <c r="R195" s="2">
        <f t="shared" si="88"/>
        <v>1824019.35</v>
      </c>
      <c r="S195" s="30">
        <v>1824019.35</v>
      </c>
      <c r="T195" s="30">
        <v>0</v>
      </c>
      <c r="U195" s="1">
        <f t="shared" si="83"/>
        <v>315206.96999999997</v>
      </c>
      <c r="V195" s="42">
        <v>315206.96999999997</v>
      </c>
      <c r="W195" s="42">
        <v>0</v>
      </c>
      <c r="X195" s="1">
        <f t="shared" si="84"/>
        <v>6678.79</v>
      </c>
      <c r="Y195" s="30">
        <v>6678.79</v>
      </c>
      <c r="Z195" s="30">
        <v>0</v>
      </c>
      <c r="AA195" s="1">
        <f>AB195+AC195</f>
        <v>36978.89</v>
      </c>
      <c r="AB195" s="30">
        <v>36978.89</v>
      </c>
      <c r="AC195" s="30">
        <v>0</v>
      </c>
      <c r="AD195" s="16">
        <f t="shared" si="64"/>
        <v>2182884.0000000005</v>
      </c>
      <c r="AE195" s="30">
        <v>0</v>
      </c>
      <c r="AF195" s="2">
        <f t="shared" si="89"/>
        <v>2182884.0000000005</v>
      </c>
      <c r="AG195" s="38" t="s">
        <v>857</v>
      </c>
      <c r="AH195" s="30" t="s">
        <v>1673</v>
      </c>
      <c r="AI195" s="30">
        <f>198612.8-11848.59-516.96+238980.14+9798.05+33393-1619.29+301235.86+216667.51+34050.15-3724.37+203466.18+228657.26-2738.45-25092.69-25882.59</f>
        <v>1393438.01</v>
      </c>
      <c r="AJ195" s="30">
        <f>19674.2+11848.59+3814.49+6605.69+90184.69+5207.67+3724.37+68238.88+2407.47+2738.45+25882.59</f>
        <v>240327.09000000003</v>
      </c>
    </row>
    <row r="196" spans="1:37" s="183" customFormat="1" ht="178.5" customHeight="1" x14ac:dyDescent="0.25">
      <c r="A196" s="6">
        <v>193</v>
      </c>
      <c r="B196" s="99" t="s">
        <v>1522</v>
      </c>
      <c r="C196" s="96">
        <v>832</v>
      </c>
      <c r="D196" s="9" t="s">
        <v>1639</v>
      </c>
      <c r="E196" s="24" t="s">
        <v>1441</v>
      </c>
      <c r="F196" s="11" t="s">
        <v>1523</v>
      </c>
      <c r="G196" s="71" t="s">
        <v>1924</v>
      </c>
      <c r="H196" s="8" t="s">
        <v>151</v>
      </c>
      <c r="I196" s="12" t="s">
        <v>1524</v>
      </c>
      <c r="J196" s="25">
        <v>43998</v>
      </c>
      <c r="K196" s="25">
        <v>44850</v>
      </c>
      <c r="L196" s="26">
        <f t="shared" si="87"/>
        <v>85.000000651832096</v>
      </c>
      <c r="M196" s="96">
        <v>4</v>
      </c>
      <c r="N196" s="71" t="s">
        <v>499</v>
      </c>
      <c r="O196" s="71" t="s">
        <v>357</v>
      </c>
      <c r="P196" s="71" t="s">
        <v>174</v>
      </c>
      <c r="Q196" s="11" t="s">
        <v>34</v>
      </c>
      <c r="R196" s="2">
        <f t="shared" si="88"/>
        <v>1434418.48</v>
      </c>
      <c r="S196" s="2">
        <v>1434418.48</v>
      </c>
      <c r="T196" s="2">
        <v>0</v>
      </c>
      <c r="U196" s="1">
        <f t="shared" si="83"/>
        <v>219381.63</v>
      </c>
      <c r="V196" s="28">
        <v>219381.63</v>
      </c>
      <c r="W196" s="28">
        <v>0</v>
      </c>
      <c r="X196" s="1">
        <f t="shared" si="84"/>
        <v>33751.03</v>
      </c>
      <c r="Y196" s="2">
        <v>33751.03</v>
      </c>
      <c r="Z196" s="2">
        <v>0</v>
      </c>
      <c r="AA196" s="1">
        <f>AB196+AC196</f>
        <v>0</v>
      </c>
      <c r="AB196" s="30">
        <v>0</v>
      </c>
      <c r="AC196" s="30">
        <v>0</v>
      </c>
      <c r="AD196" s="16">
        <f t="shared" si="64"/>
        <v>1687551.14</v>
      </c>
      <c r="AE196" s="30">
        <v>0</v>
      </c>
      <c r="AF196" s="2">
        <f t="shared" si="89"/>
        <v>1687551.14</v>
      </c>
      <c r="AG196" s="38" t="s">
        <v>486</v>
      </c>
      <c r="AH196" s="30" t="s">
        <v>2267</v>
      </c>
      <c r="AI196" s="30">
        <f>1658.86+13028.12+27092.02+136350.2+85151.87</f>
        <v>263281.07</v>
      </c>
      <c r="AJ196" s="30">
        <f>253.71+1992.53+4143.48+20853.56+13023.22</f>
        <v>40266.5</v>
      </c>
    </row>
    <row r="197" spans="1:37" s="183" customFormat="1" ht="178.5" customHeight="1" x14ac:dyDescent="0.25">
      <c r="A197" s="6">
        <v>194</v>
      </c>
      <c r="B197" s="99" t="s">
        <v>2165</v>
      </c>
      <c r="C197" s="101">
        <v>1229</v>
      </c>
      <c r="D197" s="9" t="s">
        <v>1639</v>
      </c>
      <c r="E197" s="24" t="s">
        <v>2024</v>
      </c>
      <c r="F197" s="88" t="s">
        <v>2166</v>
      </c>
      <c r="G197" s="71" t="s">
        <v>744</v>
      </c>
      <c r="H197" s="8" t="s">
        <v>151</v>
      </c>
      <c r="I197" s="12" t="s">
        <v>2167</v>
      </c>
      <c r="J197" s="25">
        <v>44670</v>
      </c>
      <c r="K197" s="25">
        <v>45157</v>
      </c>
      <c r="L197" s="26">
        <f t="shared" si="87"/>
        <v>85.000000213737465</v>
      </c>
      <c r="M197" s="96">
        <v>4</v>
      </c>
      <c r="N197" s="71" t="s">
        <v>499</v>
      </c>
      <c r="O197" s="71" t="s">
        <v>2168</v>
      </c>
      <c r="P197" s="71" t="s">
        <v>174</v>
      </c>
      <c r="Q197" s="11" t="s">
        <v>34</v>
      </c>
      <c r="R197" s="2">
        <f t="shared" si="88"/>
        <v>2783788.92</v>
      </c>
      <c r="S197" s="2">
        <v>2783788.92</v>
      </c>
      <c r="T197" s="2">
        <v>0</v>
      </c>
      <c r="U197" s="1">
        <f t="shared" si="83"/>
        <v>425755.94</v>
      </c>
      <c r="V197" s="28">
        <v>425755.94</v>
      </c>
      <c r="W197" s="28">
        <v>0</v>
      </c>
      <c r="X197" s="1">
        <f t="shared" si="84"/>
        <v>65500.92</v>
      </c>
      <c r="Y197" s="2">
        <v>65500.92</v>
      </c>
      <c r="Z197" s="2">
        <v>0</v>
      </c>
      <c r="AA197" s="1">
        <f>AB197+AC197</f>
        <v>0</v>
      </c>
      <c r="AB197" s="30">
        <v>0</v>
      </c>
      <c r="AC197" s="30">
        <v>0</v>
      </c>
      <c r="AD197" s="16">
        <f t="shared" ref="AD197:AD260" si="90">R197+U197+X197+AA197</f>
        <v>3275045.78</v>
      </c>
      <c r="AE197" s="30">
        <v>0</v>
      </c>
      <c r="AF197" s="2">
        <f t="shared" si="89"/>
        <v>3275045.78</v>
      </c>
      <c r="AG197" s="38" t="s">
        <v>486</v>
      </c>
      <c r="AH197" s="51" t="s">
        <v>294</v>
      </c>
      <c r="AI197" s="30">
        <v>302830</v>
      </c>
      <c r="AJ197" s="30">
        <v>0</v>
      </c>
    </row>
    <row r="198" spans="1:37" s="179" customFormat="1" ht="252" x14ac:dyDescent="0.25">
      <c r="A198" s="6">
        <v>195</v>
      </c>
      <c r="B198" s="31">
        <v>120590</v>
      </c>
      <c r="C198" s="11">
        <v>69</v>
      </c>
      <c r="D198" s="9" t="s">
        <v>1639</v>
      </c>
      <c r="E198" s="24" t="s">
        <v>277</v>
      </c>
      <c r="F198" s="11" t="s">
        <v>175</v>
      </c>
      <c r="G198" s="11" t="s">
        <v>784</v>
      </c>
      <c r="H198" s="8" t="s">
        <v>151</v>
      </c>
      <c r="I198" s="46" t="s">
        <v>179</v>
      </c>
      <c r="J198" s="25">
        <v>43129</v>
      </c>
      <c r="K198" s="25">
        <v>43553</v>
      </c>
      <c r="L198" s="26">
        <f t="shared" ref="L198:L205" si="91">R198/AD198*100</f>
        <v>85</v>
      </c>
      <c r="M198" s="11">
        <v>2</v>
      </c>
      <c r="N198" s="11" t="s">
        <v>186</v>
      </c>
      <c r="O198" s="11" t="s">
        <v>184</v>
      </c>
      <c r="P198" s="27" t="s">
        <v>174</v>
      </c>
      <c r="Q198" s="11" t="s">
        <v>34</v>
      </c>
      <c r="R198" s="2">
        <f t="shared" ref="R198:R205" si="92">S198+T198</f>
        <v>312939.57</v>
      </c>
      <c r="S198" s="2">
        <v>312939.57</v>
      </c>
      <c r="T198" s="2">
        <v>0</v>
      </c>
      <c r="U198" s="1">
        <f t="shared" ref="U198:U205" si="93">V198+W198</f>
        <v>47861.35</v>
      </c>
      <c r="V198" s="28">
        <v>47861.35</v>
      </c>
      <c r="W198" s="28">
        <v>0</v>
      </c>
      <c r="X198" s="1">
        <f t="shared" ref="X198:X205" si="94">Y198+Z198</f>
        <v>7363.28</v>
      </c>
      <c r="Y198" s="2">
        <v>7363.28</v>
      </c>
      <c r="Z198" s="2">
        <v>0</v>
      </c>
      <c r="AA198" s="2">
        <f t="shared" ref="AA198:AA205" si="95">AB198+AC198</f>
        <v>0</v>
      </c>
      <c r="AB198" s="2">
        <v>0</v>
      </c>
      <c r="AC198" s="2">
        <v>0</v>
      </c>
      <c r="AD198" s="16">
        <f t="shared" si="90"/>
        <v>368164.2</v>
      </c>
      <c r="AE198" s="2">
        <v>0</v>
      </c>
      <c r="AF198" s="2">
        <f t="shared" ref="AF198:AF205" si="96">AD198+AE198</f>
        <v>368164.2</v>
      </c>
      <c r="AG198" s="21" t="s">
        <v>857</v>
      </c>
      <c r="AH198" s="29" t="s">
        <v>151</v>
      </c>
      <c r="AI198" s="30">
        <v>269997.55</v>
      </c>
      <c r="AJ198" s="30">
        <v>41293.74</v>
      </c>
    </row>
    <row r="199" spans="1:37" s="179" customFormat="1" ht="409.5" x14ac:dyDescent="0.25">
      <c r="A199" s="6">
        <v>196</v>
      </c>
      <c r="B199" s="31">
        <v>118013</v>
      </c>
      <c r="C199" s="11">
        <v>419</v>
      </c>
      <c r="D199" s="32" t="s">
        <v>1640</v>
      </c>
      <c r="E199" s="11" t="s">
        <v>507</v>
      </c>
      <c r="F199" s="11" t="s">
        <v>783</v>
      </c>
      <c r="G199" s="11" t="s">
        <v>784</v>
      </c>
      <c r="H199" s="8" t="s">
        <v>151</v>
      </c>
      <c r="I199" s="32" t="s">
        <v>785</v>
      </c>
      <c r="J199" s="25">
        <v>43336</v>
      </c>
      <c r="K199" s="25">
        <v>43762</v>
      </c>
      <c r="L199" s="26">
        <f t="shared" si="91"/>
        <v>84.999998597642829</v>
      </c>
      <c r="M199" s="11">
        <v>2</v>
      </c>
      <c r="N199" s="11" t="s">
        <v>186</v>
      </c>
      <c r="O199" s="11" t="s">
        <v>184</v>
      </c>
      <c r="P199" s="27" t="s">
        <v>174</v>
      </c>
      <c r="Q199" s="11" t="s">
        <v>34</v>
      </c>
      <c r="R199" s="2">
        <f t="shared" si="92"/>
        <v>242448.93</v>
      </c>
      <c r="S199" s="30">
        <v>242448.93</v>
      </c>
      <c r="T199" s="30">
        <v>0</v>
      </c>
      <c r="U199" s="1">
        <f t="shared" si="93"/>
        <v>37080.43</v>
      </c>
      <c r="V199" s="42">
        <v>37080.43</v>
      </c>
      <c r="W199" s="42">
        <v>0</v>
      </c>
      <c r="X199" s="1">
        <f t="shared" si="94"/>
        <v>5704.68</v>
      </c>
      <c r="Y199" s="30">
        <v>5704.68</v>
      </c>
      <c r="Z199" s="30">
        <v>0</v>
      </c>
      <c r="AA199" s="2">
        <f t="shared" si="95"/>
        <v>0</v>
      </c>
      <c r="AB199" s="30">
        <v>0</v>
      </c>
      <c r="AC199" s="30">
        <v>0</v>
      </c>
      <c r="AD199" s="16">
        <f t="shared" si="90"/>
        <v>285234.03999999998</v>
      </c>
      <c r="AE199" s="38">
        <v>0</v>
      </c>
      <c r="AF199" s="2">
        <f t="shared" si="96"/>
        <v>285234.03999999998</v>
      </c>
      <c r="AG199" s="21" t="s">
        <v>857</v>
      </c>
      <c r="AH199" s="29" t="s">
        <v>151</v>
      </c>
      <c r="AI199" s="30">
        <v>220919.96</v>
      </c>
      <c r="AJ199" s="30">
        <v>33787.72</v>
      </c>
    </row>
    <row r="200" spans="1:37" s="179" customFormat="1" ht="189" x14ac:dyDescent="0.25">
      <c r="A200" s="6">
        <v>197</v>
      </c>
      <c r="B200" s="31">
        <v>126419</v>
      </c>
      <c r="C200" s="31">
        <v>561</v>
      </c>
      <c r="D200" s="9" t="s">
        <v>1639</v>
      </c>
      <c r="E200" s="24" t="s">
        <v>899</v>
      </c>
      <c r="F200" s="11" t="s">
        <v>902</v>
      </c>
      <c r="G200" s="11" t="s">
        <v>784</v>
      </c>
      <c r="H200" s="8" t="s">
        <v>151</v>
      </c>
      <c r="I200" s="12" t="s">
        <v>2724</v>
      </c>
      <c r="J200" s="25">
        <v>43432</v>
      </c>
      <c r="K200" s="25">
        <v>44832</v>
      </c>
      <c r="L200" s="26">
        <f t="shared" si="91"/>
        <v>85</v>
      </c>
      <c r="M200" s="31">
        <v>2</v>
      </c>
      <c r="N200" s="11" t="s">
        <v>186</v>
      </c>
      <c r="O200" s="11" t="s">
        <v>184</v>
      </c>
      <c r="P200" s="67" t="s">
        <v>174</v>
      </c>
      <c r="Q200" s="11" t="s">
        <v>34</v>
      </c>
      <c r="R200" s="77">
        <f t="shared" si="92"/>
        <v>2627225.9</v>
      </c>
      <c r="S200" s="30">
        <v>2627225.9</v>
      </c>
      <c r="T200" s="30">
        <v>0</v>
      </c>
      <c r="U200" s="1">
        <f t="shared" si="93"/>
        <v>401811.02</v>
      </c>
      <c r="V200" s="28">
        <v>401811.02</v>
      </c>
      <c r="W200" s="42">
        <v>0</v>
      </c>
      <c r="X200" s="1">
        <f t="shared" si="94"/>
        <v>61817.079999999994</v>
      </c>
      <c r="Y200" s="79">
        <v>61817.079999999994</v>
      </c>
      <c r="Z200" s="30">
        <v>0</v>
      </c>
      <c r="AA200" s="2">
        <f t="shared" si="95"/>
        <v>0</v>
      </c>
      <c r="AB200" s="30">
        <v>0</v>
      </c>
      <c r="AC200" s="30">
        <v>0</v>
      </c>
      <c r="AD200" s="16">
        <f t="shared" si="90"/>
        <v>3090854</v>
      </c>
      <c r="AE200" s="31">
        <v>0</v>
      </c>
      <c r="AF200" s="2">
        <f t="shared" si="96"/>
        <v>3090854</v>
      </c>
      <c r="AG200" s="38" t="s">
        <v>486</v>
      </c>
      <c r="AH200" s="35" t="s">
        <v>151</v>
      </c>
      <c r="AI200" s="30">
        <f>316850.48-6689.8-24163.88-3750.5+465290+138777.8+385108.4+744007.05</f>
        <v>2015429.55</v>
      </c>
      <c r="AJ200" s="30">
        <f>1187.66+6689.8+24163.88+3750.5+71162+21224.84+58898.93+121164.55</f>
        <v>308242.15999999997</v>
      </c>
    </row>
    <row r="201" spans="1:37" s="179" customFormat="1" ht="173.25" x14ac:dyDescent="0.25">
      <c r="A201" s="6">
        <v>198</v>
      </c>
      <c r="B201" s="31">
        <v>125256</v>
      </c>
      <c r="C201" s="31">
        <v>562</v>
      </c>
      <c r="D201" s="9" t="s">
        <v>1639</v>
      </c>
      <c r="E201" s="24" t="s">
        <v>899</v>
      </c>
      <c r="F201" s="11" t="s">
        <v>923</v>
      </c>
      <c r="G201" s="11" t="s">
        <v>1655</v>
      </c>
      <c r="H201" s="8" t="s">
        <v>151</v>
      </c>
      <c r="I201" s="12" t="s">
        <v>922</v>
      </c>
      <c r="J201" s="25">
        <v>43444</v>
      </c>
      <c r="K201" s="25">
        <v>43931</v>
      </c>
      <c r="L201" s="26">
        <f t="shared" si="91"/>
        <v>84.999999921204406</v>
      </c>
      <c r="M201" s="31">
        <v>2</v>
      </c>
      <c r="N201" s="11" t="s">
        <v>186</v>
      </c>
      <c r="O201" s="11" t="s">
        <v>186</v>
      </c>
      <c r="P201" s="67" t="s">
        <v>174</v>
      </c>
      <c r="Q201" s="11" t="s">
        <v>34</v>
      </c>
      <c r="R201" s="77">
        <f t="shared" si="92"/>
        <v>3236221.13</v>
      </c>
      <c r="S201" s="30">
        <v>3236221.13</v>
      </c>
      <c r="T201" s="30">
        <v>0</v>
      </c>
      <c r="U201" s="1">
        <f t="shared" si="93"/>
        <v>494951.47</v>
      </c>
      <c r="V201" s="28">
        <v>494951.47</v>
      </c>
      <c r="W201" s="42">
        <v>0</v>
      </c>
      <c r="X201" s="1">
        <f t="shared" si="94"/>
        <v>76146.38</v>
      </c>
      <c r="Y201" s="79">
        <v>76146.38</v>
      </c>
      <c r="Z201" s="30">
        <v>0</v>
      </c>
      <c r="AA201" s="2">
        <f t="shared" si="95"/>
        <v>0</v>
      </c>
      <c r="AB201" s="30">
        <v>0</v>
      </c>
      <c r="AC201" s="30">
        <v>0</v>
      </c>
      <c r="AD201" s="16">
        <f t="shared" si="90"/>
        <v>3807318.9799999995</v>
      </c>
      <c r="AE201" s="31">
        <v>630578.23</v>
      </c>
      <c r="AF201" s="2">
        <f t="shared" si="96"/>
        <v>4437897.209999999</v>
      </c>
      <c r="AG201" s="38" t="s">
        <v>857</v>
      </c>
      <c r="AH201" s="38" t="s">
        <v>1394</v>
      </c>
      <c r="AI201" s="30">
        <v>2739230.71</v>
      </c>
      <c r="AJ201" s="30">
        <v>418941.15000000008</v>
      </c>
    </row>
    <row r="202" spans="1:37" s="179" customFormat="1" ht="346.5" x14ac:dyDescent="0.25">
      <c r="A202" s="6">
        <v>199</v>
      </c>
      <c r="B202" s="31">
        <v>126291</v>
      </c>
      <c r="C202" s="31">
        <v>535</v>
      </c>
      <c r="D202" s="9" t="s">
        <v>1639</v>
      </c>
      <c r="E202" s="24" t="s">
        <v>899</v>
      </c>
      <c r="F202" s="11" t="s">
        <v>965</v>
      </c>
      <c r="G202" s="11" t="s">
        <v>966</v>
      </c>
      <c r="H202" s="8" t="s">
        <v>151</v>
      </c>
      <c r="I202" s="12" t="s">
        <v>2725</v>
      </c>
      <c r="J202" s="25">
        <v>43493</v>
      </c>
      <c r="K202" s="25">
        <v>44344</v>
      </c>
      <c r="L202" s="26">
        <f t="shared" si="91"/>
        <v>85</v>
      </c>
      <c r="M202" s="31">
        <v>2</v>
      </c>
      <c r="N202" s="11" t="s">
        <v>186</v>
      </c>
      <c r="O202" s="11" t="s">
        <v>186</v>
      </c>
      <c r="P202" s="67" t="s">
        <v>174</v>
      </c>
      <c r="Q202" s="11" t="s">
        <v>34</v>
      </c>
      <c r="R202" s="77">
        <f t="shared" si="92"/>
        <v>1370650.5</v>
      </c>
      <c r="S202" s="30">
        <v>1370650.5</v>
      </c>
      <c r="T202" s="30">
        <v>0</v>
      </c>
      <c r="U202" s="1">
        <f t="shared" si="93"/>
        <v>209628.9</v>
      </c>
      <c r="V202" s="28">
        <v>209628.9</v>
      </c>
      <c r="W202" s="78">
        <v>0</v>
      </c>
      <c r="X202" s="1">
        <f t="shared" si="94"/>
        <v>32250.6</v>
      </c>
      <c r="Y202" s="79">
        <v>32250.6</v>
      </c>
      <c r="Z202" s="30">
        <v>0</v>
      </c>
      <c r="AA202" s="2">
        <f t="shared" si="95"/>
        <v>0</v>
      </c>
      <c r="AB202" s="2">
        <v>0</v>
      </c>
      <c r="AC202" s="2">
        <v>0</v>
      </c>
      <c r="AD202" s="16">
        <f t="shared" si="90"/>
        <v>1612530</v>
      </c>
      <c r="AE202" s="31"/>
      <c r="AF202" s="2">
        <f t="shared" si="96"/>
        <v>1612530</v>
      </c>
      <c r="AG202" s="38" t="s">
        <v>857</v>
      </c>
      <c r="AH202" s="38" t="s">
        <v>1572</v>
      </c>
      <c r="AI202" s="30">
        <f>355563.46+309565.75+152873.35+9352.55+84743.47</f>
        <v>912098.58</v>
      </c>
      <c r="AJ202" s="30">
        <f>54380.3+47345.35+23380.63+1430.39+12960.77</f>
        <v>139497.44</v>
      </c>
    </row>
    <row r="203" spans="1:37" s="179" customFormat="1" ht="141.75" x14ac:dyDescent="0.25">
      <c r="A203" s="6">
        <v>200</v>
      </c>
      <c r="B203" s="31">
        <v>128555</v>
      </c>
      <c r="C203" s="31">
        <v>679</v>
      </c>
      <c r="D203" s="9" t="s">
        <v>1639</v>
      </c>
      <c r="E203" s="24" t="s">
        <v>1071</v>
      </c>
      <c r="F203" s="11" t="s">
        <v>1223</v>
      </c>
      <c r="G203" s="11" t="s">
        <v>966</v>
      </c>
      <c r="H203" s="102" t="s">
        <v>1359</v>
      </c>
      <c r="I203" s="12" t="s">
        <v>2726</v>
      </c>
      <c r="J203" s="25">
        <v>43690</v>
      </c>
      <c r="K203" s="25">
        <v>44178</v>
      </c>
      <c r="L203" s="26">
        <f t="shared" si="91"/>
        <v>84.193851603626115</v>
      </c>
      <c r="M203" s="31">
        <v>2</v>
      </c>
      <c r="N203" s="11" t="s">
        <v>186</v>
      </c>
      <c r="O203" s="11" t="s">
        <v>186</v>
      </c>
      <c r="P203" s="67" t="s">
        <v>174</v>
      </c>
      <c r="Q203" s="11" t="s">
        <v>34</v>
      </c>
      <c r="R203" s="77">
        <f t="shared" si="92"/>
        <v>298646.52</v>
      </c>
      <c r="S203" s="30">
        <v>298646.52</v>
      </c>
      <c r="T203" s="30">
        <v>0</v>
      </c>
      <c r="U203" s="1">
        <f t="shared" si="93"/>
        <v>48972.19</v>
      </c>
      <c r="V203" s="28">
        <v>48972.19</v>
      </c>
      <c r="W203" s="42">
        <v>0</v>
      </c>
      <c r="X203" s="1">
        <f t="shared" si="94"/>
        <v>3730.13</v>
      </c>
      <c r="Y203" s="79">
        <v>3730.13</v>
      </c>
      <c r="Z203" s="30">
        <v>0</v>
      </c>
      <c r="AA203" s="2">
        <f t="shared" si="95"/>
        <v>3364.14</v>
      </c>
      <c r="AB203" s="79">
        <v>3364.14</v>
      </c>
      <c r="AC203" s="30">
        <v>0</v>
      </c>
      <c r="AD203" s="16">
        <f t="shared" si="90"/>
        <v>354712.98000000004</v>
      </c>
      <c r="AE203" s="31">
        <v>0</v>
      </c>
      <c r="AF203" s="2">
        <f t="shared" si="96"/>
        <v>354712.98000000004</v>
      </c>
      <c r="AG203" s="38" t="s">
        <v>857</v>
      </c>
      <c r="AH203" s="38" t="s">
        <v>1621</v>
      </c>
      <c r="AI203" s="30">
        <f>185469.97+6878.14+35470+27093.36+4489.6</f>
        <v>259401.07000000004</v>
      </c>
      <c r="AJ203" s="30">
        <f>4005.59+20340.83+7694.75+10159.19+699.82</f>
        <v>42900.18</v>
      </c>
    </row>
    <row r="204" spans="1:37" s="179" customFormat="1" ht="157.5" x14ac:dyDescent="0.25">
      <c r="A204" s="6">
        <v>201</v>
      </c>
      <c r="B204" s="31">
        <v>151809</v>
      </c>
      <c r="C204" s="31">
        <v>1113</v>
      </c>
      <c r="D204" s="9" t="s">
        <v>1640</v>
      </c>
      <c r="E204" s="24" t="s">
        <v>1807</v>
      </c>
      <c r="F204" s="11" t="s">
        <v>1957</v>
      </c>
      <c r="G204" s="11" t="s">
        <v>1956</v>
      </c>
      <c r="H204" s="11" t="s">
        <v>1943</v>
      </c>
      <c r="I204" s="12" t="s">
        <v>2727</v>
      </c>
      <c r="J204" s="25">
        <v>44551</v>
      </c>
      <c r="K204" s="25">
        <v>45037</v>
      </c>
      <c r="L204" s="26">
        <f t="shared" si="91"/>
        <v>85.000005574441857</v>
      </c>
      <c r="M204" s="31">
        <v>2</v>
      </c>
      <c r="N204" s="11" t="s">
        <v>186</v>
      </c>
      <c r="O204" s="11" t="s">
        <v>186</v>
      </c>
      <c r="P204" s="67" t="s">
        <v>174</v>
      </c>
      <c r="Q204" s="11" t="s">
        <v>34</v>
      </c>
      <c r="R204" s="77">
        <f t="shared" si="92"/>
        <v>282091.03999999998</v>
      </c>
      <c r="S204" s="30">
        <v>282091.03999999998</v>
      </c>
      <c r="T204" s="30">
        <v>0</v>
      </c>
      <c r="U204" s="1">
        <f t="shared" si="93"/>
        <v>32459.439999999999</v>
      </c>
      <c r="V204" s="28">
        <v>32459.439999999999</v>
      </c>
      <c r="W204" s="42">
        <v>0</v>
      </c>
      <c r="X204" s="1">
        <f t="shared" si="94"/>
        <v>17321.310000000001</v>
      </c>
      <c r="Y204" s="79">
        <v>17321.310000000001</v>
      </c>
      <c r="Z204" s="30">
        <v>0</v>
      </c>
      <c r="AA204" s="2">
        <f t="shared" si="95"/>
        <v>0</v>
      </c>
      <c r="AB204" s="30">
        <v>0</v>
      </c>
      <c r="AC204" s="30">
        <v>0</v>
      </c>
      <c r="AD204" s="16">
        <f t="shared" si="90"/>
        <v>331871.78999999998</v>
      </c>
      <c r="AE204" s="31">
        <v>0</v>
      </c>
      <c r="AF204" s="2">
        <f t="shared" si="96"/>
        <v>331871.78999999998</v>
      </c>
      <c r="AG204" s="38" t="s">
        <v>486</v>
      </c>
      <c r="AH204" s="38"/>
      <c r="AI204" s="30">
        <v>31008.42</v>
      </c>
      <c r="AJ204" s="30">
        <v>4742.47</v>
      </c>
    </row>
    <row r="205" spans="1:37" s="179" customFormat="1" ht="189" x14ac:dyDescent="0.25">
      <c r="A205" s="6">
        <v>202</v>
      </c>
      <c r="B205" s="31">
        <v>155078</v>
      </c>
      <c r="C205" s="31">
        <v>1203</v>
      </c>
      <c r="D205" s="9" t="s">
        <v>1639</v>
      </c>
      <c r="E205" s="24" t="s">
        <v>2024</v>
      </c>
      <c r="F205" s="11" t="s">
        <v>2149</v>
      </c>
      <c r="G205" s="11" t="s">
        <v>784</v>
      </c>
      <c r="H205" s="8" t="s">
        <v>151</v>
      </c>
      <c r="I205" s="12" t="s">
        <v>2728</v>
      </c>
      <c r="J205" s="25">
        <v>44665</v>
      </c>
      <c r="K205" s="25">
        <v>45091</v>
      </c>
      <c r="L205" s="26">
        <f t="shared" si="91"/>
        <v>85.000000000000014</v>
      </c>
      <c r="M205" s="31">
        <v>2</v>
      </c>
      <c r="N205" s="11" t="s">
        <v>186</v>
      </c>
      <c r="O205" s="11" t="s">
        <v>184</v>
      </c>
      <c r="P205" s="67" t="s">
        <v>174</v>
      </c>
      <c r="Q205" s="11" t="s">
        <v>34</v>
      </c>
      <c r="R205" s="77">
        <f t="shared" si="92"/>
        <v>2549689.2400000002</v>
      </c>
      <c r="S205" s="30">
        <v>2549689.2400000002</v>
      </c>
      <c r="T205" s="30">
        <v>0</v>
      </c>
      <c r="U205" s="1">
        <f t="shared" si="93"/>
        <v>389952.47</v>
      </c>
      <c r="V205" s="28">
        <v>389952.47</v>
      </c>
      <c r="W205" s="42">
        <v>0</v>
      </c>
      <c r="X205" s="1">
        <f t="shared" si="94"/>
        <v>59992.69</v>
      </c>
      <c r="Y205" s="79">
        <v>59992.69</v>
      </c>
      <c r="Z205" s="30">
        <v>0</v>
      </c>
      <c r="AA205" s="2">
        <f t="shared" si="95"/>
        <v>0</v>
      </c>
      <c r="AB205" s="30">
        <v>0</v>
      </c>
      <c r="AC205" s="30">
        <v>0</v>
      </c>
      <c r="AD205" s="16">
        <f t="shared" si="90"/>
        <v>2999634.4</v>
      </c>
      <c r="AE205" s="31">
        <v>0</v>
      </c>
      <c r="AF205" s="2">
        <f t="shared" si="96"/>
        <v>2999634.4</v>
      </c>
      <c r="AG205" s="38" t="s">
        <v>486</v>
      </c>
      <c r="AH205" s="38"/>
      <c r="AI205" s="30">
        <v>0</v>
      </c>
      <c r="AJ205" s="30">
        <v>0</v>
      </c>
    </row>
    <row r="206" spans="1:37" s="179" customFormat="1" ht="141.75" x14ac:dyDescent="0.25">
      <c r="A206" s="6">
        <v>203</v>
      </c>
      <c r="B206" s="11">
        <v>111029</v>
      </c>
      <c r="C206" s="11">
        <v>126</v>
      </c>
      <c r="D206" s="9" t="s">
        <v>1639</v>
      </c>
      <c r="E206" s="24" t="s">
        <v>277</v>
      </c>
      <c r="F206" s="11" t="s">
        <v>331</v>
      </c>
      <c r="G206" s="11" t="s">
        <v>332</v>
      </c>
      <c r="H206" s="8" t="s">
        <v>151</v>
      </c>
      <c r="I206" s="12" t="s">
        <v>333</v>
      </c>
      <c r="J206" s="25">
        <v>43208</v>
      </c>
      <c r="K206" s="25">
        <v>43695</v>
      </c>
      <c r="L206" s="26">
        <f t="shared" ref="L206:L212" si="97">R206/AD206*100</f>
        <v>85.000001177275294</v>
      </c>
      <c r="M206" s="11">
        <v>3</v>
      </c>
      <c r="N206" s="11" t="s">
        <v>330</v>
      </c>
      <c r="O206" s="11" t="s">
        <v>330</v>
      </c>
      <c r="P206" s="27" t="s">
        <v>174</v>
      </c>
      <c r="Q206" s="11" t="s">
        <v>34</v>
      </c>
      <c r="R206" s="1">
        <f>S206+T206</f>
        <v>361003.08</v>
      </c>
      <c r="S206" s="2">
        <v>361003.08</v>
      </c>
      <c r="T206" s="2">
        <v>0</v>
      </c>
      <c r="U206" s="1">
        <f t="shared" ref="U206:U212" si="98">V206+W206</f>
        <v>55212.23</v>
      </c>
      <c r="V206" s="28">
        <v>55212.23</v>
      </c>
      <c r="W206" s="28"/>
      <c r="X206" s="1">
        <f t="shared" ref="X206:X212" si="99">Y206+Z206</f>
        <v>8494.19</v>
      </c>
      <c r="Y206" s="2">
        <v>8494.19</v>
      </c>
      <c r="Z206" s="2">
        <v>0</v>
      </c>
      <c r="AA206" s="2">
        <f t="shared" ref="AA206:AA212" si="100">AB206+AC206</f>
        <v>0</v>
      </c>
      <c r="AB206" s="2">
        <v>0</v>
      </c>
      <c r="AC206" s="2">
        <v>0</v>
      </c>
      <c r="AD206" s="16">
        <f t="shared" si="90"/>
        <v>424709.5</v>
      </c>
      <c r="AE206" s="2">
        <v>0</v>
      </c>
      <c r="AF206" s="2">
        <f t="shared" ref="AF206:AF212" si="101">AD206+AE206</f>
        <v>424709.5</v>
      </c>
      <c r="AG206" s="21" t="s">
        <v>857</v>
      </c>
      <c r="AH206" s="29" t="s">
        <v>151</v>
      </c>
      <c r="AI206" s="30">
        <v>306350.18</v>
      </c>
      <c r="AJ206" s="30">
        <v>46853.56</v>
      </c>
    </row>
    <row r="207" spans="1:37" s="179" customFormat="1" ht="141.75" x14ac:dyDescent="0.25">
      <c r="A207" s="6">
        <v>204</v>
      </c>
      <c r="B207" s="11">
        <v>116685</v>
      </c>
      <c r="C207" s="11">
        <v>407</v>
      </c>
      <c r="D207" s="32" t="s">
        <v>1640</v>
      </c>
      <c r="E207" s="24" t="s">
        <v>507</v>
      </c>
      <c r="F207" s="27" t="s">
        <v>649</v>
      </c>
      <c r="G207" s="11" t="s">
        <v>652</v>
      </c>
      <c r="H207" s="11" t="s">
        <v>650</v>
      </c>
      <c r="I207" s="12" t="s">
        <v>651</v>
      </c>
      <c r="J207" s="25">
        <v>43298</v>
      </c>
      <c r="K207" s="25">
        <v>43907</v>
      </c>
      <c r="L207" s="26">
        <f t="shared" si="97"/>
        <v>84.519132769277391</v>
      </c>
      <c r="M207" s="11">
        <v>3</v>
      </c>
      <c r="N207" s="11" t="s">
        <v>330</v>
      </c>
      <c r="O207" s="11" t="s">
        <v>330</v>
      </c>
      <c r="P207" s="27" t="s">
        <v>174</v>
      </c>
      <c r="Q207" s="11" t="s">
        <v>34</v>
      </c>
      <c r="R207" s="1">
        <f>S207+T207</f>
        <v>335058.15000000002</v>
      </c>
      <c r="S207" s="2">
        <v>335058.15000000002</v>
      </c>
      <c r="T207" s="2">
        <v>0</v>
      </c>
      <c r="U207" s="1">
        <f t="shared" si="98"/>
        <v>53442.06</v>
      </c>
      <c r="V207" s="28">
        <v>53442.06</v>
      </c>
      <c r="W207" s="28">
        <v>0</v>
      </c>
      <c r="X207" s="1">
        <f t="shared" si="99"/>
        <v>0</v>
      </c>
      <c r="Y207" s="2">
        <v>0</v>
      </c>
      <c r="Z207" s="2">
        <v>0</v>
      </c>
      <c r="AA207" s="2">
        <f t="shared" si="100"/>
        <v>7928.55</v>
      </c>
      <c r="AB207" s="2">
        <v>7928.55</v>
      </c>
      <c r="AC207" s="2">
        <v>0</v>
      </c>
      <c r="AD207" s="16">
        <f t="shared" si="90"/>
        <v>396428.76</v>
      </c>
      <c r="AE207" s="2">
        <v>0</v>
      </c>
      <c r="AF207" s="2">
        <f t="shared" si="101"/>
        <v>396428.76</v>
      </c>
      <c r="AG207" s="38" t="s">
        <v>857</v>
      </c>
      <c r="AH207" s="29" t="s">
        <v>1088</v>
      </c>
      <c r="AI207" s="30">
        <v>326035.62</v>
      </c>
      <c r="AJ207" s="30">
        <v>51899.82</v>
      </c>
    </row>
    <row r="208" spans="1:37" s="179" customFormat="1" ht="409.5" x14ac:dyDescent="0.25">
      <c r="A208" s="6">
        <v>205</v>
      </c>
      <c r="B208" s="11">
        <v>118751</v>
      </c>
      <c r="C208" s="11">
        <v>437</v>
      </c>
      <c r="D208" s="32" t="s">
        <v>1640</v>
      </c>
      <c r="E208" s="24" t="s">
        <v>507</v>
      </c>
      <c r="F208" s="11" t="s">
        <v>791</v>
      </c>
      <c r="G208" s="11" t="s">
        <v>332</v>
      </c>
      <c r="H208" s="8" t="s">
        <v>151</v>
      </c>
      <c r="I208" s="12" t="s">
        <v>1356</v>
      </c>
      <c r="J208" s="25">
        <v>43340</v>
      </c>
      <c r="K208" s="25">
        <v>43644</v>
      </c>
      <c r="L208" s="26">
        <f t="shared" si="97"/>
        <v>85.000001668371198</v>
      </c>
      <c r="M208" s="11">
        <v>3</v>
      </c>
      <c r="N208" s="11" t="s">
        <v>330</v>
      </c>
      <c r="O208" s="11" t="s">
        <v>330</v>
      </c>
      <c r="P208" s="27" t="s">
        <v>174</v>
      </c>
      <c r="Q208" s="11" t="s">
        <v>34</v>
      </c>
      <c r="R208" s="1">
        <v>254739.48</v>
      </c>
      <c r="S208" s="30">
        <v>254739.48</v>
      </c>
      <c r="T208" s="2">
        <v>0</v>
      </c>
      <c r="U208" s="1">
        <f t="shared" si="98"/>
        <v>38960.15</v>
      </c>
      <c r="V208" s="28">
        <v>38960.15</v>
      </c>
      <c r="W208" s="28">
        <v>0</v>
      </c>
      <c r="X208" s="1">
        <f t="shared" si="99"/>
        <v>5993.87</v>
      </c>
      <c r="Y208" s="2">
        <v>5993.87</v>
      </c>
      <c r="Z208" s="2">
        <v>0</v>
      </c>
      <c r="AA208" s="2">
        <f t="shared" si="100"/>
        <v>0</v>
      </c>
      <c r="AB208" s="2">
        <v>0</v>
      </c>
      <c r="AC208" s="2">
        <v>0</v>
      </c>
      <c r="AD208" s="16">
        <f t="shared" si="90"/>
        <v>299693.5</v>
      </c>
      <c r="AE208" s="2">
        <v>0</v>
      </c>
      <c r="AF208" s="2">
        <f t="shared" si="101"/>
        <v>299693.5</v>
      </c>
      <c r="AG208" s="21" t="s">
        <v>857</v>
      </c>
      <c r="AH208" s="29" t="s">
        <v>151</v>
      </c>
      <c r="AI208" s="30">
        <v>248993.41</v>
      </c>
      <c r="AJ208" s="30">
        <v>38081.339999999997</v>
      </c>
      <c r="AK208" s="119"/>
    </row>
    <row r="209" spans="1:37" s="179" customFormat="1" ht="173.25" x14ac:dyDescent="0.25">
      <c r="A209" s="6">
        <v>206</v>
      </c>
      <c r="B209" s="31">
        <v>126535</v>
      </c>
      <c r="C209" s="11">
        <v>564</v>
      </c>
      <c r="D209" s="9" t="s">
        <v>1639</v>
      </c>
      <c r="E209" s="24" t="s">
        <v>899</v>
      </c>
      <c r="F209" s="31" t="s">
        <v>937</v>
      </c>
      <c r="G209" s="11" t="s">
        <v>332</v>
      </c>
      <c r="H209" s="8" t="s">
        <v>151</v>
      </c>
      <c r="I209" s="32" t="s">
        <v>2729</v>
      </c>
      <c r="J209" s="25">
        <v>43447</v>
      </c>
      <c r="K209" s="25">
        <v>44908</v>
      </c>
      <c r="L209" s="26">
        <f t="shared" si="97"/>
        <v>85</v>
      </c>
      <c r="M209" s="11">
        <v>3</v>
      </c>
      <c r="N209" s="11" t="s">
        <v>330</v>
      </c>
      <c r="O209" s="11" t="s">
        <v>330</v>
      </c>
      <c r="P209" s="27" t="s">
        <v>174</v>
      </c>
      <c r="Q209" s="11" t="s">
        <v>34</v>
      </c>
      <c r="R209" s="1">
        <f>S209+T209</f>
        <v>3199377.9</v>
      </c>
      <c r="S209" s="30">
        <v>3199377.9</v>
      </c>
      <c r="T209" s="30">
        <v>0</v>
      </c>
      <c r="U209" s="1">
        <f t="shared" si="98"/>
        <v>489316.62</v>
      </c>
      <c r="V209" s="42">
        <v>489316.62</v>
      </c>
      <c r="W209" s="42">
        <v>0</v>
      </c>
      <c r="X209" s="1">
        <f t="shared" si="99"/>
        <v>75279.48</v>
      </c>
      <c r="Y209" s="2">
        <v>75279.48</v>
      </c>
      <c r="Z209" s="2">
        <v>0</v>
      </c>
      <c r="AA209" s="2">
        <f t="shared" si="100"/>
        <v>0</v>
      </c>
      <c r="AB209" s="30">
        <v>0</v>
      </c>
      <c r="AC209" s="30">
        <v>0</v>
      </c>
      <c r="AD209" s="16">
        <f t="shared" si="90"/>
        <v>3763974</v>
      </c>
      <c r="AE209" s="2">
        <v>0</v>
      </c>
      <c r="AF209" s="2">
        <f t="shared" si="101"/>
        <v>3763974</v>
      </c>
      <c r="AG209" s="38" t="s">
        <v>486</v>
      </c>
      <c r="AH209" s="29" t="s">
        <v>1938</v>
      </c>
      <c r="AI209" s="30">
        <f>436731.77-12762.45+354620</f>
        <v>778589.32000000007</v>
      </c>
      <c r="AJ209" s="30">
        <f>49783.81+15058.55</f>
        <v>64842.36</v>
      </c>
    </row>
    <row r="210" spans="1:37" s="179" customFormat="1" ht="189" x14ac:dyDescent="0.25">
      <c r="A210" s="6">
        <v>207</v>
      </c>
      <c r="B210" s="31">
        <v>135893</v>
      </c>
      <c r="C210" s="11">
        <v>791</v>
      </c>
      <c r="D210" s="9" t="s">
        <v>1639</v>
      </c>
      <c r="E210" s="24" t="s">
        <v>1441</v>
      </c>
      <c r="F210" s="31" t="s">
        <v>1454</v>
      </c>
      <c r="G210" s="11" t="s">
        <v>332</v>
      </c>
      <c r="H210" s="8" t="s">
        <v>151</v>
      </c>
      <c r="I210" s="12" t="s">
        <v>2730</v>
      </c>
      <c r="J210" s="25">
        <v>43959</v>
      </c>
      <c r="K210" s="25">
        <v>44873</v>
      </c>
      <c r="L210" s="26">
        <f t="shared" si="97"/>
        <v>85.000000000000014</v>
      </c>
      <c r="M210" s="11">
        <v>3</v>
      </c>
      <c r="N210" s="11" t="s">
        <v>330</v>
      </c>
      <c r="O210" s="11" t="s">
        <v>330</v>
      </c>
      <c r="P210" s="27" t="s">
        <v>174</v>
      </c>
      <c r="Q210" s="11" t="s">
        <v>34</v>
      </c>
      <c r="R210" s="1">
        <f>S210+T210</f>
        <v>3203800.45</v>
      </c>
      <c r="S210" s="30">
        <v>3203800.45</v>
      </c>
      <c r="T210" s="30">
        <v>0</v>
      </c>
      <c r="U210" s="1">
        <f t="shared" si="98"/>
        <v>489993.01</v>
      </c>
      <c r="V210" s="42">
        <v>489993.01</v>
      </c>
      <c r="W210" s="42">
        <v>0</v>
      </c>
      <c r="X210" s="1">
        <f t="shared" si="99"/>
        <v>75383.539999999994</v>
      </c>
      <c r="Y210" s="2">
        <v>75383.539999999994</v>
      </c>
      <c r="Z210" s="2">
        <v>0</v>
      </c>
      <c r="AA210" s="2">
        <f t="shared" si="100"/>
        <v>0</v>
      </c>
      <c r="AB210" s="30">
        <v>0</v>
      </c>
      <c r="AC210" s="30">
        <v>0</v>
      </c>
      <c r="AD210" s="16">
        <f t="shared" si="90"/>
        <v>3769177</v>
      </c>
      <c r="AE210" s="2">
        <v>0</v>
      </c>
      <c r="AF210" s="2">
        <f t="shared" si="101"/>
        <v>3769177</v>
      </c>
      <c r="AG210" s="38" t="s">
        <v>486</v>
      </c>
      <c r="AH210" s="29" t="s">
        <v>151</v>
      </c>
      <c r="AI210" s="30">
        <f>9077.15+222941-26473.23+146626.43-21920.99</f>
        <v>330250.36</v>
      </c>
      <c r="AJ210" s="30">
        <f>1388.27+26473.23+21920.99</f>
        <v>49782.490000000005</v>
      </c>
    </row>
    <row r="211" spans="1:37" s="179" customFormat="1" ht="173.25" x14ac:dyDescent="0.25">
      <c r="A211" s="6">
        <v>208</v>
      </c>
      <c r="B211" s="31">
        <v>135244</v>
      </c>
      <c r="C211" s="11">
        <v>817</v>
      </c>
      <c r="D211" s="9" t="s">
        <v>1639</v>
      </c>
      <c r="E211" s="24" t="s">
        <v>1441</v>
      </c>
      <c r="F211" s="11" t="s">
        <v>1470</v>
      </c>
      <c r="G211" s="11" t="s">
        <v>652</v>
      </c>
      <c r="H211" s="8" t="s">
        <v>151</v>
      </c>
      <c r="I211" s="12" t="s">
        <v>2731</v>
      </c>
      <c r="J211" s="25">
        <v>43969</v>
      </c>
      <c r="K211" s="25">
        <v>45187</v>
      </c>
      <c r="L211" s="26">
        <f t="shared" si="97"/>
        <v>85.000000120245716</v>
      </c>
      <c r="M211" s="11">
        <v>3</v>
      </c>
      <c r="N211" s="11" t="s">
        <v>330</v>
      </c>
      <c r="O211" s="11" t="s">
        <v>330</v>
      </c>
      <c r="P211" s="27" t="s">
        <v>174</v>
      </c>
      <c r="Q211" s="11" t="s">
        <v>34</v>
      </c>
      <c r="R211" s="1">
        <f>S211+T211</f>
        <v>3180986.65</v>
      </c>
      <c r="S211" s="2">
        <v>3180986.65</v>
      </c>
      <c r="T211" s="2">
        <v>0</v>
      </c>
      <c r="U211" s="1">
        <f t="shared" si="98"/>
        <v>486503.83</v>
      </c>
      <c r="V211" s="28">
        <v>486503.83</v>
      </c>
      <c r="W211" s="28">
        <v>0</v>
      </c>
      <c r="X211" s="1">
        <f t="shared" si="99"/>
        <v>74846.75</v>
      </c>
      <c r="Y211" s="2">
        <v>74846.75</v>
      </c>
      <c r="Z211" s="2">
        <v>0</v>
      </c>
      <c r="AA211" s="2">
        <f t="shared" si="100"/>
        <v>0</v>
      </c>
      <c r="AB211" s="30">
        <v>0</v>
      </c>
      <c r="AC211" s="30">
        <v>0</v>
      </c>
      <c r="AD211" s="16">
        <f t="shared" si="90"/>
        <v>3742337.23</v>
      </c>
      <c r="AE211" s="2">
        <v>0</v>
      </c>
      <c r="AF211" s="2">
        <f t="shared" si="101"/>
        <v>3742337.23</v>
      </c>
      <c r="AG211" s="38" t="s">
        <v>486</v>
      </c>
      <c r="AH211" s="29" t="s">
        <v>1994</v>
      </c>
      <c r="AI211" s="30">
        <f>108933+137399.08+463036.48-3960.32-3527.16</f>
        <v>701881.08</v>
      </c>
      <c r="AJ211" s="30">
        <f>21013.98+70817.35+3960.32+3527.16</f>
        <v>99318.810000000012</v>
      </c>
    </row>
    <row r="212" spans="1:37" s="179" customFormat="1" ht="204.75" x14ac:dyDescent="0.25">
      <c r="A212" s="6">
        <v>209</v>
      </c>
      <c r="B212" s="31">
        <v>154992</v>
      </c>
      <c r="C212" s="11">
        <v>1202</v>
      </c>
      <c r="D212" s="9" t="s">
        <v>1639</v>
      </c>
      <c r="E212" s="24" t="s">
        <v>2024</v>
      </c>
      <c r="F212" s="31" t="s">
        <v>2175</v>
      </c>
      <c r="G212" s="11" t="s">
        <v>652</v>
      </c>
      <c r="H212" s="8" t="s">
        <v>151</v>
      </c>
      <c r="I212" s="12" t="s">
        <v>2732</v>
      </c>
      <c r="J212" s="25">
        <v>44669</v>
      </c>
      <c r="K212" s="25">
        <v>45156</v>
      </c>
      <c r="L212" s="26">
        <f t="shared" si="97"/>
        <v>84.999999918523542</v>
      </c>
      <c r="M212" s="11">
        <v>3</v>
      </c>
      <c r="N212" s="11" t="s">
        <v>330</v>
      </c>
      <c r="O212" s="11" t="s">
        <v>330</v>
      </c>
      <c r="P212" s="27" t="s">
        <v>174</v>
      </c>
      <c r="Q212" s="11" t="s">
        <v>34</v>
      </c>
      <c r="R212" s="1">
        <f>S212+T212</f>
        <v>2086492.38</v>
      </c>
      <c r="S212" s="2">
        <v>2086492.38</v>
      </c>
      <c r="T212" s="2">
        <v>0</v>
      </c>
      <c r="U212" s="1">
        <f t="shared" si="98"/>
        <v>319110.59999999998</v>
      </c>
      <c r="V212" s="28">
        <v>319110.59999999998</v>
      </c>
      <c r="W212" s="28">
        <v>0</v>
      </c>
      <c r="X212" s="1">
        <f t="shared" si="99"/>
        <v>49093.94</v>
      </c>
      <c r="Y212" s="2">
        <v>49093.94</v>
      </c>
      <c r="Z212" s="2">
        <v>0</v>
      </c>
      <c r="AA212" s="2">
        <f t="shared" si="100"/>
        <v>0</v>
      </c>
      <c r="AB212" s="30">
        <v>0</v>
      </c>
      <c r="AC212" s="30">
        <v>0</v>
      </c>
      <c r="AD212" s="16">
        <f t="shared" si="90"/>
        <v>2454696.92</v>
      </c>
      <c r="AE212" s="2">
        <v>0</v>
      </c>
      <c r="AF212" s="2">
        <f t="shared" si="101"/>
        <v>2454696.92</v>
      </c>
      <c r="AG212" s="38" t="s">
        <v>486</v>
      </c>
      <c r="AH212" s="29"/>
      <c r="AI212" s="30">
        <v>200000</v>
      </c>
      <c r="AJ212" s="30">
        <v>0</v>
      </c>
    </row>
    <row r="213" spans="1:37" s="179" customFormat="1" ht="141.75" x14ac:dyDescent="0.25">
      <c r="A213" s="6">
        <v>210</v>
      </c>
      <c r="B213" s="11">
        <v>120638</v>
      </c>
      <c r="C213" s="11">
        <v>97</v>
      </c>
      <c r="D213" s="9" t="s">
        <v>1639</v>
      </c>
      <c r="E213" s="24" t="s">
        <v>277</v>
      </c>
      <c r="F213" s="11" t="s">
        <v>233</v>
      </c>
      <c r="G213" s="11" t="s">
        <v>1656</v>
      </c>
      <c r="H213" s="8" t="s">
        <v>151</v>
      </c>
      <c r="I213" s="46" t="s">
        <v>234</v>
      </c>
      <c r="J213" s="25">
        <v>43145</v>
      </c>
      <c r="K213" s="25">
        <v>43630</v>
      </c>
      <c r="L213" s="26">
        <f t="shared" ref="L213:L221" si="102">R213/AD213*100</f>
        <v>84.999998641808133</v>
      </c>
      <c r="M213" s="11">
        <v>4</v>
      </c>
      <c r="N213" s="11" t="s">
        <v>231</v>
      </c>
      <c r="O213" s="11" t="s">
        <v>232</v>
      </c>
      <c r="P213" s="27" t="s">
        <v>174</v>
      </c>
      <c r="Q213" s="11" t="s">
        <v>34</v>
      </c>
      <c r="R213" s="2">
        <f t="shared" ref="R213:R221" si="103">S213+T213</f>
        <v>312916.02</v>
      </c>
      <c r="S213" s="40">
        <v>312916.02</v>
      </c>
      <c r="T213" s="103">
        <v>0</v>
      </c>
      <c r="U213" s="1">
        <f t="shared" ref="U213:U231" si="104">V213+W213</f>
        <v>47857.75</v>
      </c>
      <c r="V213" s="28">
        <v>47857.75</v>
      </c>
      <c r="W213" s="28">
        <v>0</v>
      </c>
      <c r="X213" s="1">
        <f t="shared" ref="X213:X231" si="105">Y213+Z213</f>
        <v>7362.73</v>
      </c>
      <c r="Y213" s="2">
        <v>7362.73</v>
      </c>
      <c r="Z213" s="2">
        <v>0</v>
      </c>
      <c r="AA213" s="2">
        <f t="shared" ref="AA213:AA221" si="106">AB213+AC213</f>
        <v>0</v>
      </c>
      <c r="AB213" s="2">
        <v>0</v>
      </c>
      <c r="AC213" s="2">
        <v>0</v>
      </c>
      <c r="AD213" s="16">
        <f t="shared" si="90"/>
        <v>368136.5</v>
      </c>
      <c r="AE213" s="2">
        <v>0</v>
      </c>
      <c r="AF213" s="2">
        <f t="shared" ref="AF213:AF221" si="107">AD213+AE213</f>
        <v>368136.5</v>
      </c>
      <c r="AG213" s="21" t="s">
        <v>857</v>
      </c>
      <c r="AH213" s="29" t="s">
        <v>294</v>
      </c>
      <c r="AI213" s="30">
        <v>237555.28999999998</v>
      </c>
      <c r="AJ213" s="30">
        <v>36331.979999999996</v>
      </c>
    </row>
    <row r="214" spans="1:37" s="179" customFormat="1" ht="141.75" x14ac:dyDescent="0.25">
      <c r="A214" s="6">
        <v>211</v>
      </c>
      <c r="B214" s="31">
        <v>120714</v>
      </c>
      <c r="C214" s="11">
        <v>111</v>
      </c>
      <c r="D214" s="9" t="s">
        <v>1639</v>
      </c>
      <c r="E214" s="24" t="s">
        <v>277</v>
      </c>
      <c r="F214" s="11" t="s">
        <v>250</v>
      </c>
      <c r="G214" s="11" t="s">
        <v>908</v>
      </c>
      <c r="H214" s="11" t="s">
        <v>249</v>
      </c>
      <c r="I214" s="12" t="s">
        <v>432</v>
      </c>
      <c r="J214" s="25">
        <v>43166</v>
      </c>
      <c r="K214" s="25">
        <v>43653</v>
      </c>
      <c r="L214" s="26">
        <f t="shared" si="102"/>
        <v>85</v>
      </c>
      <c r="M214" s="11">
        <v>4</v>
      </c>
      <c r="N214" s="11" t="s">
        <v>231</v>
      </c>
      <c r="O214" s="11" t="s">
        <v>232</v>
      </c>
      <c r="P214" s="27" t="s">
        <v>174</v>
      </c>
      <c r="Q214" s="11" t="s">
        <v>34</v>
      </c>
      <c r="R214" s="2">
        <f t="shared" si="103"/>
        <v>355906.39</v>
      </c>
      <c r="S214" s="57">
        <v>355906.39</v>
      </c>
      <c r="T214" s="57">
        <v>0</v>
      </c>
      <c r="U214" s="1">
        <f t="shared" si="104"/>
        <v>54432.74</v>
      </c>
      <c r="V214" s="28">
        <v>54432.74</v>
      </c>
      <c r="W214" s="28">
        <v>0</v>
      </c>
      <c r="X214" s="1">
        <f t="shared" si="105"/>
        <v>8374.27</v>
      </c>
      <c r="Y214" s="2">
        <v>8374.27</v>
      </c>
      <c r="Z214" s="2">
        <v>0</v>
      </c>
      <c r="AA214" s="2">
        <f t="shared" si="106"/>
        <v>0</v>
      </c>
      <c r="AB214" s="2">
        <v>0</v>
      </c>
      <c r="AC214" s="2">
        <v>0</v>
      </c>
      <c r="AD214" s="16">
        <f t="shared" si="90"/>
        <v>418713.4</v>
      </c>
      <c r="AE214" s="2">
        <v>0</v>
      </c>
      <c r="AF214" s="2">
        <f t="shared" si="107"/>
        <v>418713.4</v>
      </c>
      <c r="AG214" s="21" t="s">
        <v>857</v>
      </c>
      <c r="AH214" s="29" t="s">
        <v>151</v>
      </c>
      <c r="AI214" s="30">
        <v>292880.73</v>
      </c>
      <c r="AJ214" s="30">
        <v>44793.507300000012</v>
      </c>
    </row>
    <row r="215" spans="1:37" s="179" customFormat="1" ht="141.75" x14ac:dyDescent="0.25">
      <c r="A215" s="6">
        <v>212</v>
      </c>
      <c r="B215" s="31">
        <v>119758</v>
      </c>
      <c r="C215" s="11">
        <v>460</v>
      </c>
      <c r="D215" s="9" t="s">
        <v>1639</v>
      </c>
      <c r="E215" s="24" t="s">
        <v>457</v>
      </c>
      <c r="F215" s="70" t="s">
        <v>479</v>
      </c>
      <c r="G215" s="11" t="s">
        <v>480</v>
      </c>
      <c r="H215" s="8" t="s">
        <v>151</v>
      </c>
      <c r="I215" s="12" t="s">
        <v>2733</v>
      </c>
      <c r="J215" s="25">
        <v>43264</v>
      </c>
      <c r="K215" s="25">
        <v>43751</v>
      </c>
      <c r="L215" s="26">
        <f t="shared" si="102"/>
        <v>85</v>
      </c>
      <c r="M215" s="11">
        <v>4</v>
      </c>
      <c r="N215" s="11" t="s">
        <v>231</v>
      </c>
      <c r="O215" s="11" t="s">
        <v>481</v>
      </c>
      <c r="P215" s="27" t="s">
        <v>174</v>
      </c>
      <c r="Q215" s="11" t="s">
        <v>34</v>
      </c>
      <c r="R215" s="2">
        <f t="shared" si="103"/>
        <v>356536.75</v>
      </c>
      <c r="S215" s="57">
        <v>356536.75</v>
      </c>
      <c r="T215" s="57">
        <v>0</v>
      </c>
      <c r="U215" s="1">
        <f t="shared" si="104"/>
        <v>54529.15</v>
      </c>
      <c r="V215" s="28">
        <v>54529.15</v>
      </c>
      <c r="W215" s="28"/>
      <c r="X215" s="1">
        <f t="shared" si="105"/>
        <v>8389.1</v>
      </c>
      <c r="Y215" s="2">
        <v>8389.1</v>
      </c>
      <c r="Z215" s="2">
        <v>0</v>
      </c>
      <c r="AA215" s="2">
        <f t="shared" si="106"/>
        <v>0</v>
      </c>
      <c r="AB215" s="2">
        <v>0</v>
      </c>
      <c r="AC215" s="2">
        <v>0</v>
      </c>
      <c r="AD215" s="16">
        <f t="shared" si="90"/>
        <v>419455</v>
      </c>
      <c r="AE215" s="2"/>
      <c r="AF215" s="2">
        <f t="shared" si="107"/>
        <v>419455</v>
      </c>
      <c r="AG215" s="21" t="s">
        <v>857</v>
      </c>
      <c r="AH215" s="29"/>
      <c r="AI215" s="30">
        <v>294297.16000000003</v>
      </c>
      <c r="AJ215" s="30">
        <v>45010.169999999991</v>
      </c>
    </row>
    <row r="216" spans="1:37" s="179" customFormat="1" ht="141.75" x14ac:dyDescent="0.25">
      <c r="A216" s="6">
        <v>213</v>
      </c>
      <c r="B216" s="31">
        <v>116766</v>
      </c>
      <c r="C216" s="11">
        <v>409</v>
      </c>
      <c r="D216" s="32" t="s">
        <v>1640</v>
      </c>
      <c r="E216" s="11" t="s">
        <v>507</v>
      </c>
      <c r="F216" s="11" t="s">
        <v>540</v>
      </c>
      <c r="G216" s="11" t="s">
        <v>1656</v>
      </c>
      <c r="H216" s="8" t="s">
        <v>151</v>
      </c>
      <c r="I216" s="32" t="s">
        <v>2734</v>
      </c>
      <c r="J216" s="25">
        <v>43278</v>
      </c>
      <c r="K216" s="25">
        <v>43826</v>
      </c>
      <c r="L216" s="26">
        <f t="shared" si="102"/>
        <v>85.000000275422053</v>
      </c>
      <c r="M216" s="11">
        <v>4</v>
      </c>
      <c r="N216" s="11" t="s">
        <v>231</v>
      </c>
      <c r="O216" s="39" t="s">
        <v>541</v>
      </c>
      <c r="P216" s="39" t="s">
        <v>174</v>
      </c>
      <c r="Q216" s="11" t="s">
        <v>34</v>
      </c>
      <c r="R216" s="2">
        <f t="shared" si="103"/>
        <v>308617.27</v>
      </c>
      <c r="S216" s="57">
        <v>308617.27</v>
      </c>
      <c r="T216" s="57">
        <v>0</v>
      </c>
      <c r="U216" s="1">
        <f t="shared" si="104"/>
        <v>47200.29</v>
      </c>
      <c r="V216" s="28">
        <v>47200.29</v>
      </c>
      <c r="W216" s="28">
        <v>0</v>
      </c>
      <c r="X216" s="1">
        <f t="shared" si="105"/>
        <v>7261.58</v>
      </c>
      <c r="Y216" s="2">
        <v>7261.58</v>
      </c>
      <c r="Z216" s="1">
        <v>0</v>
      </c>
      <c r="AA216" s="2">
        <f t="shared" si="106"/>
        <v>0</v>
      </c>
      <c r="AB216" s="1">
        <v>0</v>
      </c>
      <c r="AC216" s="1">
        <v>0</v>
      </c>
      <c r="AD216" s="16">
        <f t="shared" si="90"/>
        <v>363079.14</v>
      </c>
      <c r="AE216" s="104">
        <v>0</v>
      </c>
      <c r="AF216" s="2">
        <f t="shared" si="107"/>
        <v>363079.14</v>
      </c>
      <c r="AG216" s="38" t="s">
        <v>857</v>
      </c>
      <c r="AH216" s="74" t="s">
        <v>1340</v>
      </c>
      <c r="AI216" s="30">
        <v>225079</v>
      </c>
      <c r="AJ216" s="30">
        <v>34423.869999999995</v>
      </c>
    </row>
    <row r="217" spans="1:37" s="179" customFormat="1" ht="141.75" x14ac:dyDescent="0.25">
      <c r="A217" s="6">
        <v>214</v>
      </c>
      <c r="B217" s="31">
        <v>126293</v>
      </c>
      <c r="C217" s="11">
        <v>523</v>
      </c>
      <c r="D217" s="9" t="s">
        <v>1639</v>
      </c>
      <c r="E217" s="11" t="s">
        <v>899</v>
      </c>
      <c r="F217" s="11" t="s">
        <v>929</v>
      </c>
      <c r="G217" s="11" t="s">
        <v>908</v>
      </c>
      <c r="H217" s="8" t="s">
        <v>151</v>
      </c>
      <c r="I217" s="32" t="s">
        <v>2735</v>
      </c>
      <c r="J217" s="25">
        <v>43437</v>
      </c>
      <c r="K217" s="25">
        <v>44564</v>
      </c>
      <c r="L217" s="26">
        <f t="shared" si="102"/>
        <v>85.000000538702352</v>
      </c>
      <c r="M217" s="11">
        <v>4</v>
      </c>
      <c r="N217" s="11" t="s">
        <v>231</v>
      </c>
      <c r="O217" s="39" t="s">
        <v>541</v>
      </c>
      <c r="P217" s="39" t="s">
        <v>174</v>
      </c>
      <c r="Q217" s="11" t="s">
        <v>34</v>
      </c>
      <c r="R217" s="2">
        <f t="shared" si="103"/>
        <v>2366798.75</v>
      </c>
      <c r="S217" s="57">
        <v>2366798.75</v>
      </c>
      <c r="T217" s="57">
        <v>0</v>
      </c>
      <c r="U217" s="1">
        <f t="shared" si="104"/>
        <v>361980.97</v>
      </c>
      <c r="V217" s="28">
        <v>361980.97</v>
      </c>
      <c r="W217" s="28">
        <v>0</v>
      </c>
      <c r="X217" s="1">
        <f t="shared" si="105"/>
        <v>55689.38</v>
      </c>
      <c r="Y217" s="2">
        <v>55689.38</v>
      </c>
      <c r="Z217" s="30">
        <v>0</v>
      </c>
      <c r="AA217" s="2">
        <f t="shared" si="106"/>
        <v>0</v>
      </c>
      <c r="AB217" s="30">
        <v>0</v>
      </c>
      <c r="AC217" s="30">
        <v>0</v>
      </c>
      <c r="AD217" s="16">
        <f t="shared" si="90"/>
        <v>2784469.0999999996</v>
      </c>
      <c r="AE217" s="2">
        <v>129948</v>
      </c>
      <c r="AF217" s="2">
        <f t="shared" si="107"/>
        <v>2914417.0999999996</v>
      </c>
      <c r="AG217" s="38" t="s">
        <v>857</v>
      </c>
      <c r="AH217" s="74" t="s">
        <v>1759</v>
      </c>
      <c r="AI217" s="30">
        <f>319351.51+294803.9+201586.29+363120.54+102457.87+370209+338953.65+27108.2+24195.08</f>
        <v>2041786.0399999998</v>
      </c>
      <c r="AJ217" s="30">
        <f>48841.98+45087.66+30830.84+55536.09+15670.03+56620.2+51839.97+4145.96+3700.42</f>
        <v>312273.15000000002</v>
      </c>
    </row>
    <row r="218" spans="1:37" s="179" customFormat="1" ht="141.75" x14ac:dyDescent="0.25">
      <c r="A218" s="6">
        <v>215</v>
      </c>
      <c r="B218" s="31">
        <v>126212</v>
      </c>
      <c r="C218" s="11">
        <v>516</v>
      </c>
      <c r="D218" s="9" t="s">
        <v>1639</v>
      </c>
      <c r="E218" s="11" t="s">
        <v>899</v>
      </c>
      <c r="F218" s="11" t="s">
        <v>928</v>
      </c>
      <c r="G218" s="11" t="s">
        <v>480</v>
      </c>
      <c r="H218" s="8" t="s">
        <v>151</v>
      </c>
      <c r="I218" s="32" t="s">
        <v>2736</v>
      </c>
      <c r="J218" s="25">
        <v>43445</v>
      </c>
      <c r="K218" s="25">
        <v>44358</v>
      </c>
      <c r="L218" s="26">
        <f t="shared" si="102"/>
        <v>85.000000138721092</v>
      </c>
      <c r="M218" s="11">
        <v>4</v>
      </c>
      <c r="N218" s="11" t="s">
        <v>231</v>
      </c>
      <c r="O218" s="11" t="s">
        <v>481</v>
      </c>
      <c r="P218" s="11" t="s">
        <v>174</v>
      </c>
      <c r="Q218" s="11" t="s">
        <v>34</v>
      </c>
      <c r="R218" s="2">
        <f t="shared" si="103"/>
        <v>3063701.5</v>
      </c>
      <c r="S218" s="57">
        <v>3063701.5</v>
      </c>
      <c r="T218" s="57">
        <v>0</v>
      </c>
      <c r="U218" s="1">
        <f t="shared" si="104"/>
        <v>468566.11</v>
      </c>
      <c r="V218" s="28">
        <v>468566.11</v>
      </c>
      <c r="W218" s="28">
        <v>0</v>
      </c>
      <c r="X218" s="1">
        <f t="shared" si="105"/>
        <v>72087.09</v>
      </c>
      <c r="Y218" s="2">
        <v>72087.09</v>
      </c>
      <c r="Z218" s="30">
        <v>0</v>
      </c>
      <c r="AA218" s="2">
        <f t="shared" si="106"/>
        <v>0</v>
      </c>
      <c r="AB218" s="30">
        <v>0</v>
      </c>
      <c r="AC218" s="30">
        <v>0</v>
      </c>
      <c r="AD218" s="16">
        <f t="shared" si="90"/>
        <v>3604354.6999999997</v>
      </c>
      <c r="AE218" s="35">
        <v>0</v>
      </c>
      <c r="AF218" s="2">
        <f t="shared" si="107"/>
        <v>3604354.6999999997</v>
      </c>
      <c r="AG218" s="38" t="s">
        <v>857</v>
      </c>
      <c r="AH218" s="74" t="s">
        <v>151</v>
      </c>
      <c r="AI218" s="30">
        <f>990540.15-36410.86+95571.03+687657.15+681657-58693.25</f>
        <v>2360321.2200000002</v>
      </c>
      <c r="AJ218" s="30">
        <f>96435.54+49490.11+14616.74+105171.09+49194.6+46082.21</f>
        <v>360990.29</v>
      </c>
    </row>
    <row r="219" spans="1:37" s="179" customFormat="1" ht="156.75" customHeight="1" x14ac:dyDescent="0.25">
      <c r="A219" s="6">
        <v>216</v>
      </c>
      <c r="B219" s="31">
        <v>125603</v>
      </c>
      <c r="C219" s="11">
        <v>528</v>
      </c>
      <c r="D219" s="9" t="s">
        <v>1639</v>
      </c>
      <c r="E219" s="11" t="s">
        <v>899</v>
      </c>
      <c r="F219" s="11" t="s">
        <v>963</v>
      </c>
      <c r="G219" s="11" t="s">
        <v>1656</v>
      </c>
      <c r="H219" s="8" t="s">
        <v>151</v>
      </c>
      <c r="I219" s="32" t="s">
        <v>2737</v>
      </c>
      <c r="J219" s="25">
        <v>43486</v>
      </c>
      <c r="K219" s="25">
        <v>44582</v>
      </c>
      <c r="L219" s="26">
        <f t="shared" si="102"/>
        <v>85.000000127543871</v>
      </c>
      <c r="M219" s="11">
        <v>4</v>
      </c>
      <c r="N219" s="11" t="s">
        <v>231</v>
      </c>
      <c r="O219" s="39" t="s">
        <v>541</v>
      </c>
      <c r="P219" s="39" t="s">
        <v>174</v>
      </c>
      <c r="Q219" s="11" t="s">
        <v>34</v>
      </c>
      <c r="R219" s="2">
        <f t="shared" si="103"/>
        <v>2998968.16</v>
      </c>
      <c r="S219" s="57">
        <v>2998968.16</v>
      </c>
      <c r="T219" s="57">
        <v>0</v>
      </c>
      <c r="U219" s="1">
        <f t="shared" si="104"/>
        <v>458665.73</v>
      </c>
      <c r="V219" s="28">
        <v>458665.73</v>
      </c>
      <c r="W219" s="28">
        <v>0</v>
      </c>
      <c r="X219" s="1">
        <f t="shared" si="105"/>
        <v>70563.94</v>
      </c>
      <c r="Y219" s="2">
        <v>70563.94</v>
      </c>
      <c r="Z219" s="30">
        <v>0</v>
      </c>
      <c r="AA219" s="2">
        <f t="shared" si="106"/>
        <v>0</v>
      </c>
      <c r="AB219" s="30">
        <v>0</v>
      </c>
      <c r="AC219" s="30">
        <v>0</v>
      </c>
      <c r="AD219" s="16">
        <f t="shared" si="90"/>
        <v>3528197.83</v>
      </c>
      <c r="AE219" s="35">
        <v>0</v>
      </c>
      <c r="AF219" s="2">
        <f t="shared" si="107"/>
        <v>3528197.83</v>
      </c>
      <c r="AG219" s="38" t="s">
        <v>857</v>
      </c>
      <c r="AH219" s="74" t="s">
        <v>1755</v>
      </c>
      <c r="AI219" s="30">
        <f>222039.75+785175.49+192185+143650+334183.42</f>
        <v>1677233.66</v>
      </c>
      <c r="AJ219" s="30">
        <f>33959.02+120085.66+29393+21970+51110.4</f>
        <v>256518.08</v>
      </c>
    </row>
    <row r="220" spans="1:37" s="179" customFormat="1" ht="156.75" customHeight="1" x14ac:dyDescent="0.25">
      <c r="A220" s="6">
        <v>217</v>
      </c>
      <c r="B220" s="31">
        <v>135509</v>
      </c>
      <c r="C220" s="11">
        <v>769</v>
      </c>
      <c r="D220" s="9" t="s">
        <v>1639</v>
      </c>
      <c r="E220" s="24" t="s">
        <v>1441</v>
      </c>
      <c r="F220" s="11" t="s">
        <v>1466</v>
      </c>
      <c r="G220" s="11" t="s">
        <v>908</v>
      </c>
      <c r="H220" s="8" t="s">
        <v>151</v>
      </c>
      <c r="I220" s="32" t="s">
        <v>1670</v>
      </c>
      <c r="J220" s="25">
        <v>43959</v>
      </c>
      <c r="K220" s="25">
        <v>44781</v>
      </c>
      <c r="L220" s="26">
        <f t="shared" si="102"/>
        <v>85.000001093049093</v>
      </c>
      <c r="M220" s="11">
        <v>4</v>
      </c>
      <c r="N220" s="11" t="s">
        <v>231</v>
      </c>
      <c r="O220" s="39" t="s">
        <v>541</v>
      </c>
      <c r="P220" s="39" t="s">
        <v>174</v>
      </c>
      <c r="Q220" s="11" t="s">
        <v>1450</v>
      </c>
      <c r="R220" s="2">
        <f t="shared" si="103"/>
        <v>777641.21</v>
      </c>
      <c r="S220" s="57">
        <v>777641.21</v>
      </c>
      <c r="T220" s="57">
        <v>0</v>
      </c>
      <c r="U220" s="1">
        <f t="shared" si="104"/>
        <v>118933.35</v>
      </c>
      <c r="V220" s="28">
        <v>118933.35</v>
      </c>
      <c r="W220" s="28">
        <v>0</v>
      </c>
      <c r="X220" s="1">
        <f t="shared" si="105"/>
        <v>18297.439999999999</v>
      </c>
      <c r="Y220" s="2">
        <v>18297.439999999999</v>
      </c>
      <c r="Z220" s="30">
        <v>0</v>
      </c>
      <c r="AA220" s="2">
        <f t="shared" si="106"/>
        <v>0</v>
      </c>
      <c r="AB220" s="30">
        <v>0</v>
      </c>
      <c r="AC220" s="30">
        <v>0</v>
      </c>
      <c r="AD220" s="16">
        <f t="shared" si="90"/>
        <v>914871.99999999988</v>
      </c>
      <c r="AE220" s="35">
        <v>0</v>
      </c>
      <c r="AF220" s="2">
        <f t="shared" si="107"/>
        <v>914871.99999999988</v>
      </c>
      <c r="AG220" s="38" t="s">
        <v>857</v>
      </c>
      <c r="AH220" s="74" t="s">
        <v>1757</v>
      </c>
      <c r="AI220" s="30">
        <f>13554.11+150600.21+142355.48+215854.1</f>
        <v>522363.9</v>
      </c>
      <c r="AJ220" s="30">
        <f>2072.97+23032.98+21772.01+33012.98</f>
        <v>79890.94</v>
      </c>
    </row>
    <row r="221" spans="1:37" s="179" customFormat="1" ht="156.75" customHeight="1" x14ac:dyDescent="0.25">
      <c r="A221" s="6">
        <v>218</v>
      </c>
      <c r="B221" s="31">
        <v>151884</v>
      </c>
      <c r="C221" s="11">
        <v>1104</v>
      </c>
      <c r="D221" s="9" t="s">
        <v>1640</v>
      </c>
      <c r="E221" s="24" t="s">
        <v>1807</v>
      </c>
      <c r="F221" s="11" t="s">
        <v>1820</v>
      </c>
      <c r="G221" s="11" t="s">
        <v>908</v>
      </c>
      <c r="H221" s="8" t="s">
        <v>151</v>
      </c>
      <c r="I221" s="32" t="s">
        <v>2738</v>
      </c>
      <c r="J221" s="25">
        <v>44476</v>
      </c>
      <c r="K221" s="25">
        <v>44872</v>
      </c>
      <c r="L221" s="26">
        <f t="shared" si="102"/>
        <v>85</v>
      </c>
      <c r="M221" s="11">
        <v>4</v>
      </c>
      <c r="N221" s="11" t="s">
        <v>231</v>
      </c>
      <c r="O221" s="39" t="s">
        <v>541</v>
      </c>
      <c r="P221" s="39" t="s">
        <v>174</v>
      </c>
      <c r="Q221" s="11" t="s">
        <v>1450</v>
      </c>
      <c r="R221" s="2">
        <f t="shared" si="103"/>
        <v>283118.84999999998</v>
      </c>
      <c r="S221" s="57">
        <v>283118.84999999998</v>
      </c>
      <c r="T221" s="57">
        <v>0</v>
      </c>
      <c r="U221" s="1">
        <f t="shared" si="104"/>
        <v>43300.53</v>
      </c>
      <c r="V221" s="28">
        <v>43300.53</v>
      </c>
      <c r="W221" s="28">
        <v>0</v>
      </c>
      <c r="X221" s="1">
        <f t="shared" si="105"/>
        <v>6661.62</v>
      </c>
      <c r="Y221" s="2">
        <v>6661.62</v>
      </c>
      <c r="Z221" s="30">
        <v>0</v>
      </c>
      <c r="AA221" s="2">
        <f t="shared" si="106"/>
        <v>0</v>
      </c>
      <c r="AB221" s="30">
        <v>0</v>
      </c>
      <c r="AC221" s="30">
        <v>0</v>
      </c>
      <c r="AD221" s="16">
        <f t="shared" si="90"/>
        <v>333081</v>
      </c>
      <c r="AE221" s="35">
        <v>0</v>
      </c>
      <c r="AF221" s="2">
        <f t="shared" si="107"/>
        <v>333081</v>
      </c>
      <c r="AG221" s="38" t="s">
        <v>486</v>
      </c>
      <c r="AH221" s="74" t="s">
        <v>151</v>
      </c>
      <c r="AI221" s="30">
        <f>102768.4+40965.75</f>
        <v>143734.15</v>
      </c>
      <c r="AJ221" s="30">
        <f>15717.52+6265.35</f>
        <v>21982.870000000003</v>
      </c>
    </row>
    <row r="222" spans="1:37" s="179" customFormat="1" ht="141.75" x14ac:dyDescent="0.25">
      <c r="A222" s="6">
        <v>219</v>
      </c>
      <c r="B222" s="31">
        <v>111237</v>
      </c>
      <c r="C222" s="11">
        <v>124</v>
      </c>
      <c r="D222" s="9" t="s">
        <v>1639</v>
      </c>
      <c r="E222" s="24" t="s">
        <v>277</v>
      </c>
      <c r="F222" s="11" t="s">
        <v>433</v>
      </c>
      <c r="G222" s="11" t="s">
        <v>1254</v>
      </c>
      <c r="H222" s="8" t="s">
        <v>151</v>
      </c>
      <c r="I222" s="12" t="s">
        <v>434</v>
      </c>
      <c r="J222" s="25">
        <v>43145</v>
      </c>
      <c r="K222" s="25">
        <v>43783</v>
      </c>
      <c r="L222" s="26">
        <f t="shared" ref="L222:L231" si="108">R222/AD222*100</f>
        <v>85.000000000000014</v>
      </c>
      <c r="M222" s="11">
        <v>7</v>
      </c>
      <c r="N222" s="15" t="s">
        <v>222</v>
      </c>
      <c r="O222" s="11" t="s">
        <v>217</v>
      </c>
      <c r="P222" s="27" t="s">
        <v>174</v>
      </c>
      <c r="Q222" s="11" t="s">
        <v>34</v>
      </c>
      <c r="R222" s="105">
        <f t="shared" ref="R222:R231" si="109">S222+T222</f>
        <v>306686.8</v>
      </c>
      <c r="S222" s="57">
        <v>306686.8</v>
      </c>
      <c r="T222" s="106">
        <v>0</v>
      </c>
      <c r="U222" s="1">
        <f t="shared" si="104"/>
        <v>46905.04</v>
      </c>
      <c r="V222" s="28">
        <v>46905.04</v>
      </c>
      <c r="W222" s="28">
        <v>0</v>
      </c>
      <c r="X222" s="1">
        <f t="shared" si="105"/>
        <v>7216.16</v>
      </c>
      <c r="Y222" s="2">
        <v>7216.16</v>
      </c>
      <c r="Z222" s="2">
        <v>0</v>
      </c>
      <c r="AA222" s="2">
        <f t="shared" ref="AA222:AA231" si="110">AB222+AC222</f>
        <v>0</v>
      </c>
      <c r="AB222" s="2">
        <v>0</v>
      </c>
      <c r="AC222" s="2">
        <v>0</v>
      </c>
      <c r="AD222" s="16">
        <f t="shared" si="90"/>
        <v>360807.99999999994</v>
      </c>
      <c r="AE222" s="2">
        <v>0</v>
      </c>
      <c r="AF222" s="2">
        <f t="shared" ref="AF222:AF231" si="111">AD222+AE222</f>
        <v>360807.99999999994</v>
      </c>
      <c r="AG222" s="21" t="s">
        <v>857</v>
      </c>
      <c r="AH222" s="29" t="s">
        <v>1252</v>
      </c>
      <c r="AI222" s="30">
        <v>194851.21</v>
      </c>
      <c r="AJ222" s="30">
        <v>29800.81</v>
      </c>
      <c r="AK222" s="43"/>
    </row>
    <row r="223" spans="1:37" s="179" customFormat="1" ht="259.5" customHeight="1" x14ac:dyDescent="0.25">
      <c r="A223" s="6">
        <v>220</v>
      </c>
      <c r="B223" s="31">
        <v>126548</v>
      </c>
      <c r="C223" s="11">
        <v>533</v>
      </c>
      <c r="D223" s="9" t="s">
        <v>1639</v>
      </c>
      <c r="E223" s="24" t="s">
        <v>899</v>
      </c>
      <c r="F223" s="11" t="s">
        <v>1054</v>
      </c>
      <c r="G223" s="11" t="s">
        <v>1055</v>
      </c>
      <c r="H223" s="8" t="s">
        <v>151</v>
      </c>
      <c r="I223" s="12" t="s">
        <v>2739</v>
      </c>
      <c r="J223" s="25">
        <v>43595</v>
      </c>
      <c r="K223" s="25">
        <v>44449</v>
      </c>
      <c r="L223" s="26">
        <f t="shared" si="108"/>
        <v>85.000007303770332</v>
      </c>
      <c r="M223" s="11">
        <v>7</v>
      </c>
      <c r="N223" s="15" t="s">
        <v>222</v>
      </c>
      <c r="O223" s="15" t="s">
        <v>222</v>
      </c>
      <c r="P223" s="27" t="s">
        <v>174</v>
      </c>
      <c r="Q223" s="11" t="s">
        <v>34</v>
      </c>
      <c r="R223" s="107">
        <f>S223+T223</f>
        <v>436418.46999999991</v>
      </c>
      <c r="S223" s="42">
        <v>436418.46999999991</v>
      </c>
      <c r="T223" s="42">
        <v>0</v>
      </c>
      <c r="U223" s="28">
        <f>V223+W223</f>
        <v>66746.31</v>
      </c>
      <c r="V223" s="42">
        <v>66746.31</v>
      </c>
      <c r="W223" s="42">
        <v>0</v>
      </c>
      <c r="X223" s="28">
        <f>Y223+Z223</f>
        <v>10268.67</v>
      </c>
      <c r="Y223" s="42">
        <v>10268.67</v>
      </c>
      <c r="Z223" s="42">
        <v>0</v>
      </c>
      <c r="AA223" s="28">
        <v>0</v>
      </c>
      <c r="AB223" s="28">
        <v>0</v>
      </c>
      <c r="AC223" s="28">
        <v>0</v>
      </c>
      <c r="AD223" s="16">
        <f t="shared" si="90"/>
        <v>513433.4499999999</v>
      </c>
      <c r="AE223" s="2">
        <v>0</v>
      </c>
      <c r="AF223" s="2">
        <v>513433.4499999999</v>
      </c>
      <c r="AG223" s="38" t="s">
        <v>857</v>
      </c>
      <c r="AH223" s="38" t="s">
        <v>1749</v>
      </c>
      <c r="AI223" s="30">
        <f>86309.8+49942.6+114116.43+135198.22</f>
        <v>385567.05</v>
      </c>
      <c r="AJ223" s="30">
        <f>13200.3+7638.28+17453.1+20677.36</f>
        <v>58969.039999999994</v>
      </c>
    </row>
    <row r="224" spans="1:37" s="179" customFormat="1" ht="259.5" customHeight="1" x14ac:dyDescent="0.25">
      <c r="A224" s="6">
        <v>221</v>
      </c>
      <c r="B224" s="31">
        <v>128765</v>
      </c>
      <c r="C224" s="11">
        <v>633</v>
      </c>
      <c r="D224" s="9" t="s">
        <v>1639</v>
      </c>
      <c r="E224" s="24" t="s">
        <v>1071</v>
      </c>
      <c r="F224" s="11" t="s">
        <v>1136</v>
      </c>
      <c r="G224" s="11" t="s">
        <v>831</v>
      </c>
      <c r="H224" s="8" t="s">
        <v>151</v>
      </c>
      <c r="I224" s="12" t="s">
        <v>1255</v>
      </c>
      <c r="J224" s="25">
        <v>43647</v>
      </c>
      <c r="K224" s="25">
        <v>44501</v>
      </c>
      <c r="L224" s="26">
        <f t="shared" si="108"/>
        <v>85.000000191241938</v>
      </c>
      <c r="M224" s="11">
        <v>7</v>
      </c>
      <c r="N224" s="15" t="s">
        <v>222</v>
      </c>
      <c r="O224" s="15" t="s">
        <v>1137</v>
      </c>
      <c r="P224" s="27" t="s">
        <v>174</v>
      </c>
      <c r="Q224" s="11" t="s">
        <v>34</v>
      </c>
      <c r="R224" s="105">
        <f t="shared" si="109"/>
        <v>2222316.08</v>
      </c>
      <c r="S224" s="30">
        <v>2222316.08</v>
      </c>
      <c r="T224" s="36">
        <v>0</v>
      </c>
      <c r="U224" s="1">
        <f t="shared" si="104"/>
        <v>339883.63</v>
      </c>
      <c r="V224" s="55">
        <v>339883.63</v>
      </c>
      <c r="W224" s="55">
        <v>0</v>
      </c>
      <c r="X224" s="1">
        <f t="shared" si="105"/>
        <v>52289.79</v>
      </c>
      <c r="Y224" s="51">
        <v>52289.79</v>
      </c>
      <c r="Z224" s="51">
        <v>0</v>
      </c>
      <c r="AA224" s="2">
        <f t="shared" si="110"/>
        <v>0</v>
      </c>
      <c r="AB224" s="36">
        <v>0</v>
      </c>
      <c r="AC224" s="36">
        <v>0</v>
      </c>
      <c r="AD224" s="16">
        <f t="shared" si="90"/>
        <v>2614489.5</v>
      </c>
      <c r="AE224" s="2">
        <v>0</v>
      </c>
      <c r="AF224" s="2">
        <f t="shared" si="111"/>
        <v>2614489.5</v>
      </c>
      <c r="AG224" s="38" t="s">
        <v>857</v>
      </c>
      <c r="AH224" s="35"/>
      <c r="AI224" s="30">
        <f>57017.37+1947946.74+170802.16</f>
        <v>2175766.27</v>
      </c>
      <c r="AJ224" s="30">
        <f>8135.13+297921.27+26707.85</f>
        <v>332764.25</v>
      </c>
    </row>
    <row r="225" spans="1:36" s="179" customFormat="1" ht="259.5" customHeight="1" x14ac:dyDescent="0.25">
      <c r="A225" s="6">
        <v>222</v>
      </c>
      <c r="B225" s="31">
        <v>129281</v>
      </c>
      <c r="C225" s="11">
        <v>658</v>
      </c>
      <c r="D225" s="9" t="s">
        <v>1639</v>
      </c>
      <c r="E225" s="24" t="s">
        <v>1071</v>
      </c>
      <c r="F225" s="11" t="s">
        <v>1253</v>
      </c>
      <c r="G225" s="11" t="s">
        <v>1254</v>
      </c>
      <c r="H225" s="8" t="s">
        <v>151</v>
      </c>
      <c r="I225" s="12" t="s">
        <v>2740</v>
      </c>
      <c r="J225" s="25">
        <v>43710</v>
      </c>
      <c r="K225" s="25">
        <v>44532</v>
      </c>
      <c r="L225" s="26">
        <f t="shared" si="108"/>
        <v>85.000000187352825</v>
      </c>
      <c r="M225" s="11">
        <v>7</v>
      </c>
      <c r="N225" s="15" t="s">
        <v>222</v>
      </c>
      <c r="O225" s="15" t="s">
        <v>217</v>
      </c>
      <c r="P225" s="27" t="s">
        <v>174</v>
      </c>
      <c r="Q225" s="11" t="s">
        <v>34</v>
      </c>
      <c r="R225" s="105">
        <f t="shared" si="109"/>
        <v>2495291.94</v>
      </c>
      <c r="S225" s="30">
        <v>2495291.94</v>
      </c>
      <c r="T225" s="36">
        <v>0</v>
      </c>
      <c r="U225" s="1">
        <f t="shared" si="104"/>
        <v>381632.89</v>
      </c>
      <c r="V225" s="55">
        <v>381632.89</v>
      </c>
      <c r="W225" s="55">
        <v>0</v>
      </c>
      <c r="X225" s="1">
        <f t="shared" si="105"/>
        <v>58712.74</v>
      </c>
      <c r="Y225" s="51">
        <v>58712.74</v>
      </c>
      <c r="Z225" s="51">
        <v>0</v>
      </c>
      <c r="AA225" s="2">
        <f t="shared" si="110"/>
        <v>0</v>
      </c>
      <c r="AB225" s="36">
        <v>0</v>
      </c>
      <c r="AC225" s="36">
        <v>0</v>
      </c>
      <c r="AD225" s="16">
        <f t="shared" si="90"/>
        <v>2935637.5700000003</v>
      </c>
      <c r="AE225" s="2">
        <v>0</v>
      </c>
      <c r="AF225" s="2">
        <f t="shared" si="111"/>
        <v>2935637.5700000003</v>
      </c>
      <c r="AG225" s="38" t="s">
        <v>857</v>
      </c>
      <c r="AH225" s="35"/>
      <c r="AI225" s="30">
        <v>505.75</v>
      </c>
      <c r="AJ225" s="30">
        <v>77.349999999999994</v>
      </c>
    </row>
    <row r="226" spans="1:36" s="179" customFormat="1" ht="187.5" customHeight="1" x14ac:dyDescent="0.25">
      <c r="A226" s="6">
        <v>223</v>
      </c>
      <c r="B226" s="31">
        <v>135297</v>
      </c>
      <c r="C226" s="11">
        <v>797</v>
      </c>
      <c r="D226" s="9" t="s">
        <v>1639</v>
      </c>
      <c r="E226" s="24" t="s">
        <v>1441</v>
      </c>
      <c r="F226" s="11" t="s">
        <v>1519</v>
      </c>
      <c r="G226" s="11" t="s">
        <v>1520</v>
      </c>
      <c r="H226" s="8" t="s">
        <v>151</v>
      </c>
      <c r="I226" s="12" t="s">
        <v>2741</v>
      </c>
      <c r="J226" s="25">
        <v>43987</v>
      </c>
      <c r="K226" s="25">
        <v>45265</v>
      </c>
      <c r="L226" s="26">
        <f t="shared" si="108"/>
        <v>85.000000104918257</v>
      </c>
      <c r="M226" s="11">
        <v>7</v>
      </c>
      <c r="N226" s="15" t="s">
        <v>222</v>
      </c>
      <c r="O226" s="15" t="s">
        <v>1521</v>
      </c>
      <c r="P226" s="27" t="s">
        <v>174</v>
      </c>
      <c r="Q226" s="11" t="s">
        <v>34</v>
      </c>
      <c r="R226" s="105">
        <f t="shared" si="109"/>
        <v>2430463.5</v>
      </c>
      <c r="S226" s="30">
        <v>2430463.5</v>
      </c>
      <c r="T226" s="36">
        <v>0</v>
      </c>
      <c r="U226" s="1">
        <f t="shared" si="104"/>
        <v>371717.94</v>
      </c>
      <c r="V226" s="55">
        <v>371717.94</v>
      </c>
      <c r="W226" s="55">
        <v>0</v>
      </c>
      <c r="X226" s="1">
        <f t="shared" si="105"/>
        <v>57187.38</v>
      </c>
      <c r="Y226" s="51">
        <v>57187.38</v>
      </c>
      <c r="Z226" s="51">
        <v>0</v>
      </c>
      <c r="AA226" s="2">
        <f t="shared" si="110"/>
        <v>0</v>
      </c>
      <c r="AB226" s="55">
        <v>0</v>
      </c>
      <c r="AC226" s="55">
        <v>0</v>
      </c>
      <c r="AD226" s="16">
        <f t="shared" si="90"/>
        <v>2859368.82</v>
      </c>
      <c r="AE226" s="2">
        <v>0</v>
      </c>
      <c r="AF226" s="2">
        <f t="shared" si="111"/>
        <v>2859368.82</v>
      </c>
      <c r="AG226" s="38" t="s">
        <v>486</v>
      </c>
      <c r="AH226" s="38" t="s">
        <v>2559</v>
      </c>
      <c r="AI226" s="30">
        <v>0</v>
      </c>
      <c r="AJ226" s="30">
        <v>0</v>
      </c>
    </row>
    <row r="227" spans="1:36" s="179" customFormat="1" ht="187.5" customHeight="1" x14ac:dyDescent="0.25">
      <c r="A227" s="6">
        <v>224</v>
      </c>
      <c r="B227" s="31">
        <v>151800</v>
      </c>
      <c r="C227" s="11">
        <v>1105</v>
      </c>
      <c r="D227" s="9" t="s">
        <v>1640</v>
      </c>
      <c r="E227" s="24" t="s">
        <v>1807</v>
      </c>
      <c r="F227" s="11" t="s">
        <v>1852</v>
      </c>
      <c r="G227" s="11" t="s">
        <v>1851</v>
      </c>
      <c r="H227" s="8" t="s">
        <v>151</v>
      </c>
      <c r="I227" s="12" t="s">
        <v>2742</v>
      </c>
      <c r="J227" s="25">
        <v>44498</v>
      </c>
      <c r="K227" s="108">
        <v>44985</v>
      </c>
      <c r="L227" s="26">
        <f t="shared" si="108"/>
        <v>85</v>
      </c>
      <c r="M227" s="11">
        <v>7</v>
      </c>
      <c r="N227" s="15" t="s">
        <v>222</v>
      </c>
      <c r="O227" s="15" t="s">
        <v>1853</v>
      </c>
      <c r="P227" s="27" t="s">
        <v>174</v>
      </c>
      <c r="Q227" s="11" t="s">
        <v>34</v>
      </c>
      <c r="R227" s="105">
        <f t="shared" si="109"/>
        <v>290246.09999999998</v>
      </c>
      <c r="S227" s="30">
        <v>290246.09999999998</v>
      </c>
      <c r="T227" s="36">
        <v>0</v>
      </c>
      <c r="U227" s="1">
        <f t="shared" si="104"/>
        <v>44390.58</v>
      </c>
      <c r="V227" s="55">
        <v>44390.58</v>
      </c>
      <c r="W227" s="55">
        <v>0</v>
      </c>
      <c r="X227" s="1">
        <f t="shared" si="105"/>
        <v>6829.32</v>
      </c>
      <c r="Y227" s="51">
        <v>6829.32</v>
      </c>
      <c r="Z227" s="51">
        <v>0</v>
      </c>
      <c r="AA227" s="2">
        <f t="shared" si="110"/>
        <v>0</v>
      </c>
      <c r="AB227" s="55">
        <v>0</v>
      </c>
      <c r="AC227" s="55">
        <v>0</v>
      </c>
      <c r="AD227" s="16">
        <f t="shared" si="90"/>
        <v>341466</v>
      </c>
      <c r="AE227" s="2">
        <v>0</v>
      </c>
      <c r="AF227" s="2">
        <f t="shared" si="111"/>
        <v>341466</v>
      </c>
      <c r="AG227" s="38" t="s">
        <v>486</v>
      </c>
      <c r="AH227" s="35"/>
      <c r="AI227" s="30">
        <v>22289.85</v>
      </c>
      <c r="AJ227" s="30">
        <v>3409.04</v>
      </c>
    </row>
    <row r="228" spans="1:36" s="179" customFormat="1" ht="187.5" customHeight="1" x14ac:dyDescent="0.25">
      <c r="A228" s="6">
        <v>225</v>
      </c>
      <c r="B228" s="31">
        <v>152128</v>
      </c>
      <c r="C228" s="11">
        <v>1134</v>
      </c>
      <c r="D228" s="9" t="s">
        <v>1640</v>
      </c>
      <c r="E228" s="24" t="s">
        <v>1807</v>
      </c>
      <c r="F228" s="11" t="s">
        <v>1884</v>
      </c>
      <c r="G228" s="11" t="s">
        <v>831</v>
      </c>
      <c r="H228" s="8" t="s">
        <v>151</v>
      </c>
      <c r="I228" s="12" t="s">
        <v>1885</v>
      </c>
      <c r="J228" s="25">
        <v>44518</v>
      </c>
      <c r="K228" s="25">
        <v>45003</v>
      </c>
      <c r="L228" s="26">
        <f t="shared" si="108"/>
        <v>85</v>
      </c>
      <c r="M228" s="11">
        <v>7</v>
      </c>
      <c r="N228" s="15" t="s">
        <v>222</v>
      </c>
      <c r="O228" s="15" t="s">
        <v>1137</v>
      </c>
      <c r="P228" s="27" t="s">
        <v>174</v>
      </c>
      <c r="Q228" s="11" t="s">
        <v>34</v>
      </c>
      <c r="R228" s="105">
        <f t="shared" si="109"/>
        <v>352642.05</v>
      </c>
      <c r="S228" s="30">
        <v>352642.05</v>
      </c>
      <c r="T228" s="36">
        <v>0</v>
      </c>
      <c r="U228" s="1">
        <f t="shared" si="104"/>
        <v>53933.49</v>
      </c>
      <c r="V228" s="55">
        <v>53933.49</v>
      </c>
      <c r="W228" s="55">
        <v>0</v>
      </c>
      <c r="X228" s="1">
        <f t="shared" si="105"/>
        <v>8297.4599999999991</v>
      </c>
      <c r="Y228" s="51">
        <v>8297.4599999999991</v>
      </c>
      <c r="Z228" s="51">
        <v>0</v>
      </c>
      <c r="AA228" s="2">
        <f t="shared" si="110"/>
        <v>0</v>
      </c>
      <c r="AB228" s="55">
        <v>0</v>
      </c>
      <c r="AC228" s="55">
        <v>0</v>
      </c>
      <c r="AD228" s="16">
        <f t="shared" si="90"/>
        <v>414873</v>
      </c>
      <c r="AE228" s="2">
        <v>0</v>
      </c>
      <c r="AF228" s="2">
        <f t="shared" si="111"/>
        <v>414873</v>
      </c>
      <c r="AG228" s="38" t="s">
        <v>486</v>
      </c>
      <c r="AH228" s="35"/>
      <c r="AI228" s="30">
        <f>34910.1+95716.4</f>
        <v>130626.5</v>
      </c>
      <c r="AJ228" s="30">
        <f>5339.19+14638.98</f>
        <v>19978.169999999998</v>
      </c>
    </row>
    <row r="229" spans="1:36" s="179" customFormat="1" ht="187.5" customHeight="1" x14ac:dyDescent="0.25">
      <c r="A229" s="6">
        <v>226</v>
      </c>
      <c r="B229" s="31">
        <v>153917</v>
      </c>
      <c r="C229" s="11">
        <v>1197</v>
      </c>
      <c r="D229" s="9" t="s">
        <v>1639</v>
      </c>
      <c r="E229" s="24" t="s">
        <v>2024</v>
      </c>
      <c r="F229" s="11" t="s">
        <v>2091</v>
      </c>
      <c r="G229" s="11" t="s">
        <v>1851</v>
      </c>
      <c r="H229" s="8" t="s">
        <v>151</v>
      </c>
      <c r="I229" s="12" t="s">
        <v>2743</v>
      </c>
      <c r="J229" s="25">
        <v>44655</v>
      </c>
      <c r="K229" s="25">
        <v>45142</v>
      </c>
      <c r="L229" s="26">
        <f t="shared" si="108"/>
        <v>85</v>
      </c>
      <c r="M229" s="11">
        <v>7</v>
      </c>
      <c r="N229" s="15" t="s">
        <v>222</v>
      </c>
      <c r="O229" s="15" t="s">
        <v>1853</v>
      </c>
      <c r="P229" s="27" t="s">
        <v>174</v>
      </c>
      <c r="Q229" s="11" t="s">
        <v>34</v>
      </c>
      <c r="R229" s="105">
        <f t="shared" si="109"/>
        <v>2460451.65</v>
      </c>
      <c r="S229" s="30">
        <v>2460451.65</v>
      </c>
      <c r="T229" s="36">
        <v>0</v>
      </c>
      <c r="U229" s="1">
        <f t="shared" si="104"/>
        <v>376304.37</v>
      </c>
      <c r="V229" s="55">
        <v>376304.37</v>
      </c>
      <c r="W229" s="55">
        <v>0</v>
      </c>
      <c r="X229" s="1">
        <f t="shared" si="105"/>
        <v>57892.98</v>
      </c>
      <c r="Y229" s="51">
        <v>57892.98</v>
      </c>
      <c r="Z229" s="51">
        <v>0</v>
      </c>
      <c r="AA229" s="2">
        <f t="shared" si="110"/>
        <v>0</v>
      </c>
      <c r="AB229" s="55">
        <v>0</v>
      </c>
      <c r="AC229" s="55">
        <v>0</v>
      </c>
      <c r="AD229" s="16">
        <f t="shared" si="90"/>
        <v>2894649</v>
      </c>
      <c r="AE229" s="2">
        <v>0</v>
      </c>
      <c r="AF229" s="2">
        <f t="shared" si="111"/>
        <v>2894649</v>
      </c>
      <c r="AG229" s="38" t="s">
        <v>486</v>
      </c>
      <c r="AH229" s="35"/>
      <c r="AI229" s="30">
        <v>289464.90000000002</v>
      </c>
      <c r="AJ229" s="30">
        <v>0</v>
      </c>
    </row>
    <row r="230" spans="1:36" s="179" customFormat="1" ht="187.5" customHeight="1" x14ac:dyDescent="0.25">
      <c r="A230" s="6">
        <v>227</v>
      </c>
      <c r="B230" s="31">
        <v>154959</v>
      </c>
      <c r="C230" s="11">
        <v>1227</v>
      </c>
      <c r="D230" s="9" t="s">
        <v>1639</v>
      </c>
      <c r="E230" s="24" t="s">
        <v>2024</v>
      </c>
      <c r="F230" s="11" t="s">
        <v>2199</v>
      </c>
      <c r="G230" s="11" t="s">
        <v>831</v>
      </c>
      <c r="H230" s="8" t="s">
        <v>151</v>
      </c>
      <c r="I230" s="12" t="s">
        <v>2744</v>
      </c>
      <c r="J230" s="25">
        <v>44656</v>
      </c>
      <c r="K230" s="25">
        <v>45174</v>
      </c>
      <c r="L230" s="26">
        <f t="shared" si="108"/>
        <v>85</v>
      </c>
      <c r="M230" s="11">
        <v>7</v>
      </c>
      <c r="N230" s="15" t="s">
        <v>222</v>
      </c>
      <c r="O230" s="15" t="s">
        <v>1137</v>
      </c>
      <c r="P230" s="27" t="s">
        <v>174</v>
      </c>
      <c r="Q230" s="11" t="s">
        <v>34</v>
      </c>
      <c r="R230" s="105">
        <f t="shared" si="109"/>
        <v>3255721</v>
      </c>
      <c r="S230" s="30">
        <v>3255721</v>
      </c>
      <c r="T230" s="36">
        <v>0</v>
      </c>
      <c r="U230" s="1">
        <f t="shared" si="104"/>
        <v>497933.8</v>
      </c>
      <c r="V230" s="42">
        <v>497933.8</v>
      </c>
      <c r="W230" s="42">
        <v>0</v>
      </c>
      <c r="X230" s="1">
        <f t="shared" si="105"/>
        <v>76605.2</v>
      </c>
      <c r="Y230" s="30">
        <v>76605.2</v>
      </c>
      <c r="Z230" s="30">
        <v>0</v>
      </c>
      <c r="AA230" s="2">
        <f t="shared" si="110"/>
        <v>0</v>
      </c>
      <c r="AB230" s="42">
        <v>0</v>
      </c>
      <c r="AC230" s="42">
        <v>0</v>
      </c>
      <c r="AD230" s="16">
        <f t="shared" si="90"/>
        <v>3830260</v>
      </c>
      <c r="AE230" s="2">
        <v>0</v>
      </c>
      <c r="AF230" s="2">
        <f t="shared" si="111"/>
        <v>3830260</v>
      </c>
      <c r="AG230" s="38" t="s">
        <v>486</v>
      </c>
      <c r="AH230" s="35"/>
      <c r="AI230" s="30">
        <v>279800</v>
      </c>
      <c r="AJ230" s="30">
        <v>0</v>
      </c>
    </row>
    <row r="231" spans="1:36" s="179" customFormat="1" ht="137.25" customHeight="1" x14ac:dyDescent="0.25">
      <c r="A231" s="6">
        <v>228</v>
      </c>
      <c r="B231" s="31">
        <v>155171</v>
      </c>
      <c r="C231" s="11">
        <v>1236</v>
      </c>
      <c r="D231" s="9" t="s">
        <v>1639</v>
      </c>
      <c r="E231" s="24" t="s">
        <v>2024</v>
      </c>
      <c r="F231" s="11" t="s">
        <v>2259</v>
      </c>
      <c r="G231" s="11" t="s">
        <v>1055</v>
      </c>
      <c r="H231" s="8" t="s">
        <v>151</v>
      </c>
      <c r="I231" s="12" t="s">
        <v>2745</v>
      </c>
      <c r="J231" s="25">
        <v>44715</v>
      </c>
      <c r="K231" s="25">
        <v>45202</v>
      </c>
      <c r="L231" s="26">
        <f t="shared" si="108"/>
        <v>85</v>
      </c>
      <c r="M231" s="11">
        <v>7</v>
      </c>
      <c r="N231" s="15" t="s">
        <v>222</v>
      </c>
      <c r="O231" s="15" t="s">
        <v>1853</v>
      </c>
      <c r="P231" s="27" t="s">
        <v>174</v>
      </c>
      <c r="Q231" s="11" t="s">
        <v>34</v>
      </c>
      <c r="R231" s="105">
        <f t="shared" si="109"/>
        <v>2539016.2999999998</v>
      </c>
      <c r="S231" s="30">
        <v>2539016.2999999998</v>
      </c>
      <c r="T231" s="41">
        <v>0</v>
      </c>
      <c r="U231" s="1">
        <f t="shared" si="104"/>
        <v>388320.14</v>
      </c>
      <c r="V231" s="42">
        <v>388320.14</v>
      </c>
      <c r="W231" s="42">
        <v>0</v>
      </c>
      <c r="X231" s="1">
        <f t="shared" si="105"/>
        <v>59741.56</v>
      </c>
      <c r="Y231" s="30">
        <v>59741.56</v>
      </c>
      <c r="Z231" s="30">
        <v>0</v>
      </c>
      <c r="AA231" s="2">
        <f t="shared" si="110"/>
        <v>0</v>
      </c>
      <c r="AB231" s="42">
        <v>0</v>
      </c>
      <c r="AC231" s="42">
        <v>0</v>
      </c>
      <c r="AD231" s="16">
        <f t="shared" si="90"/>
        <v>2987078</v>
      </c>
      <c r="AE231" s="2">
        <v>0</v>
      </c>
      <c r="AF231" s="2">
        <f t="shared" si="111"/>
        <v>2987078</v>
      </c>
      <c r="AG231" s="38" t="s">
        <v>486</v>
      </c>
      <c r="AH231" s="35"/>
      <c r="AI231" s="30">
        <v>0</v>
      </c>
      <c r="AJ231" s="30">
        <v>0</v>
      </c>
    </row>
    <row r="232" spans="1:36" s="179" customFormat="1" ht="173.25" x14ac:dyDescent="0.25">
      <c r="A232" s="6">
        <v>229</v>
      </c>
      <c r="B232" s="31">
        <v>120617</v>
      </c>
      <c r="C232" s="11">
        <v>79</v>
      </c>
      <c r="D232" s="9" t="s">
        <v>1639</v>
      </c>
      <c r="E232" s="24" t="s">
        <v>277</v>
      </c>
      <c r="F232" s="27" t="s">
        <v>210</v>
      </c>
      <c r="G232" s="31" t="s">
        <v>211</v>
      </c>
      <c r="H232" s="8" t="s">
        <v>151</v>
      </c>
      <c r="I232" s="12" t="s">
        <v>214</v>
      </c>
      <c r="J232" s="25">
        <v>43145</v>
      </c>
      <c r="K232" s="25">
        <v>43630</v>
      </c>
      <c r="L232" s="26">
        <f t="shared" ref="L232:L247" si="112">R232/AD232*100</f>
        <v>84.999999644441075</v>
      </c>
      <c r="M232" s="11">
        <v>5</v>
      </c>
      <c r="N232" s="11" t="s">
        <v>220</v>
      </c>
      <c r="O232" s="11" t="s">
        <v>215</v>
      </c>
      <c r="P232" s="27" t="s">
        <v>174</v>
      </c>
      <c r="Q232" s="11" t="s">
        <v>34</v>
      </c>
      <c r="R232" s="2">
        <f>S232+T232</f>
        <v>358590.34</v>
      </c>
      <c r="S232" s="57">
        <v>358590.34</v>
      </c>
      <c r="T232" s="2">
        <v>0</v>
      </c>
      <c r="U232" s="1">
        <f t="shared" ref="U232:U254" si="113">V232+W232</f>
        <v>54843.23</v>
      </c>
      <c r="V232" s="89">
        <v>54843.23</v>
      </c>
      <c r="W232" s="28">
        <v>0</v>
      </c>
      <c r="X232" s="1">
        <f t="shared" ref="X232:X254" si="114">Y232+Z232</f>
        <v>8437.42</v>
      </c>
      <c r="Y232" s="57">
        <v>8437.42</v>
      </c>
      <c r="Z232" s="1">
        <v>0</v>
      </c>
      <c r="AA232" s="2">
        <f t="shared" ref="AA232:AA254" si="115">AB232+AC232</f>
        <v>0</v>
      </c>
      <c r="AB232" s="2">
        <v>0</v>
      </c>
      <c r="AC232" s="2">
        <v>0</v>
      </c>
      <c r="AD232" s="16">
        <f t="shared" si="90"/>
        <v>421870.99</v>
      </c>
      <c r="AE232" s="2">
        <v>0</v>
      </c>
      <c r="AF232" s="2">
        <f t="shared" ref="AF232:AF254" si="116">AD232+AE232</f>
        <v>421870.99</v>
      </c>
      <c r="AG232" s="21" t="s">
        <v>857</v>
      </c>
      <c r="AH232" s="29" t="s">
        <v>151</v>
      </c>
      <c r="AI232" s="30">
        <v>257973.22999999998</v>
      </c>
      <c r="AJ232" s="30">
        <v>39454.700000000004</v>
      </c>
    </row>
    <row r="233" spans="1:36" s="179" customFormat="1" ht="141.75" x14ac:dyDescent="0.25">
      <c r="A233" s="6">
        <v>230</v>
      </c>
      <c r="B233" s="31">
        <v>118193</v>
      </c>
      <c r="C233" s="11">
        <v>424</v>
      </c>
      <c r="D233" s="32" t="s">
        <v>1640</v>
      </c>
      <c r="E233" s="24" t="s">
        <v>507</v>
      </c>
      <c r="F233" s="27" t="s">
        <v>590</v>
      </c>
      <c r="G233" s="31" t="s">
        <v>591</v>
      </c>
      <c r="H233" s="8" t="s">
        <v>151</v>
      </c>
      <c r="I233" s="32" t="s">
        <v>646</v>
      </c>
      <c r="J233" s="25">
        <v>43285</v>
      </c>
      <c r="K233" s="25">
        <v>43773</v>
      </c>
      <c r="L233" s="26">
        <f t="shared" si="112"/>
        <v>85.000000000000014</v>
      </c>
      <c r="M233" s="39">
        <v>5</v>
      </c>
      <c r="N233" s="11" t="s">
        <v>592</v>
      </c>
      <c r="O233" s="11" t="s">
        <v>593</v>
      </c>
      <c r="P233" s="11" t="s">
        <v>174</v>
      </c>
      <c r="Q233" s="11" t="s">
        <v>34</v>
      </c>
      <c r="R233" s="2">
        <v>239111.8</v>
      </c>
      <c r="S233" s="41">
        <v>239111.8</v>
      </c>
      <c r="T233" s="36">
        <v>0</v>
      </c>
      <c r="U233" s="1">
        <f t="shared" si="113"/>
        <v>36570.04</v>
      </c>
      <c r="V233" s="42">
        <v>36570.04</v>
      </c>
      <c r="W233" s="55"/>
      <c r="X233" s="1">
        <f t="shared" si="114"/>
        <v>5626.16</v>
      </c>
      <c r="Y233" s="30">
        <v>5626.16</v>
      </c>
      <c r="Z233" s="51">
        <v>0</v>
      </c>
      <c r="AA233" s="2">
        <f t="shared" si="115"/>
        <v>0</v>
      </c>
      <c r="AB233" s="2">
        <v>0</v>
      </c>
      <c r="AC233" s="2">
        <v>0</v>
      </c>
      <c r="AD233" s="16">
        <f t="shared" si="90"/>
        <v>281307.99999999994</v>
      </c>
      <c r="AE233" s="35"/>
      <c r="AF233" s="2">
        <f t="shared" si="116"/>
        <v>281307.99999999994</v>
      </c>
      <c r="AG233" s="21" t="s">
        <v>857</v>
      </c>
      <c r="AH233" s="35"/>
      <c r="AI233" s="30">
        <f>185666.26</f>
        <v>185666.26</v>
      </c>
      <c r="AJ233" s="30">
        <v>28396.000000000004</v>
      </c>
    </row>
    <row r="234" spans="1:36" s="179" customFormat="1" ht="204.75" x14ac:dyDescent="0.25">
      <c r="A234" s="6">
        <v>231</v>
      </c>
      <c r="B234" s="31">
        <v>117483</v>
      </c>
      <c r="C234" s="31">
        <v>412</v>
      </c>
      <c r="D234" s="32" t="s">
        <v>1640</v>
      </c>
      <c r="E234" s="24" t="s">
        <v>507</v>
      </c>
      <c r="F234" s="27" t="s">
        <v>701</v>
      </c>
      <c r="G234" s="70" t="s">
        <v>211</v>
      </c>
      <c r="H234" s="8" t="s">
        <v>151</v>
      </c>
      <c r="I234" s="32" t="s">
        <v>702</v>
      </c>
      <c r="J234" s="25">
        <v>43314</v>
      </c>
      <c r="K234" s="25">
        <v>43679</v>
      </c>
      <c r="L234" s="26">
        <f t="shared" si="112"/>
        <v>85.000000000000014</v>
      </c>
      <c r="M234" s="39">
        <v>5</v>
      </c>
      <c r="N234" s="11" t="s">
        <v>592</v>
      </c>
      <c r="O234" s="11" t="s">
        <v>215</v>
      </c>
      <c r="P234" s="27" t="s">
        <v>174</v>
      </c>
      <c r="Q234" s="11" t="s">
        <v>34</v>
      </c>
      <c r="R234" s="2">
        <v>242732.46</v>
      </c>
      <c r="S234" s="40">
        <f>R234</f>
        <v>242732.46</v>
      </c>
      <c r="T234" s="2">
        <v>0</v>
      </c>
      <c r="U234" s="1">
        <f t="shared" si="113"/>
        <v>37123.78</v>
      </c>
      <c r="V234" s="52">
        <v>37123.78</v>
      </c>
      <c r="W234" s="28">
        <v>0</v>
      </c>
      <c r="X234" s="1">
        <f t="shared" si="114"/>
        <v>5711.36</v>
      </c>
      <c r="Y234" s="40">
        <v>5711.36</v>
      </c>
      <c r="Z234" s="1">
        <v>0</v>
      </c>
      <c r="AA234" s="2">
        <f t="shared" si="115"/>
        <v>0</v>
      </c>
      <c r="AB234" s="2">
        <v>0</v>
      </c>
      <c r="AC234" s="2">
        <v>0</v>
      </c>
      <c r="AD234" s="16">
        <f t="shared" si="90"/>
        <v>285567.59999999998</v>
      </c>
      <c r="AE234" s="2">
        <v>0</v>
      </c>
      <c r="AF234" s="2">
        <f t="shared" si="116"/>
        <v>285567.59999999998</v>
      </c>
      <c r="AG234" s="21" t="s">
        <v>857</v>
      </c>
      <c r="AH234" s="29" t="s">
        <v>151</v>
      </c>
      <c r="AI234" s="30">
        <v>231572.1</v>
      </c>
      <c r="AJ234" s="30">
        <v>35416.890000000014</v>
      </c>
    </row>
    <row r="235" spans="1:36" s="179" customFormat="1" ht="141.75" x14ac:dyDescent="0.25">
      <c r="A235" s="6">
        <v>232</v>
      </c>
      <c r="B235" s="31">
        <v>126237</v>
      </c>
      <c r="C235" s="11">
        <v>529</v>
      </c>
      <c r="D235" s="9" t="s">
        <v>1639</v>
      </c>
      <c r="E235" s="11" t="s">
        <v>899</v>
      </c>
      <c r="F235" s="11" t="s">
        <v>942</v>
      </c>
      <c r="G235" s="11" t="s">
        <v>930</v>
      </c>
      <c r="H235" s="8" t="s">
        <v>151</v>
      </c>
      <c r="I235" s="46" t="s">
        <v>2746</v>
      </c>
      <c r="J235" s="25">
        <v>43446</v>
      </c>
      <c r="K235" s="25">
        <v>44177</v>
      </c>
      <c r="L235" s="26">
        <f t="shared" si="112"/>
        <v>85.000000000000014</v>
      </c>
      <c r="M235" s="11">
        <v>5</v>
      </c>
      <c r="N235" s="11" t="s">
        <v>592</v>
      </c>
      <c r="O235" s="11" t="s">
        <v>592</v>
      </c>
      <c r="P235" s="27" t="s">
        <v>174</v>
      </c>
      <c r="Q235" s="11" t="s">
        <v>34</v>
      </c>
      <c r="R235" s="2">
        <f t="shared" ref="R235:R247" si="117">S235+T235</f>
        <v>2072800.65</v>
      </c>
      <c r="S235" s="57">
        <v>2072800.65</v>
      </c>
      <c r="T235" s="2">
        <v>0</v>
      </c>
      <c r="U235" s="1">
        <f t="shared" si="113"/>
        <v>317016.56999999995</v>
      </c>
      <c r="V235" s="28">
        <v>317016.56999999995</v>
      </c>
      <c r="W235" s="28">
        <v>0</v>
      </c>
      <c r="X235" s="1">
        <f t="shared" si="114"/>
        <v>48771.78</v>
      </c>
      <c r="Y235" s="2">
        <v>48771.78</v>
      </c>
      <c r="Z235" s="2">
        <v>0</v>
      </c>
      <c r="AA235" s="2">
        <f t="shared" si="115"/>
        <v>0</v>
      </c>
      <c r="AB235" s="2">
        <v>0</v>
      </c>
      <c r="AC235" s="2">
        <v>0</v>
      </c>
      <c r="AD235" s="16">
        <f t="shared" si="90"/>
        <v>2438588.9999999995</v>
      </c>
      <c r="AE235" s="2">
        <v>0</v>
      </c>
      <c r="AF235" s="2">
        <f t="shared" si="116"/>
        <v>2438588.9999999995</v>
      </c>
      <c r="AG235" s="38" t="s">
        <v>857</v>
      </c>
      <c r="AH235" s="29" t="s">
        <v>151</v>
      </c>
      <c r="AI235" s="30">
        <f>1135968.56+22786.8+371374.35+170009.35</f>
        <v>1700139.06</v>
      </c>
      <c r="AJ235" s="30">
        <f>173736.37+3485.04+56798.43+26001.43</f>
        <v>260021.27</v>
      </c>
    </row>
    <row r="236" spans="1:36" s="179" customFormat="1" ht="156" customHeight="1" x14ac:dyDescent="0.25">
      <c r="A236" s="6">
        <v>233</v>
      </c>
      <c r="B236" s="31">
        <v>126422</v>
      </c>
      <c r="C236" s="11">
        <v>536</v>
      </c>
      <c r="D236" s="9" t="s">
        <v>1639</v>
      </c>
      <c r="E236" s="11" t="s">
        <v>899</v>
      </c>
      <c r="F236" s="11" t="s">
        <v>1034</v>
      </c>
      <c r="G236" s="15" t="s">
        <v>591</v>
      </c>
      <c r="H236" s="27" t="s">
        <v>1035</v>
      </c>
      <c r="I236" s="46" t="s">
        <v>2747</v>
      </c>
      <c r="J236" s="25">
        <v>43556</v>
      </c>
      <c r="K236" s="25">
        <v>44652</v>
      </c>
      <c r="L236" s="26">
        <f t="shared" si="112"/>
        <v>84.449828692364051</v>
      </c>
      <c r="M236" s="11">
        <v>5</v>
      </c>
      <c r="N236" s="11" t="s">
        <v>592</v>
      </c>
      <c r="O236" s="39" t="s">
        <v>593</v>
      </c>
      <c r="P236" s="27" t="s">
        <v>174</v>
      </c>
      <c r="Q236" s="11" t="s">
        <v>34</v>
      </c>
      <c r="R236" s="2">
        <f t="shared" si="117"/>
        <v>3195443.02</v>
      </c>
      <c r="S236" s="30">
        <v>3195443.02</v>
      </c>
      <c r="T236" s="30">
        <v>0</v>
      </c>
      <c r="U236" s="1">
        <f t="shared" si="113"/>
        <v>512716.26</v>
      </c>
      <c r="V236" s="42">
        <v>512716.26</v>
      </c>
      <c r="W236" s="28">
        <v>0</v>
      </c>
      <c r="X236" s="1">
        <f t="shared" si="114"/>
        <v>51185.440000000002</v>
      </c>
      <c r="Y236" s="30">
        <v>51185.440000000002</v>
      </c>
      <c r="Z236" s="30">
        <v>0</v>
      </c>
      <c r="AA236" s="2">
        <f t="shared" si="115"/>
        <v>24491.279999999999</v>
      </c>
      <c r="AB236" s="30">
        <v>24491.279999999999</v>
      </c>
      <c r="AC236" s="36">
        <v>0</v>
      </c>
      <c r="AD236" s="16">
        <f t="shared" si="90"/>
        <v>3783836</v>
      </c>
      <c r="AE236" s="2">
        <v>0</v>
      </c>
      <c r="AF236" s="2">
        <f t="shared" si="116"/>
        <v>3783836</v>
      </c>
      <c r="AG236" s="38" t="s">
        <v>857</v>
      </c>
      <c r="AH236" s="29" t="s">
        <v>1768</v>
      </c>
      <c r="AI236" s="30">
        <f>297354.9+119241.06-4498.53+225425.62+116929.56+16351.81+266529.22+121365.47+256475.95+940144.86+779489.1-779489.1+779489.1</f>
        <v>3134809.02</v>
      </c>
      <c r="AJ236" s="30">
        <f>48764.85+1616.42+20029.95+39781+22699.08+26424.14+21924.92+14831.37+187773.23+119215.98</f>
        <v>503060.93999999994</v>
      </c>
    </row>
    <row r="237" spans="1:36" s="179" customFormat="1" ht="379.5" customHeight="1" x14ac:dyDescent="0.25">
      <c r="A237" s="6">
        <v>234</v>
      </c>
      <c r="B237" s="31">
        <v>127741</v>
      </c>
      <c r="C237" s="11">
        <v>642</v>
      </c>
      <c r="D237" s="9" t="s">
        <v>1639</v>
      </c>
      <c r="E237" s="11" t="s">
        <v>1071</v>
      </c>
      <c r="F237" s="11" t="s">
        <v>1098</v>
      </c>
      <c r="G237" s="15" t="s">
        <v>1099</v>
      </c>
      <c r="H237" s="8" t="s">
        <v>151</v>
      </c>
      <c r="I237" s="46" t="s">
        <v>2748</v>
      </c>
      <c r="J237" s="25">
        <v>43622</v>
      </c>
      <c r="K237" s="25">
        <v>44445</v>
      </c>
      <c r="L237" s="26">
        <f t="shared" si="112"/>
        <v>85.000000180308987</v>
      </c>
      <c r="M237" s="11">
        <v>5</v>
      </c>
      <c r="N237" s="11" t="s">
        <v>592</v>
      </c>
      <c r="O237" s="39" t="s">
        <v>1100</v>
      </c>
      <c r="P237" s="27" t="s">
        <v>174</v>
      </c>
      <c r="Q237" s="11" t="s">
        <v>34</v>
      </c>
      <c r="R237" s="2">
        <f t="shared" si="117"/>
        <v>2357064.88</v>
      </c>
      <c r="S237" s="30">
        <v>2357064.88</v>
      </c>
      <c r="T237" s="30">
        <v>0</v>
      </c>
      <c r="U237" s="1">
        <f t="shared" si="113"/>
        <v>360492.27</v>
      </c>
      <c r="V237" s="42">
        <v>360492.27</v>
      </c>
      <c r="W237" s="55">
        <v>0</v>
      </c>
      <c r="X237" s="1">
        <f t="shared" si="114"/>
        <v>55460.35</v>
      </c>
      <c r="Y237" s="30">
        <v>55460.35</v>
      </c>
      <c r="Z237" s="30">
        <v>0</v>
      </c>
      <c r="AA237" s="2">
        <f t="shared" si="115"/>
        <v>0</v>
      </c>
      <c r="AB237" s="51"/>
      <c r="AC237" s="36">
        <v>0</v>
      </c>
      <c r="AD237" s="16">
        <f t="shared" si="90"/>
        <v>2773017.5</v>
      </c>
      <c r="AE237" s="2">
        <v>1</v>
      </c>
      <c r="AF237" s="2">
        <f t="shared" si="116"/>
        <v>2773018.5</v>
      </c>
      <c r="AG237" s="38" t="s">
        <v>857</v>
      </c>
      <c r="AH237" s="29" t="s">
        <v>1632</v>
      </c>
      <c r="AI237" s="30">
        <f>1332746.83+742290.58+20759.02</f>
        <v>2095796.4300000002</v>
      </c>
      <c r="AJ237" s="30">
        <f>203831.86+113526.79+3174.9</f>
        <v>320533.55</v>
      </c>
    </row>
    <row r="238" spans="1:36" s="179" customFormat="1" ht="379.5" customHeight="1" x14ac:dyDescent="0.25">
      <c r="A238" s="6">
        <v>235</v>
      </c>
      <c r="B238" s="31">
        <v>128531</v>
      </c>
      <c r="C238" s="11">
        <v>643</v>
      </c>
      <c r="D238" s="9" t="s">
        <v>1639</v>
      </c>
      <c r="E238" s="11" t="s">
        <v>1071</v>
      </c>
      <c r="F238" s="11" t="s">
        <v>1112</v>
      </c>
      <c r="G238" s="15" t="s">
        <v>1111</v>
      </c>
      <c r="H238" s="8" t="s">
        <v>151</v>
      </c>
      <c r="I238" s="46" t="s">
        <v>2749</v>
      </c>
      <c r="J238" s="25">
        <v>43634</v>
      </c>
      <c r="K238" s="25">
        <v>44548</v>
      </c>
      <c r="L238" s="26">
        <f t="shared" si="112"/>
        <v>85</v>
      </c>
      <c r="M238" s="11">
        <v>5</v>
      </c>
      <c r="N238" s="11" t="s">
        <v>592</v>
      </c>
      <c r="O238" s="39" t="s">
        <v>1113</v>
      </c>
      <c r="P238" s="27" t="s">
        <v>174</v>
      </c>
      <c r="Q238" s="11" t="s">
        <v>34</v>
      </c>
      <c r="R238" s="2">
        <f t="shared" si="117"/>
        <v>2728625.8</v>
      </c>
      <c r="S238" s="51">
        <v>2728625.8</v>
      </c>
      <c r="T238" s="51">
        <v>0</v>
      </c>
      <c r="U238" s="1">
        <f t="shared" si="113"/>
        <v>417319.24</v>
      </c>
      <c r="V238" s="55">
        <v>417319.24</v>
      </c>
      <c r="W238" s="55">
        <v>0</v>
      </c>
      <c r="X238" s="1">
        <f t="shared" si="114"/>
        <v>64202.96</v>
      </c>
      <c r="Y238" s="51">
        <v>64202.96</v>
      </c>
      <c r="Z238" s="51">
        <v>0</v>
      </c>
      <c r="AA238" s="2">
        <f t="shared" si="115"/>
        <v>0</v>
      </c>
      <c r="AB238" s="2">
        <v>0</v>
      </c>
      <c r="AC238" s="2">
        <v>0</v>
      </c>
      <c r="AD238" s="16">
        <f t="shared" si="90"/>
        <v>3210148</v>
      </c>
      <c r="AE238" s="2"/>
      <c r="AF238" s="2">
        <f t="shared" si="116"/>
        <v>3210148</v>
      </c>
      <c r="AG238" s="38" t="s">
        <v>857</v>
      </c>
      <c r="AH238" s="29" t="s">
        <v>1752</v>
      </c>
      <c r="AI238" s="30">
        <f>217687.62+240049.18+215955.25+105468.61+857119.81+199574.05+108838.08+79362.29+70652.85+401868.8+0.15+64141.61</f>
        <v>2560718.3000000003</v>
      </c>
      <c r="AJ238" s="30">
        <f>32312.38+36713.4+33028.45+17111.51+131088.92+30523.09+16645.82+12137.76+10805.73+61462.44-0.13+9809.9</f>
        <v>391639.27</v>
      </c>
    </row>
    <row r="239" spans="1:36" s="179" customFormat="1" ht="379.5" customHeight="1" x14ac:dyDescent="0.25">
      <c r="A239" s="6">
        <v>236</v>
      </c>
      <c r="B239" s="31">
        <v>129575</v>
      </c>
      <c r="C239" s="11">
        <v>659</v>
      </c>
      <c r="D239" s="9" t="s">
        <v>1639</v>
      </c>
      <c r="E239" s="11" t="s">
        <v>1071</v>
      </c>
      <c r="F239" s="11" t="s">
        <v>1129</v>
      </c>
      <c r="G239" s="15" t="s">
        <v>1127</v>
      </c>
      <c r="H239" s="8" t="s">
        <v>151</v>
      </c>
      <c r="I239" s="46" t="s">
        <v>1130</v>
      </c>
      <c r="J239" s="25">
        <v>43640</v>
      </c>
      <c r="K239" s="25">
        <v>44432</v>
      </c>
      <c r="L239" s="26">
        <f t="shared" si="112"/>
        <v>84.999999883898255</v>
      </c>
      <c r="M239" s="11">
        <v>5</v>
      </c>
      <c r="N239" s="11" t="s">
        <v>592</v>
      </c>
      <c r="O239" s="39" t="s">
        <v>1128</v>
      </c>
      <c r="P239" s="27" t="s">
        <v>174</v>
      </c>
      <c r="Q239" s="11" t="s">
        <v>34</v>
      </c>
      <c r="R239" s="2">
        <f t="shared" si="117"/>
        <v>2562407.54</v>
      </c>
      <c r="S239" s="51">
        <v>2562407.54</v>
      </c>
      <c r="T239" s="51">
        <v>0</v>
      </c>
      <c r="U239" s="1">
        <f t="shared" si="113"/>
        <v>391897.63</v>
      </c>
      <c r="V239" s="55">
        <v>391897.63</v>
      </c>
      <c r="W239" s="55">
        <v>0</v>
      </c>
      <c r="X239" s="1">
        <f t="shared" si="114"/>
        <v>60291.939999999981</v>
      </c>
      <c r="Y239" s="51">
        <v>60291.939999999981</v>
      </c>
      <c r="Z239" s="51">
        <v>0</v>
      </c>
      <c r="AA239" s="2">
        <f t="shared" si="115"/>
        <v>0</v>
      </c>
      <c r="AB239" s="51">
        <v>0</v>
      </c>
      <c r="AC239" s="51">
        <v>0</v>
      </c>
      <c r="AD239" s="16">
        <f t="shared" si="90"/>
        <v>3014597.11</v>
      </c>
      <c r="AE239" s="2">
        <v>0</v>
      </c>
      <c r="AF239" s="2">
        <f t="shared" si="116"/>
        <v>3014597.11</v>
      </c>
      <c r="AG239" s="38" t="s">
        <v>857</v>
      </c>
      <c r="AH239" s="29" t="s">
        <v>1762</v>
      </c>
      <c r="AI239" s="30">
        <f>649821.42+332457.04-19866.57+315838.48+399197.23+240858.26-28723.66+383933.53+62633.95</f>
        <v>2336149.6800000006</v>
      </c>
      <c r="AJ239" s="30">
        <f>50197.04+50846.37+19866.57+25399.72+61053.69+36837.15+28723.66+74789.95+9579.31</f>
        <v>357293.46</v>
      </c>
    </row>
    <row r="240" spans="1:36" s="179" customFormat="1" ht="379.5" customHeight="1" x14ac:dyDescent="0.25">
      <c r="A240" s="6">
        <v>237</v>
      </c>
      <c r="B240" s="11">
        <v>128870</v>
      </c>
      <c r="C240" s="11">
        <v>668</v>
      </c>
      <c r="D240" s="9" t="s">
        <v>1639</v>
      </c>
      <c r="E240" s="24" t="s">
        <v>1071</v>
      </c>
      <c r="F240" s="11" t="s">
        <v>1235</v>
      </c>
      <c r="G240" s="11" t="s">
        <v>211</v>
      </c>
      <c r="H240" s="8" t="s">
        <v>151</v>
      </c>
      <c r="I240" s="12" t="s">
        <v>1236</v>
      </c>
      <c r="J240" s="25">
        <v>43697</v>
      </c>
      <c r="K240" s="25">
        <v>44428</v>
      </c>
      <c r="L240" s="26">
        <f t="shared" si="112"/>
        <v>85.000000000000014</v>
      </c>
      <c r="M240" s="11">
        <v>5</v>
      </c>
      <c r="N240" s="11" t="s">
        <v>592</v>
      </c>
      <c r="O240" s="11" t="s">
        <v>215</v>
      </c>
      <c r="P240" s="27" t="s">
        <v>174</v>
      </c>
      <c r="Q240" s="11" t="s">
        <v>34</v>
      </c>
      <c r="R240" s="1">
        <v>2288366.6000000006</v>
      </c>
      <c r="S240" s="2">
        <v>2288366.6000000006</v>
      </c>
      <c r="T240" s="2">
        <v>0</v>
      </c>
      <c r="U240" s="1">
        <v>349985.48</v>
      </c>
      <c r="V240" s="28">
        <v>349985.48</v>
      </c>
      <c r="W240" s="28">
        <v>0</v>
      </c>
      <c r="X240" s="1">
        <v>53843.92</v>
      </c>
      <c r="Y240" s="2">
        <v>53843.92</v>
      </c>
      <c r="Z240" s="2">
        <v>0</v>
      </c>
      <c r="AA240" s="2">
        <v>0</v>
      </c>
      <c r="AB240" s="2">
        <v>0</v>
      </c>
      <c r="AC240" s="2">
        <v>0</v>
      </c>
      <c r="AD240" s="16">
        <f t="shared" si="90"/>
        <v>2692196.0000000005</v>
      </c>
      <c r="AE240" s="2">
        <v>0</v>
      </c>
      <c r="AF240" s="2">
        <v>2692196.0000000005</v>
      </c>
      <c r="AG240" s="38" t="s">
        <v>857</v>
      </c>
      <c r="AH240" s="29" t="s">
        <v>151</v>
      </c>
      <c r="AI240" s="30">
        <f>246216.09+160994.99-19780.05+275583.18+223439.59+743140.22-32529.53+227704.03-3644.8-38772.6+169426.25</f>
        <v>1951777.3699999999</v>
      </c>
      <c r="AJ240" s="30">
        <f>23002.91+12411.49+19780.05+42148.01+37418.04+73296.86+32529.53+17518.55+3644.8+10844.64+25912.25</f>
        <v>298507.12999999995</v>
      </c>
    </row>
    <row r="241" spans="1:36" s="179" customFormat="1" ht="301.5" customHeight="1" x14ac:dyDescent="0.25">
      <c r="A241" s="6">
        <v>238</v>
      </c>
      <c r="B241" s="11">
        <v>128738</v>
      </c>
      <c r="C241" s="11">
        <v>627</v>
      </c>
      <c r="D241" s="9" t="s">
        <v>1639</v>
      </c>
      <c r="E241" s="24" t="s">
        <v>1071</v>
      </c>
      <c r="F241" s="11" t="s">
        <v>1417</v>
      </c>
      <c r="G241" s="11" t="s">
        <v>1497</v>
      </c>
      <c r="H241" s="8" t="s">
        <v>151</v>
      </c>
      <c r="I241" s="12" t="s">
        <v>1419</v>
      </c>
      <c r="J241" s="25">
        <v>43838</v>
      </c>
      <c r="K241" s="25">
        <v>44569</v>
      </c>
      <c r="L241" s="26">
        <f t="shared" si="112"/>
        <v>84.999999882123163</v>
      </c>
      <c r="M241" s="11">
        <v>5</v>
      </c>
      <c r="N241" s="11" t="s">
        <v>592</v>
      </c>
      <c r="O241" s="11" t="s">
        <v>1418</v>
      </c>
      <c r="P241" s="27" t="s">
        <v>174</v>
      </c>
      <c r="Q241" s="11" t="s">
        <v>34</v>
      </c>
      <c r="R241" s="1">
        <f t="shared" si="117"/>
        <v>1802729.17</v>
      </c>
      <c r="S241" s="2">
        <v>1802729.17</v>
      </c>
      <c r="T241" s="2">
        <v>0</v>
      </c>
      <c r="U241" s="1">
        <f t="shared" si="113"/>
        <v>275711.53999999998</v>
      </c>
      <c r="V241" s="28">
        <v>275711.53999999998</v>
      </c>
      <c r="W241" s="28">
        <v>0</v>
      </c>
      <c r="X241" s="1">
        <f t="shared" si="114"/>
        <v>42417.14</v>
      </c>
      <c r="Y241" s="2">
        <v>42417.14</v>
      </c>
      <c r="Z241" s="2">
        <v>0</v>
      </c>
      <c r="AA241" s="2">
        <f t="shared" si="115"/>
        <v>0</v>
      </c>
      <c r="AB241" s="2">
        <v>0</v>
      </c>
      <c r="AC241" s="2">
        <v>0</v>
      </c>
      <c r="AD241" s="16">
        <f t="shared" si="90"/>
        <v>2120857.85</v>
      </c>
      <c r="AE241" s="2">
        <v>0</v>
      </c>
      <c r="AF241" s="2">
        <f t="shared" si="116"/>
        <v>2120857.85</v>
      </c>
      <c r="AG241" s="38" t="s">
        <v>857</v>
      </c>
      <c r="AH241" s="29" t="s">
        <v>151</v>
      </c>
      <c r="AI241" s="30">
        <f>112000-9678.11+77447.46+267216.34+620115.86+71682.9+448633.63+54519.85-6910.54+31720.64-3942.25+81813.34+2703.38-54209.75</f>
        <v>1693112.75</v>
      </c>
      <c r="AJ241" s="30">
        <f>9678.11+4051.32+40868.39+94841.24+10045.62+68614.55+8338.33+6910.54+4851.39+3942.25+413.46+6391.45</f>
        <v>258946.65</v>
      </c>
    </row>
    <row r="242" spans="1:36" s="179" customFormat="1" ht="212.25" customHeight="1" x14ac:dyDescent="0.25">
      <c r="A242" s="6">
        <v>239</v>
      </c>
      <c r="B242" s="11">
        <v>135237</v>
      </c>
      <c r="C242" s="11">
        <v>793</v>
      </c>
      <c r="D242" s="9" t="s">
        <v>1639</v>
      </c>
      <c r="E242" s="24" t="s">
        <v>1441</v>
      </c>
      <c r="F242" s="11" t="s">
        <v>1447</v>
      </c>
      <c r="G242" s="11" t="s">
        <v>591</v>
      </c>
      <c r="H242" s="8" t="s">
        <v>151</v>
      </c>
      <c r="I242" s="12" t="s">
        <v>1448</v>
      </c>
      <c r="J242" s="25">
        <v>43949</v>
      </c>
      <c r="K242" s="25">
        <v>44854</v>
      </c>
      <c r="L242" s="26">
        <f t="shared" si="112"/>
        <v>84.999999628092681</v>
      </c>
      <c r="M242" s="11">
        <v>5</v>
      </c>
      <c r="N242" s="11" t="s">
        <v>592</v>
      </c>
      <c r="O242" s="11" t="s">
        <v>593</v>
      </c>
      <c r="P242" s="27" t="s">
        <v>174</v>
      </c>
      <c r="Q242" s="11" t="s">
        <v>34</v>
      </c>
      <c r="R242" s="1">
        <f t="shared" si="117"/>
        <v>2399791.5</v>
      </c>
      <c r="S242" s="2">
        <v>2399791.5</v>
      </c>
      <c r="T242" s="2">
        <v>0</v>
      </c>
      <c r="U242" s="1">
        <f t="shared" si="113"/>
        <v>367026.95</v>
      </c>
      <c r="V242" s="28">
        <v>367026.95</v>
      </c>
      <c r="W242" s="28">
        <v>0</v>
      </c>
      <c r="X242" s="1">
        <f t="shared" si="114"/>
        <v>56465.68</v>
      </c>
      <c r="Y242" s="2">
        <v>56465.68</v>
      </c>
      <c r="Z242" s="2">
        <v>0</v>
      </c>
      <c r="AA242" s="2">
        <f t="shared" si="115"/>
        <v>0</v>
      </c>
      <c r="AB242" s="2">
        <v>0</v>
      </c>
      <c r="AC242" s="2">
        <v>0</v>
      </c>
      <c r="AD242" s="16">
        <f t="shared" si="90"/>
        <v>2823284.1300000004</v>
      </c>
      <c r="AE242" s="2">
        <v>0</v>
      </c>
      <c r="AF242" s="2">
        <f t="shared" si="116"/>
        <v>2823284.1300000004</v>
      </c>
      <c r="AG242" s="38" t="s">
        <v>486</v>
      </c>
      <c r="AH242" s="29" t="s">
        <v>151</v>
      </c>
      <c r="AI242" s="30">
        <f>282328.41-3301.74-10148.36</f>
        <v>268878.31</v>
      </c>
      <c r="AJ242" s="30">
        <f>3301.74+10148.36</f>
        <v>13450.1</v>
      </c>
    </row>
    <row r="243" spans="1:36" s="179" customFormat="1" ht="204.75" x14ac:dyDescent="0.25">
      <c r="A243" s="6">
        <v>240</v>
      </c>
      <c r="B243" s="11">
        <v>136172</v>
      </c>
      <c r="C243" s="11">
        <v>798</v>
      </c>
      <c r="D243" s="9" t="s">
        <v>1639</v>
      </c>
      <c r="E243" s="24" t="s">
        <v>1441</v>
      </c>
      <c r="F243" s="11" t="s">
        <v>1496</v>
      </c>
      <c r="G243" s="11" t="s">
        <v>1497</v>
      </c>
      <c r="H243" s="8" t="s">
        <v>151</v>
      </c>
      <c r="I243" s="12" t="s">
        <v>2750</v>
      </c>
      <c r="J243" s="25">
        <v>43969</v>
      </c>
      <c r="K243" s="25">
        <v>44883</v>
      </c>
      <c r="L243" s="26">
        <f t="shared" si="112"/>
        <v>85.000000403987528</v>
      </c>
      <c r="M243" s="11">
        <v>5</v>
      </c>
      <c r="N243" s="11" t="s">
        <v>592</v>
      </c>
      <c r="O243" s="11" t="s">
        <v>1418</v>
      </c>
      <c r="P243" s="27" t="s">
        <v>174</v>
      </c>
      <c r="Q243" s="11" t="s">
        <v>34</v>
      </c>
      <c r="R243" s="1">
        <f t="shared" si="117"/>
        <v>3156038.03</v>
      </c>
      <c r="S243" s="2">
        <v>3156038.03</v>
      </c>
      <c r="T243" s="2">
        <v>0</v>
      </c>
      <c r="U243" s="1">
        <f t="shared" si="113"/>
        <v>482688.15</v>
      </c>
      <c r="V243" s="28">
        <v>482688.15</v>
      </c>
      <c r="W243" s="28">
        <v>0</v>
      </c>
      <c r="X243" s="1">
        <f t="shared" si="114"/>
        <v>74259.72</v>
      </c>
      <c r="Y243" s="2">
        <v>74259.72</v>
      </c>
      <c r="Z243" s="2">
        <v>0</v>
      </c>
      <c r="AA243" s="2">
        <f t="shared" si="115"/>
        <v>0</v>
      </c>
      <c r="AB243" s="2">
        <v>0</v>
      </c>
      <c r="AC243" s="2">
        <v>0</v>
      </c>
      <c r="AD243" s="16">
        <f t="shared" si="90"/>
        <v>3712985.9</v>
      </c>
      <c r="AE243" s="2">
        <v>0</v>
      </c>
      <c r="AF243" s="2">
        <f t="shared" si="116"/>
        <v>3712985.9</v>
      </c>
      <c r="AG243" s="38" t="s">
        <v>486</v>
      </c>
      <c r="AH243" s="29" t="s">
        <v>2216</v>
      </c>
      <c r="AI243" s="30">
        <f>80000-10419.72+98548.63-3498.98+284928.39+331545.9-11548.44-17982.25+113288-8152.82+937791.7+1100501.89-35677.33-6980.48+27264.26</f>
        <v>2879608.7499999995</v>
      </c>
      <c r="AJ243" s="30">
        <f>10419.72+3498.98+8954.92+50707.02+11548.44+17982.25+17326.4+8152.82+90344.8+168312.05+35677.33+6980.48</f>
        <v>429905.21</v>
      </c>
    </row>
    <row r="244" spans="1:36" s="179" customFormat="1" ht="315" x14ac:dyDescent="0.25">
      <c r="A244" s="6">
        <v>241</v>
      </c>
      <c r="B244" s="11">
        <v>136022</v>
      </c>
      <c r="C244" s="11">
        <v>809</v>
      </c>
      <c r="D244" s="9" t="s">
        <v>1639</v>
      </c>
      <c r="E244" s="24" t="s">
        <v>1441</v>
      </c>
      <c r="F244" s="11" t="s">
        <v>1563</v>
      </c>
      <c r="G244" s="11" t="s">
        <v>1127</v>
      </c>
      <c r="H244" s="8" t="s">
        <v>151</v>
      </c>
      <c r="I244" s="12" t="s">
        <v>2751</v>
      </c>
      <c r="J244" s="25">
        <v>44014</v>
      </c>
      <c r="K244" s="25">
        <v>44744</v>
      </c>
      <c r="L244" s="26">
        <f t="shared" si="112"/>
        <v>85.000000140255977</v>
      </c>
      <c r="M244" s="11">
        <v>5</v>
      </c>
      <c r="N244" s="11" t="s">
        <v>592</v>
      </c>
      <c r="O244" s="11" t="s">
        <v>1128</v>
      </c>
      <c r="P244" s="27" t="s">
        <v>174</v>
      </c>
      <c r="Q244" s="11" t="s">
        <v>34</v>
      </c>
      <c r="R244" s="1">
        <f t="shared" si="117"/>
        <v>3030173.76</v>
      </c>
      <c r="S244" s="2">
        <v>3030173.76</v>
      </c>
      <c r="T244" s="2">
        <v>0</v>
      </c>
      <c r="U244" s="1">
        <f t="shared" si="113"/>
        <v>463438.33</v>
      </c>
      <c r="V244" s="28">
        <v>463438.33</v>
      </c>
      <c r="W244" s="28">
        <v>0</v>
      </c>
      <c r="X244" s="1">
        <f t="shared" si="114"/>
        <v>71298.210000000006</v>
      </c>
      <c r="Y244" s="2">
        <v>71298.210000000006</v>
      </c>
      <c r="Z244" s="2">
        <v>0</v>
      </c>
      <c r="AA244" s="2">
        <f t="shared" si="115"/>
        <v>0</v>
      </c>
      <c r="AB244" s="2">
        <v>0</v>
      </c>
      <c r="AC244" s="2">
        <v>0</v>
      </c>
      <c r="AD244" s="16">
        <f t="shared" si="90"/>
        <v>3564910.3</v>
      </c>
      <c r="AE244" s="2">
        <v>0</v>
      </c>
      <c r="AF244" s="2">
        <f t="shared" si="116"/>
        <v>3564910.3</v>
      </c>
      <c r="AG244" s="38" t="s">
        <v>857</v>
      </c>
      <c r="AH244" s="29" t="s">
        <v>151</v>
      </c>
      <c r="AI244" s="30">
        <f>356491+211105-27180.46+204898.83+345233.51+301682.34+218575.04+595758.51+365697.42</f>
        <v>2572261.19</v>
      </c>
      <c r="AJ244" s="30">
        <f>32286.64+27180.46+52800.42+46139.65+33429.12+91116.01+110452.34</f>
        <v>393404.64</v>
      </c>
    </row>
    <row r="245" spans="1:36" s="179" customFormat="1" ht="141.75" x14ac:dyDescent="0.25">
      <c r="A245" s="6">
        <v>242</v>
      </c>
      <c r="B245" s="11">
        <v>152075</v>
      </c>
      <c r="C245" s="11">
        <v>1103</v>
      </c>
      <c r="D245" s="9" t="s">
        <v>1640</v>
      </c>
      <c r="E245" s="24" t="s">
        <v>1807</v>
      </c>
      <c r="F245" s="11" t="s">
        <v>1819</v>
      </c>
      <c r="G245" s="11" t="s">
        <v>1111</v>
      </c>
      <c r="H245" s="8" t="s">
        <v>151</v>
      </c>
      <c r="I245" s="12" t="s">
        <v>2752</v>
      </c>
      <c r="J245" s="25">
        <v>44476</v>
      </c>
      <c r="K245" s="25">
        <v>44841</v>
      </c>
      <c r="L245" s="26">
        <f t="shared" si="112"/>
        <v>85</v>
      </c>
      <c r="M245" s="11">
        <v>5</v>
      </c>
      <c r="N245" s="11" t="s">
        <v>592</v>
      </c>
      <c r="O245" s="11" t="s">
        <v>1113</v>
      </c>
      <c r="P245" s="27" t="s">
        <v>174</v>
      </c>
      <c r="Q245" s="11" t="s">
        <v>34</v>
      </c>
      <c r="R245" s="1">
        <f t="shared" si="117"/>
        <v>352497.55</v>
      </c>
      <c r="S245" s="2">
        <v>352497.55</v>
      </c>
      <c r="T245" s="2">
        <v>0</v>
      </c>
      <c r="U245" s="1">
        <f t="shared" si="113"/>
        <v>53911.39</v>
      </c>
      <c r="V245" s="28">
        <v>53911.39</v>
      </c>
      <c r="W245" s="28">
        <v>0</v>
      </c>
      <c r="X245" s="1">
        <f t="shared" si="114"/>
        <v>8294.06</v>
      </c>
      <c r="Y245" s="2">
        <v>8294.06</v>
      </c>
      <c r="Z245" s="2">
        <v>0</v>
      </c>
      <c r="AA245" s="2">
        <f t="shared" si="115"/>
        <v>0</v>
      </c>
      <c r="AB245" s="2">
        <v>0</v>
      </c>
      <c r="AC245" s="2">
        <v>0</v>
      </c>
      <c r="AD245" s="16">
        <f t="shared" si="90"/>
        <v>414703</v>
      </c>
      <c r="AE245" s="2">
        <v>0</v>
      </c>
      <c r="AF245" s="2">
        <f t="shared" si="116"/>
        <v>414703</v>
      </c>
      <c r="AG245" s="38" t="s">
        <v>486</v>
      </c>
      <c r="AH245" s="29" t="s">
        <v>151</v>
      </c>
      <c r="AI245" s="30">
        <f>40000+118177.55</f>
        <v>158177.54999999999</v>
      </c>
      <c r="AJ245" s="30">
        <v>22932.65</v>
      </c>
    </row>
    <row r="246" spans="1:36" s="179" customFormat="1" ht="141.75" x14ac:dyDescent="0.25">
      <c r="A246" s="6">
        <v>243</v>
      </c>
      <c r="B246" s="11">
        <v>151785</v>
      </c>
      <c r="C246" s="11">
        <v>1112</v>
      </c>
      <c r="D246" s="9" t="s">
        <v>1640</v>
      </c>
      <c r="E246" s="24" t="s">
        <v>1807</v>
      </c>
      <c r="F246" s="11" t="s">
        <v>1832</v>
      </c>
      <c r="G246" s="11" t="s">
        <v>1497</v>
      </c>
      <c r="H246" s="8" t="s">
        <v>151</v>
      </c>
      <c r="I246" s="12" t="s">
        <v>1833</v>
      </c>
      <c r="J246" s="25">
        <v>44481</v>
      </c>
      <c r="K246" s="25">
        <v>44969</v>
      </c>
      <c r="L246" s="26">
        <f t="shared" si="112"/>
        <v>85.000000000000014</v>
      </c>
      <c r="M246" s="11">
        <v>5</v>
      </c>
      <c r="N246" s="11" t="s">
        <v>592</v>
      </c>
      <c r="O246" s="11" t="s">
        <v>1418</v>
      </c>
      <c r="P246" s="27" t="s">
        <v>174</v>
      </c>
      <c r="Q246" s="11" t="s">
        <v>34</v>
      </c>
      <c r="R246" s="1">
        <f t="shared" si="117"/>
        <v>348953.9</v>
      </c>
      <c r="S246" s="2">
        <v>348953.9</v>
      </c>
      <c r="T246" s="2">
        <v>0</v>
      </c>
      <c r="U246" s="1">
        <f t="shared" si="113"/>
        <v>53369.42</v>
      </c>
      <c r="V246" s="28">
        <v>53369.42</v>
      </c>
      <c r="W246" s="28">
        <v>0</v>
      </c>
      <c r="X246" s="1">
        <f t="shared" si="114"/>
        <v>8210.68</v>
      </c>
      <c r="Y246" s="2">
        <v>8210.68</v>
      </c>
      <c r="Z246" s="2">
        <v>0</v>
      </c>
      <c r="AA246" s="2">
        <f t="shared" si="115"/>
        <v>0</v>
      </c>
      <c r="AB246" s="2">
        <v>0</v>
      </c>
      <c r="AC246" s="2">
        <v>0</v>
      </c>
      <c r="AD246" s="16">
        <f t="shared" si="90"/>
        <v>410534</v>
      </c>
      <c r="AE246" s="2">
        <v>0</v>
      </c>
      <c r="AF246" s="2">
        <f t="shared" si="116"/>
        <v>410534</v>
      </c>
      <c r="AG246" s="38" t="s">
        <v>486</v>
      </c>
      <c r="AH246" s="29" t="s">
        <v>151</v>
      </c>
      <c r="AI246" s="30">
        <f>41000+30243.85+90529.25-3784.95+50979.6+31854.5</f>
        <v>240822.25</v>
      </c>
      <c r="AJ246" s="30">
        <f>4625.53+13845.65+3784.95+7796.88+1808.04</f>
        <v>31861.050000000003</v>
      </c>
    </row>
    <row r="247" spans="1:36" s="179" customFormat="1" ht="141.75" x14ac:dyDescent="0.25">
      <c r="A247" s="6">
        <v>244</v>
      </c>
      <c r="B247" s="11">
        <v>151716</v>
      </c>
      <c r="C247" s="11">
        <v>1123</v>
      </c>
      <c r="D247" s="9" t="s">
        <v>1640</v>
      </c>
      <c r="E247" s="24" t="s">
        <v>1807</v>
      </c>
      <c r="F247" s="11" t="s">
        <v>1844</v>
      </c>
      <c r="G247" s="11" t="s">
        <v>930</v>
      </c>
      <c r="H247" s="8" t="s">
        <v>151</v>
      </c>
      <c r="I247" s="12" t="s">
        <v>2637</v>
      </c>
      <c r="J247" s="25">
        <v>44495</v>
      </c>
      <c r="K247" s="25">
        <v>44860</v>
      </c>
      <c r="L247" s="26">
        <f t="shared" si="112"/>
        <v>85.000000000000014</v>
      </c>
      <c r="M247" s="11">
        <v>5</v>
      </c>
      <c r="N247" s="11" t="s">
        <v>592</v>
      </c>
      <c r="O247" s="11" t="s">
        <v>593</v>
      </c>
      <c r="P247" s="27" t="s">
        <v>174</v>
      </c>
      <c r="Q247" s="11" t="s">
        <v>34</v>
      </c>
      <c r="R247" s="1">
        <f t="shared" si="117"/>
        <v>352608.9</v>
      </c>
      <c r="S247" s="2">
        <v>352608.9</v>
      </c>
      <c r="T247" s="2">
        <v>0</v>
      </c>
      <c r="U247" s="1">
        <f t="shared" si="113"/>
        <v>53928.42</v>
      </c>
      <c r="V247" s="28">
        <v>53928.42</v>
      </c>
      <c r="W247" s="28">
        <v>0</v>
      </c>
      <c r="X247" s="1">
        <f t="shared" si="114"/>
        <v>8296.68</v>
      </c>
      <c r="Y247" s="2">
        <v>8296.68</v>
      </c>
      <c r="Z247" s="2">
        <v>0</v>
      </c>
      <c r="AA247" s="2">
        <f t="shared" si="115"/>
        <v>0</v>
      </c>
      <c r="AB247" s="2">
        <v>0</v>
      </c>
      <c r="AC247" s="2">
        <v>0</v>
      </c>
      <c r="AD247" s="16">
        <f t="shared" si="90"/>
        <v>414834</v>
      </c>
      <c r="AE247" s="2">
        <v>0</v>
      </c>
      <c r="AF247" s="2">
        <f t="shared" si="116"/>
        <v>414834</v>
      </c>
      <c r="AG247" s="38" t="s">
        <v>486</v>
      </c>
      <c r="AH247" s="29" t="s">
        <v>151</v>
      </c>
      <c r="AI247" s="30">
        <v>0</v>
      </c>
      <c r="AJ247" s="30">
        <v>0</v>
      </c>
    </row>
    <row r="248" spans="1:36" s="179" customFormat="1" ht="141.75" x14ac:dyDescent="0.25">
      <c r="A248" s="6">
        <v>245</v>
      </c>
      <c r="B248" s="11">
        <v>152198</v>
      </c>
      <c r="C248" s="11">
        <v>1141</v>
      </c>
      <c r="D248" s="9" t="s">
        <v>1640</v>
      </c>
      <c r="E248" s="24" t="s">
        <v>1807</v>
      </c>
      <c r="F248" s="11" t="s">
        <v>1953</v>
      </c>
      <c r="G248" s="11" t="s">
        <v>1127</v>
      </c>
      <c r="H248" s="8" t="s">
        <v>151</v>
      </c>
      <c r="I248" s="12" t="s">
        <v>2753</v>
      </c>
      <c r="J248" s="25">
        <v>44550</v>
      </c>
      <c r="K248" s="25">
        <v>44915</v>
      </c>
      <c r="L248" s="26">
        <f t="shared" ref="L248:L254" si="118">R248/AD248*100</f>
        <v>85.000000000000014</v>
      </c>
      <c r="M248" s="11">
        <v>5</v>
      </c>
      <c r="N248" s="11" t="s">
        <v>592</v>
      </c>
      <c r="O248" s="11" t="s">
        <v>1128</v>
      </c>
      <c r="P248" s="27" t="s">
        <v>174</v>
      </c>
      <c r="Q248" s="11" t="s">
        <v>34</v>
      </c>
      <c r="R248" s="1">
        <f t="shared" ref="R248:R254" si="119">S248+T248</f>
        <v>350568.9</v>
      </c>
      <c r="S248" s="2">
        <v>350568.9</v>
      </c>
      <c r="T248" s="2">
        <v>0</v>
      </c>
      <c r="U248" s="1">
        <f t="shared" si="113"/>
        <v>53616.42</v>
      </c>
      <c r="V248" s="28">
        <v>53616.42</v>
      </c>
      <c r="W248" s="28">
        <v>0</v>
      </c>
      <c r="X248" s="1">
        <f t="shared" si="114"/>
        <v>8248.68</v>
      </c>
      <c r="Y248" s="2">
        <v>8248.68</v>
      </c>
      <c r="Z248" s="2">
        <v>0</v>
      </c>
      <c r="AA248" s="2">
        <f t="shared" si="115"/>
        <v>0</v>
      </c>
      <c r="AB248" s="2">
        <v>0</v>
      </c>
      <c r="AC248" s="2">
        <v>0</v>
      </c>
      <c r="AD248" s="16">
        <f t="shared" si="90"/>
        <v>412434</v>
      </c>
      <c r="AE248" s="2">
        <v>0</v>
      </c>
      <c r="AF248" s="2">
        <f t="shared" si="116"/>
        <v>412434</v>
      </c>
      <c r="AG248" s="38" t="s">
        <v>486</v>
      </c>
      <c r="AH248" s="29"/>
      <c r="AI248" s="30">
        <v>0</v>
      </c>
      <c r="AJ248" s="30">
        <v>0</v>
      </c>
    </row>
    <row r="249" spans="1:36" s="179" customFormat="1" ht="141.75" x14ac:dyDescent="0.25">
      <c r="A249" s="6">
        <v>246</v>
      </c>
      <c r="B249" s="11">
        <v>152218</v>
      </c>
      <c r="C249" s="11">
        <v>1146</v>
      </c>
      <c r="D249" s="9" t="s">
        <v>1640</v>
      </c>
      <c r="E249" s="24" t="s">
        <v>1807</v>
      </c>
      <c r="F249" s="11" t="s">
        <v>1983</v>
      </c>
      <c r="G249" s="11" t="s">
        <v>1982</v>
      </c>
      <c r="H249" s="8" t="s">
        <v>151</v>
      </c>
      <c r="I249" s="12" t="s">
        <v>2754</v>
      </c>
      <c r="J249" s="25">
        <v>44579</v>
      </c>
      <c r="K249" s="25">
        <v>44944</v>
      </c>
      <c r="L249" s="26">
        <f t="shared" si="118"/>
        <v>85.000000000000014</v>
      </c>
      <c r="M249" s="11">
        <v>5</v>
      </c>
      <c r="N249" s="11" t="s">
        <v>592</v>
      </c>
      <c r="O249" s="11" t="s">
        <v>593</v>
      </c>
      <c r="P249" s="27" t="s">
        <v>174</v>
      </c>
      <c r="Q249" s="11" t="s">
        <v>34</v>
      </c>
      <c r="R249" s="1">
        <f t="shared" si="119"/>
        <v>352396.4</v>
      </c>
      <c r="S249" s="2">
        <v>352396.4</v>
      </c>
      <c r="T249" s="2">
        <v>0</v>
      </c>
      <c r="U249" s="1">
        <f t="shared" si="113"/>
        <v>53895.92</v>
      </c>
      <c r="V249" s="28">
        <v>53895.92</v>
      </c>
      <c r="W249" s="28">
        <v>0</v>
      </c>
      <c r="X249" s="1">
        <f t="shared" si="114"/>
        <v>8291.68</v>
      </c>
      <c r="Y249" s="2">
        <v>8291.68</v>
      </c>
      <c r="Z249" s="2">
        <v>0</v>
      </c>
      <c r="AA249" s="2">
        <f t="shared" si="115"/>
        <v>0</v>
      </c>
      <c r="AB249" s="2">
        <v>0</v>
      </c>
      <c r="AC249" s="2">
        <v>0</v>
      </c>
      <c r="AD249" s="16">
        <f t="shared" si="90"/>
        <v>414584</v>
      </c>
      <c r="AE249" s="2">
        <v>0</v>
      </c>
      <c r="AF249" s="2">
        <f t="shared" si="116"/>
        <v>414584</v>
      </c>
      <c r="AG249" s="38" t="s">
        <v>486</v>
      </c>
      <c r="AH249" s="29"/>
      <c r="AI249" s="30">
        <v>0</v>
      </c>
      <c r="AJ249" s="30">
        <v>0</v>
      </c>
    </row>
    <row r="250" spans="1:36" s="179" customFormat="1" ht="290.25" customHeight="1" x14ac:dyDescent="0.25">
      <c r="A250" s="6">
        <v>247</v>
      </c>
      <c r="B250" s="11">
        <v>155028</v>
      </c>
      <c r="C250" s="11">
        <v>1196</v>
      </c>
      <c r="D250" s="9" t="s">
        <v>1639</v>
      </c>
      <c r="E250" s="24" t="s">
        <v>2024</v>
      </c>
      <c r="F250" s="11" t="s">
        <v>2090</v>
      </c>
      <c r="G250" s="11" t="s">
        <v>1982</v>
      </c>
      <c r="H250" s="8" t="s">
        <v>151</v>
      </c>
      <c r="I250" s="12" t="s">
        <v>2755</v>
      </c>
      <c r="J250" s="25">
        <v>44655</v>
      </c>
      <c r="K250" s="25">
        <v>45081</v>
      </c>
      <c r="L250" s="26">
        <f t="shared" si="118"/>
        <v>85.000000109368045</v>
      </c>
      <c r="M250" s="11">
        <v>5</v>
      </c>
      <c r="N250" s="11" t="s">
        <v>592</v>
      </c>
      <c r="O250" s="11" t="s">
        <v>593</v>
      </c>
      <c r="P250" s="27" t="s">
        <v>174</v>
      </c>
      <c r="Q250" s="11" t="s">
        <v>34</v>
      </c>
      <c r="R250" s="1">
        <f t="shared" si="119"/>
        <v>3885961.58</v>
      </c>
      <c r="S250" s="2">
        <v>3885961.58</v>
      </c>
      <c r="T250" s="2">
        <v>0</v>
      </c>
      <c r="U250" s="1">
        <f t="shared" si="113"/>
        <v>594323.53</v>
      </c>
      <c r="V250" s="28">
        <v>594323.53</v>
      </c>
      <c r="W250" s="28">
        <v>0</v>
      </c>
      <c r="X250" s="1">
        <f t="shared" si="114"/>
        <v>91434.39</v>
      </c>
      <c r="Y250" s="2">
        <v>91434.39</v>
      </c>
      <c r="Z250" s="2">
        <v>0</v>
      </c>
      <c r="AA250" s="2">
        <f t="shared" si="115"/>
        <v>0</v>
      </c>
      <c r="AB250" s="2">
        <v>0</v>
      </c>
      <c r="AC250" s="2">
        <v>0</v>
      </c>
      <c r="AD250" s="16">
        <f t="shared" si="90"/>
        <v>4571719.5</v>
      </c>
      <c r="AE250" s="2">
        <v>0</v>
      </c>
      <c r="AF250" s="2">
        <f t="shared" si="116"/>
        <v>4571719.5</v>
      </c>
      <c r="AG250" s="38" t="s">
        <v>486</v>
      </c>
      <c r="AH250" s="29"/>
      <c r="AI250" s="30">
        <v>0</v>
      </c>
      <c r="AJ250" s="30">
        <v>0</v>
      </c>
    </row>
    <row r="251" spans="1:36" s="179" customFormat="1" ht="183.75" customHeight="1" x14ac:dyDescent="0.25">
      <c r="A251" s="6">
        <v>248</v>
      </c>
      <c r="B251" s="11">
        <v>155174</v>
      </c>
      <c r="C251" s="11">
        <v>1200</v>
      </c>
      <c r="D251" s="9" t="s">
        <v>1639</v>
      </c>
      <c r="E251" s="24" t="s">
        <v>2024</v>
      </c>
      <c r="F251" s="11" t="s">
        <v>2107</v>
      </c>
      <c r="G251" s="11" t="s">
        <v>930</v>
      </c>
      <c r="H251" s="8" t="s">
        <v>151</v>
      </c>
      <c r="I251" s="12" t="s">
        <v>2756</v>
      </c>
      <c r="J251" s="25">
        <v>44656</v>
      </c>
      <c r="K251" s="25">
        <v>45143</v>
      </c>
      <c r="L251" s="26">
        <f t="shared" si="118"/>
        <v>85</v>
      </c>
      <c r="M251" s="11">
        <v>5</v>
      </c>
      <c r="N251" s="11" t="s">
        <v>592</v>
      </c>
      <c r="O251" s="11" t="s">
        <v>592</v>
      </c>
      <c r="P251" s="27" t="s">
        <v>174</v>
      </c>
      <c r="Q251" s="11" t="s">
        <v>34</v>
      </c>
      <c r="R251" s="1">
        <f t="shared" si="119"/>
        <v>2540645.75</v>
      </c>
      <c r="S251" s="2">
        <v>2540645.75</v>
      </c>
      <c r="T251" s="2">
        <v>0</v>
      </c>
      <c r="U251" s="1">
        <f t="shared" si="113"/>
        <v>388569.35</v>
      </c>
      <c r="V251" s="28">
        <v>388569.35</v>
      </c>
      <c r="W251" s="28">
        <v>0</v>
      </c>
      <c r="X251" s="1">
        <f t="shared" si="114"/>
        <v>59779.9</v>
      </c>
      <c r="Y251" s="2">
        <v>59779.9</v>
      </c>
      <c r="Z251" s="2">
        <v>0</v>
      </c>
      <c r="AA251" s="2">
        <f t="shared" si="115"/>
        <v>0</v>
      </c>
      <c r="AB251" s="2">
        <v>0</v>
      </c>
      <c r="AC251" s="2">
        <v>0</v>
      </c>
      <c r="AD251" s="16">
        <f t="shared" si="90"/>
        <v>2988995</v>
      </c>
      <c r="AE251" s="2">
        <v>0</v>
      </c>
      <c r="AF251" s="2">
        <f t="shared" si="116"/>
        <v>2988995</v>
      </c>
      <c r="AG251" s="38" t="s">
        <v>486</v>
      </c>
      <c r="AH251" s="29"/>
      <c r="AI251" s="30">
        <v>10266.51</v>
      </c>
      <c r="AJ251" s="30">
        <v>1570.17</v>
      </c>
    </row>
    <row r="252" spans="1:36" s="179" customFormat="1" ht="183.75" customHeight="1" x14ac:dyDescent="0.25">
      <c r="A252" s="6">
        <v>249</v>
      </c>
      <c r="B252" s="11">
        <v>153860</v>
      </c>
      <c r="C252" s="11">
        <v>1206</v>
      </c>
      <c r="D252" s="9" t="s">
        <v>1639</v>
      </c>
      <c r="E252" s="24" t="s">
        <v>2024</v>
      </c>
      <c r="F252" s="11" t="s">
        <v>2203</v>
      </c>
      <c r="G252" s="11" t="s">
        <v>591</v>
      </c>
      <c r="H252" s="8" t="s">
        <v>151</v>
      </c>
      <c r="I252" s="12" t="s">
        <v>2757</v>
      </c>
      <c r="J252" s="25">
        <v>44686</v>
      </c>
      <c r="K252" s="25">
        <v>45051</v>
      </c>
      <c r="L252" s="26">
        <f t="shared" si="118"/>
        <v>85.000001439178192</v>
      </c>
      <c r="M252" s="11">
        <v>5</v>
      </c>
      <c r="N252" s="11" t="s">
        <v>592</v>
      </c>
      <c r="O252" s="11" t="s">
        <v>593</v>
      </c>
      <c r="P252" s="27" t="s">
        <v>174</v>
      </c>
      <c r="Q252" s="11" t="s">
        <v>34</v>
      </c>
      <c r="R252" s="1">
        <f t="shared" si="119"/>
        <v>295307.43</v>
      </c>
      <c r="S252" s="2">
        <v>295307.43</v>
      </c>
      <c r="T252" s="2">
        <v>0</v>
      </c>
      <c r="U252" s="1">
        <f t="shared" si="113"/>
        <v>45164.66</v>
      </c>
      <c r="V252" s="28">
        <v>45164.66</v>
      </c>
      <c r="W252" s="28">
        <v>0</v>
      </c>
      <c r="X252" s="1">
        <f t="shared" si="114"/>
        <v>6948.41</v>
      </c>
      <c r="Y252" s="2">
        <v>6948.41</v>
      </c>
      <c r="Z252" s="2">
        <v>0</v>
      </c>
      <c r="AA252" s="2">
        <f t="shared" si="115"/>
        <v>0</v>
      </c>
      <c r="AB252" s="2">
        <v>0</v>
      </c>
      <c r="AC252" s="2">
        <v>0</v>
      </c>
      <c r="AD252" s="16">
        <f t="shared" si="90"/>
        <v>347420.49999999994</v>
      </c>
      <c r="AE252" s="2">
        <v>0</v>
      </c>
      <c r="AF252" s="2">
        <f t="shared" si="116"/>
        <v>347420.49999999994</v>
      </c>
      <c r="AG252" s="38" t="s">
        <v>486</v>
      </c>
      <c r="AH252" s="29"/>
      <c r="AI252" s="30">
        <v>0</v>
      </c>
      <c r="AJ252" s="30">
        <v>0</v>
      </c>
    </row>
    <row r="253" spans="1:36" s="179" customFormat="1" ht="183.75" customHeight="1" x14ac:dyDescent="0.25">
      <c r="A253" s="6">
        <v>250</v>
      </c>
      <c r="B253" s="11">
        <v>155193</v>
      </c>
      <c r="C253" s="11">
        <v>1242</v>
      </c>
      <c r="D253" s="9" t="s">
        <v>1639</v>
      </c>
      <c r="E253" s="24" t="s">
        <v>2024</v>
      </c>
      <c r="F253" s="11" t="s">
        <v>2228</v>
      </c>
      <c r="G253" s="11" t="s">
        <v>1497</v>
      </c>
      <c r="H253" s="8" t="s">
        <v>151</v>
      </c>
      <c r="I253" s="12" t="s">
        <v>2758</v>
      </c>
      <c r="J253" s="25">
        <v>44698</v>
      </c>
      <c r="K253" s="25">
        <v>45063</v>
      </c>
      <c r="L253" s="26">
        <f t="shared" si="118"/>
        <v>84.999999386047151</v>
      </c>
      <c r="M253" s="11">
        <v>5</v>
      </c>
      <c r="N253" s="11" t="s">
        <v>592</v>
      </c>
      <c r="O253" s="11" t="s">
        <v>1418</v>
      </c>
      <c r="P253" s="27" t="s">
        <v>174</v>
      </c>
      <c r="Q253" s="11" t="s">
        <v>34</v>
      </c>
      <c r="R253" s="1">
        <f t="shared" si="119"/>
        <v>276894.23</v>
      </c>
      <c r="S253" s="2">
        <v>276894.23</v>
      </c>
      <c r="T253" s="2">
        <v>0</v>
      </c>
      <c r="U253" s="1">
        <f t="shared" si="113"/>
        <v>42348.54</v>
      </c>
      <c r="V253" s="28">
        <v>42348.54</v>
      </c>
      <c r="W253" s="28">
        <v>0</v>
      </c>
      <c r="X253" s="1">
        <f t="shared" si="114"/>
        <v>6515.15</v>
      </c>
      <c r="Y253" s="2">
        <v>6515.15</v>
      </c>
      <c r="Z253" s="2">
        <v>0</v>
      </c>
      <c r="AA253" s="2">
        <f t="shared" si="115"/>
        <v>0</v>
      </c>
      <c r="AB253" s="2">
        <v>0</v>
      </c>
      <c r="AC253" s="2">
        <v>0</v>
      </c>
      <c r="AD253" s="16">
        <f t="shared" si="90"/>
        <v>325757.92</v>
      </c>
      <c r="AE253" s="2">
        <v>0</v>
      </c>
      <c r="AF253" s="2">
        <f t="shared" si="116"/>
        <v>325757.92</v>
      </c>
      <c r="AG253" s="38" t="s">
        <v>486</v>
      </c>
      <c r="AH253" s="29"/>
      <c r="AI253" s="30">
        <v>32575.79</v>
      </c>
      <c r="AJ253" s="30">
        <v>0</v>
      </c>
    </row>
    <row r="254" spans="1:36" s="179" customFormat="1" ht="183.75" customHeight="1" x14ac:dyDescent="0.25">
      <c r="A254" s="6">
        <v>251</v>
      </c>
      <c r="B254" s="11">
        <v>154637</v>
      </c>
      <c r="C254" s="11">
        <v>1224</v>
      </c>
      <c r="D254" s="9" t="s">
        <v>1639</v>
      </c>
      <c r="E254" s="24" t="s">
        <v>2024</v>
      </c>
      <c r="F254" s="11" t="s">
        <v>1027</v>
      </c>
      <c r="G254" s="11" t="s">
        <v>1111</v>
      </c>
      <c r="H254" s="8" t="s">
        <v>151</v>
      </c>
      <c r="I254" s="12" t="s">
        <v>2759</v>
      </c>
      <c r="J254" s="25">
        <v>44712</v>
      </c>
      <c r="K254" s="25">
        <v>45199</v>
      </c>
      <c r="L254" s="26">
        <f t="shared" si="118"/>
        <v>84.999999946706311</v>
      </c>
      <c r="M254" s="11">
        <v>5</v>
      </c>
      <c r="N254" s="11" t="s">
        <v>592</v>
      </c>
      <c r="O254" s="11" t="s">
        <v>1113</v>
      </c>
      <c r="P254" s="27" t="s">
        <v>174</v>
      </c>
      <c r="Q254" s="11" t="s">
        <v>34</v>
      </c>
      <c r="R254" s="1">
        <f t="shared" si="119"/>
        <v>3189870.58</v>
      </c>
      <c r="S254" s="2">
        <v>3189870.58</v>
      </c>
      <c r="T254" s="2">
        <v>0</v>
      </c>
      <c r="U254" s="1">
        <f t="shared" si="113"/>
        <v>487862.55</v>
      </c>
      <c r="V254" s="28">
        <v>487862.55</v>
      </c>
      <c r="W254" s="28">
        <v>0</v>
      </c>
      <c r="X254" s="1">
        <f t="shared" si="114"/>
        <v>75055.789999999994</v>
      </c>
      <c r="Y254" s="2">
        <v>75055.789999999994</v>
      </c>
      <c r="Z254" s="2">
        <v>0</v>
      </c>
      <c r="AA254" s="2">
        <f t="shared" si="115"/>
        <v>0</v>
      </c>
      <c r="AB254" s="2">
        <v>0</v>
      </c>
      <c r="AC254" s="2">
        <v>0</v>
      </c>
      <c r="AD254" s="16">
        <f t="shared" si="90"/>
        <v>3752788.92</v>
      </c>
      <c r="AE254" s="2">
        <v>0</v>
      </c>
      <c r="AF254" s="2">
        <f t="shared" si="116"/>
        <v>3752788.92</v>
      </c>
      <c r="AG254" s="38" t="s">
        <v>486</v>
      </c>
      <c r="AH254" s="29"/>
      <c r="AI254" s="30">
        <v>0</v>
      </c>
      <c r="AJ254" s="30">
        <v>0</v>
      </c>
    </row>
    <row r="255" spans="1:36" s="179" customFormat="1" ht="173.25" x14ac:dyDescent="0.25">
      <c r="A255" s="6">
        <v>252</v>
      </c>
      <c r="B255" s="31">
        <v>120482</v>
      </c>
      <c r="C255" s="11">
        <v>68</v>
      </c>
      <c r="D255" s="9" t="s">
        <v>1639</v>
      </c>
      <c r="E255" s="24" t="s">
        <v>277</v>
      </c>
      <c r="F255" s="11" t="s">
        <v>235</v>
      </c>
      <c r="G255" s="11" t="s">
        <v>238</v>
      </c>
      <c r="H255" s="8" t="s">
        <v>151</v>
      </c>
      <c r="I255" s="46" t="s">
        <v>239</v>
      </c>
      <c r="J255" s="25">
        <v>43145</v>
      </c>
      <c r="K255" s="25">
        <v>43630</v>
      </c>
      <c r="L255" s="26">
        <f t="shared" ref="L255:L267" si="120">R255/AD255*100</f>
        <v>85</v>
      </c>
      <c r="M255" s="11">
        <v>3</v>
      </c>
      <c r="N255" s="11" t="s">
        <v>240</v>
      </c>
      <c r="O255" s="11" t="s">
        <v>241</v>
      </c>
      <c r="P255" s="27" t="s">
        <v>174</v>
      </c>
      <c r="Q255" s="11" t="s">
        <v>34</v>
      </c>
      <c r="R255" s="2">
        <f t="shared" ref="R255:R260" si="121">S255+T255</f>
        <v>508342.5</v>
      </c>
      <c r="S255" s="57">
        <v>508342.5</v>
      </c>
      <c r="T255" s="2">
        <v>0</v>
      </c>
      <c r="U255" s="1">
        <f t="shared" ref="U255:U267" si="122">V255+W255</f>
        <v>77746.5</v>
      </c>
      <c r="V255" s="28">
        <v>77746.5</v>
      </c>
      <c r="W255" s="28">
        <v>0</v>
      </c>
      <c r="X255" s="1">
        <f t="shared" ref="X255:X267" si="123">Y255+Z255</f>
        <v>11961</v>
      </c>
      <c r="Y255" s="2">
        <v>11961</v>
      </c>
      <c r="Z255" s="2">
        <v>0</v>
      </c>
      <c r="AA255" s="2">
        <f>AB255+AC255</f>
        <v>0</v>
      </c>
      <c r="AB255" s="2">
        <v>0</v>
      </c>
      <c r="AC255" s="2">
        <v>0</v>
      </c>
      <c r="AD255" s="16">
        <f t="shared" si="90"/>
        <v>598050</v>
      </c>
      <c r="AE255" s="2">
        <v>0</v>
      </c>
      <c r="AF255" s="2">
        <f t="shared" ref="AF255:AF267" si="124">AD255+AE255</f>
        <v>598050</v>
      </c>
      <c r="AG255" s="21" t="s">
        <v>857</v>
      </c>
      <c r="AH255" s="29"/>
      <c r="AI255" s="30">
        <v>385296.94</v>
      </c>
      <c r="AJ255" s="30">
        <v>58927.729999999996</v>
      </c>
    </row>
    <row r="256" spans="1:36" s="179" customFormat="1" ht="330.75" x14ac:dyDescent="0.25">
      <c r="A256" s="6">
        <v>253</v>
      </c>
      <c r="B256" s="31">
        <v>122108</v>
      </c>
      <c r="C256" s="11">
        <v>83</v>
      </c>
      <c r="D256" s="9" t="s">
        <v>1639</v>
      </c>
      <c r="E256" s="24" t="s">
        <v>277</v>
      </c>
      <c r="F256" s="11" t="s">
        <v>390</v>
      </c>
      <c r="G256" s="11" t="s">
        <v>1134</v>
      </c>
      <c r="H256" s="8" t="s">
        <v>151</v>
      </c>
      <c r="I256" s="46" t="s">
        <v>435</v>
      </c>
      <c r="J256" s="25">
        <v>43234</v>
      </c>
      <c r="K256" s="25">
        <v>43722</v>
      </c>
      <c r="L256" s="26">
        <f t="shared" si="120"/>
        <v>84.999995128143141</v>
      </c>
      <c r="M256" s="11">
        <v>3</v>
      </c>
      <c r="N256" s="11" t="s">
        <v>240</v>
      </c>
      <c r="O256" s="11" t="s">
        <v>391</v>
      </c>
      <c r="P256" s="27" t="s">
        <v>174</v>
      </c>
      <c r="Q256" s="11" t="s">
        <v>34</v>
      </c>
      <c r="R256" s="2">
        <f t="shared" si="121"/>
        <v>322772.19</v>
      </c>
      <c r="S256" s="40">
        <v>322772.19</v>
      </c>
      <c r="T256" s="109">
        <v>0</v>
      </c>
      <c r="U256" s="1">
        <f t="shared" si="122"/>
        <v>49365.18</v>
      </c>
      <c r="V256" s="28">
        <v>49365.18</v>
      </c>
      <c r="W256" s="28">
        <v>0</v>
      </c>
      <c r="X256" s="1">
        <f t="shared" si="123"/>
        <v>7594.64</v>
      </c>
      <c r="Y256" s="2">
        <v>7594.64</v>
      </c>
      <c r="Z256" s="2">
        <v>0</v>
      </c>
      <c r="AA256" s="2">
        <f>AB256+AC256</f>
        <v>0</v>
      </c>
      <c r="AB256" s="2">
        <v>0</v>
      </c>
      <c r="AC256" s="2">
        <v>0</v>
      </c>
      <c r="AD256" s="16">
        <f t="shared" si="90"/>
        <v>379732.01</v>
      </c>
      <c r="AE256" s="2">
        <v>55635.199999999997</v>
      </c>
      <c r="AF256" s="2">
        <f t="shared" si="124"/>
        <v>435367.21</v>
      </c>
      <c r="AG256" s="21" t="s">
        <v>857</v>
      </c>
      <c r="AH256" s="29" t="s">
        <v>1095</v>
      </c>
      <c r="AI256" s="30">
        <v>218039.20999999996</v>
      </c>
      <c r="AJ256" s="30">
        <v>33347.15</v>
      </c>
    </row>
    <row r="257" spans="1:36" s="179" customFormat="1" ht="204.75" x14ac:dyDescent="0.25">
      <c r="A257" s="6">
        <v>254</v>
      </c>
      <c r="B257" s="31">
        <v>118782</v>
      </c>
      <c r="C257" s="11">
        <v>444</v>
      </c>
      <c r="D257" s="32" t="s">
        <v>1640</v>
      </c>
      <c r="E257" s="24" t="s">
        <v>507</v>
      </c>
      <c r="F257" s="11" t="s">
        <v>674</v>
      </c>
      <c r="G257" s="11" t="s">
        <v>1089</v>
      </c>
      <c r="H257" s="11"/>
      <c r="I257" s="33" t="s">
        <v>673</v>
      </c>
      <c r="J257" s="25">
        <v>43304</v>
      </c>
      <c r="K257" s="25">
        <v>43792</v>
      </c>
      <c r="L257" s="26">
        <f t="shared" si="120"/>
        <v>85</v>
      </c>
      <c r="M257" s="39">
        <v>3</v>
      </c>
      <c r="N257" s="11" t="s">
        <v>240</v>
      </c>
      <c r="O257" s="11" t="s">
        <v>675</v>
      </c>
      <c r="P257" s="27" t="s">
        <v>174</v>
      </c>
      <c r="Q257" s="11" t="s">
        <v>34</v>
      </c>
      <c r="R257" s="2">
        <f t="shared" si="121"/>
        <v>242091.39</v>
      </c>
      <c r="S257" s="37">
        <v>242091.39</v>
      </c>
      <c r="T257" s="36">
        <v>0</v>
      </c>
      <c r="U257" s="1">
        <f t="shared" si="122"/>
        <v>37025.74</v>
      </c>
      <c r="V257" s="42">
        <v>37025.74</v>
      </c>
      <c r="W257" s="55">
        <v>0</v>
      </c>
      <c r="X257" s="1">
        <f t="shared" si="123"/>
        <v>5696.27</v>
      </c>
      <c r="Y257" s="30">
        <v>5696.27</v>
      </c>
      <c r="Z257" s="30">
        <v>0</v>
      </c>
      <c r="AA257" s="2">
        <f>AB257+AC257</f>
        <v>0</v>
      </c>
      <c r="AB257" s="34">
        <v>0</v>
      </c>
      <c r="AC257" s="34">
        <v>0</v>
      </c>
      <c r="AD257" s="16">
        <f t="shared" si="90"/>
        <v>284813.40000000002</v>
      </c>
      <c r="AE257" s="51">
        <v>0</v>
      </c>
      <c r="AF257" s="2">
        <f t="shared" si="124"/>
        <v>284813.40000000002</v>
      </c>
      <c r="AG257" s="21" t="s">
        <v>857</v>
      </c>
      <c r="AH257" s="35" t="s">
        <v>1183</v>
      </c>
      <c r="AI257" s="30">
        <v>218691.65000000002</v>
      </c>
      <c r="AJ257" s="30">
        <v>33446.97</v>
      </c>
    </row>
    <row r="258" spans="1:36" s="43" customFormat="1" ht="237.75" customHeight="1" x14ac:dyDescent="0.25">
      <c r="A258" s="6">
        <v>255</v>
      </c>
      <c r="B258" s="31">
        <v>118562</v>
      </c>
      <c r="C258" s="11">
        <v>430</v>
      </c>
      <c r="D258" s="32" t="s">
        <v>1640</v>
      </c>
      <c r="E258" s="24" t="s">
        <v>507</v>
      </c>
      <c r="F258" s="11" t="s">
        <v>717</v>
      </c>
      <c r="G258" s="11" t="s">
        <v>718</v>
      </c>
      <c r="H258" s="8" t="s">
        <v>151</v>
      </c>
      <c r="I258" s="33" t="s">
        <v>719</v>
      </c>
      <c r="J258" s="25">
        <v>43318</v>
      </c>
      <c r="K258" s="25">
        <v>43683</v>
      </c>
      <c r="L258" s="26">
        <f t="shared" si="120"/>
        <v>85</v>
      </c>
      <c r="M258" s="39">
        <v>3</v>
      </c>
      <c r="N258" s="11" t="s">
        <v>240</v>
      </c>
      <c r="O258" s="11" t="s">
        <v>241</v>
      </c>
      <c r="P258" s="27" t="s">
        <v>174</v>
      </c>
      <c r="Q258" s="11" t="s">
        <v>34</v>
      </c>
      <c r="R258" s="2">
        <f t="shared" si="121"/>
        <v>244199.22</v>
      </c>
      <c r="S258" s="37">
        <v>244199.22</v>
      </c>
      <c r="T258" s="36">
        <v>0</v>
      </c>
      <c r="U258" s="1">
        <f t="shared" si="122"/>
        <v>37348.11</v>
      </c>
      <c r="V258" s="42">
        <v>37348.11</v>
      </c>
      <c r="W258" s="55">
        <v>0</v>
      </c>
      <c r="X258" s="1">
        <f t="shared" si="123"/>
        <v>5745.87</v>
      </c>
      <c r="Y258" s="30">
        <v>5745.87</v>
      </c>
      <c r="Z258" s="30">
        <v>0</v>
      </c>
      <c r="AB258" s="36">
        <v>0</v>
      </c>
      <c r="AC258" s="36">
        <v>0</v>
      </c>
      <c r="AD258" s="16">
        <f t="shared" si="90"/>
        <v>287293.2</v>
      </c>
      <c r="AE258" s="35">
        <v>0</v>
      </c>
      <c r="AF258" s="2">
        <f t="shared" si="124"/>
        <v>287293.2</v>
      </c>
      <c r="AG258" s="21" t="s">
        <v>857</v>
      </c>
      <c r="AH258" s="35"/>
      <c r="AI258" s="30">
        <v>187221.18</v>
      </c>
      <c r="AJ258" s="30">
        <v>28633.829999999994</v>
      </c>
    </row>
    <row r="259" spans="1:36" s="43" customFormat="1" ht="237.75" customHeight="1" x14ac:dyDescent="0.25">
      <c r="A259" s="6">
        <v>256</v>
      </c>
      <c r="B259" s="31">
        <v>128788</v>
      </c>
      <c r="C259" s="11">
        <v>632</v>
      </c>
      <c r="D259" s="9" t="s">
        <v>1639</v>
      </c>
      <c r="E259" s="24" t="s">
        <v>1071</v>
      </c>
      <c r="F259" s="11" t="s">
        <v>1092</v>
      </c>
      <c r="G259" s="11" t="s">
        <v>1089</v>
      </c>
      <c r="H259" s="8" t="s">
        <v>151</v>
      </c>
      <c r="I259" s="33" t="s">
        <v>1091</v>
      </c>
      <c r="J259" s="25">
        <v>43622</v>
      </c>
      <c r="K259" s="25">
        <v>44626</v>
      </c>
      <c r="L259" s="26">
        <f t="shared" si="120"/>
        <v>85.000000230035937</v>
      </c>
      <c r="M259" s="39">
        <v>3</v>
      </c>
      <c r="N259" s="11" t="s">
        <v>240</v>
      </c>
      <c r="O259" s="11" t="s">
        <v>1090</v>
      </c>
      <c r="P259" s="27" t="s">
        <v>174</v>
      </c>
      <c r="Q259" s="11" t="s">
        <v>34</v>
      </c>
      <c r="R259" s="2">
        <f t="shared" si="121"/>
        <v>1847537.48</v>
      </c>
      <c r="S259" s="37">
        <v>1847537.48</v>
      </c>
      <c r="T259" s="36">
        <v>0</v>
      </c>
      <c r="U259" s="1">
        <f t="shared" si="122"/>
        <v>282564.55</v>
      </c>
      <c r="V259" s="42">
        <v>282564.55</v>
      </c>
      <c r="W259" s="55">
        <v>0</v>
      </c>
      <c r="X259" s="1">
        <f t="shared" si="123"/>
        <v>43471.47</v>
      </c>
      <c r="Y259" s="30">
        <v>43471.47</v>
      </c>
      <c r="Z259" s="30">
        <v>0</v>
      </c>
      <c r="AA259" s="30">
        <f t="shared" ref="AA259:AA266" si="125">AB259+AC259</f>
        <v>0</v>
      </c>
      <c r="AB259" s="36">
        <v>0</v>
      </c>
      <c r="AC259" s="36">
        <v>0</v>
      </c>
      <c r="AD259" s="16">
        <f t="shared" si="90"/>
        <v>2173573.5</v>
      </c>
      <c r="AE259" s="35">
        <v>0</v>
      </c>
      <c r="AF259" s="2">
        <f t="shared" si="124"/>
        <v>2173573.5</v>
      </c>
      <c r="AG259" s="38" t="s">
        <v>857</v>
      </c>
      <c r="AH259" s="38" t="s">
        <v>1750</v>
      </c>
      <c r="AI259" s="30">
        <f>159761.73+205286.29-12744.7-6213.9+144175.74-19413.29+1122259.25-5941.52+167659.17-3136.51</f>
        <v>1751692.26</v>
      </c>
      <c r="AJ259" s="30">
        <f>14235.89+8544.38+12744.7+6213.9+19413.29+171639.65+5941.52+26036.01+3136.51</f>
        <v>267905.84999999998</v>
      </c>
    </row>
    <row r="260" spans="1:36" s="43" customFormat="1" ht="232.5" customHeight="1" x14ac:dyDescent="0.25">
      <c r="A260" s="6">
        <v>257</v>
      </c>
      <c r="B260" s="31">
        <v>129218</v>
      </c>
      <c r="C260" s="11">
        <v>645</v>
      </c>
      <c r="D260" s="9" t="s">
        <v>1639</v>
      </c>
      <c r="E260" s="24" t="s">
        <v>1071</v>
      </c>
      <c r="F260" s="70" t="s">
        <v>1133</v>
      </c>
      <c r="G260" s="11" t="s">
        <v>1134</v>
      </c>
      <c r="H260" s="8" t="s">
        <v>151</v>
      </c>
      <c r="I260" s="33" t="s">
        <v>2760</v>
      </c>
      <c r="J260" s="25">
        <v>43643</v>
      </c>
      <c r="K260" s="25">
        <v>44282</v>
      </c>
      <c r="L260" s="26">
        <f t="shared" si="120"/>
        <v>84.999999707660962</v>
      </c>
      <c r="M260" s="39">
        <v>3</v>
      </c>
      <c r="N260" s="11" t="s">
        <v>240</v>
      </c>
      <c r="O260" s="11" t="s">
        <v>391</v>
      </c>
      <c r="P260" s="27" t="s">
        <v>174</v>
      </c>
      <c r="Q260" s="11" t="s">
        <v>34</v>
      </c>
      <c r="R260" s="2">
        <f t="shared" si="121"/>
        <v>2326066.37</v>
      </c>
      <c r="S260" s="37">
        <v>2326066.37</v>
      </c>
      <c r="T260" s="36">
        <v>0</v>
      </c>
      <c r="U260" s="1">
        <f t="shared" si="122"/>
        <v>355751.33</v>
      </c>
      <c r="V260" s="42">
        <v>355751.33</v>
      </c>
      <c r="W260" s="55">
        <v>0</v>
      </c>
      <c r="X260" s="1">
        <f t="shared" si="123"/>
        <v>54730.98</v>
      </c>
      <c r="Y260" s="30">
        <v>54730.98</v>
      </c>
      <c r="Z260" s="30">
        <v>0</v>
      </c>
      <c r="AA260" s="30">
        <f t="shared" si="125"/>
        <v>0</v>
      </c>
      <c r="AB260" s="36">
        <v>0</v>
      </c>
      <c r="AC260" s="36">
        <v>0</v>
      </c>
      <c r="AD260" s="16">
        <f t="shared" si="90"/>
        <v>2736548.68</v>
      </c>
      <c r="AE260" s="35">
        <v>0</v>
      </c>
      <c r="AF260" s="2">
        <f t="shared" si="124"/>
        <v>2736548.68</v>
      </c>
      <c r="AG260" s="38" t="s">
        <v>857</v>
      </c>
      <c r="AH260" s="38" t="s">
        <v>1689</v>
      </c>
      <c r="AI260" s="30">
        <f>1079226.9+25907.15+1092653.83+34194.23</f>
        <v>2231982.11</v>
      </c>
      <c r="AJ260" s="30">
        <f>165058.24+3962.27+167111.76+5229.7</f>
        <v>341361.97000000003</v>
      </c>
    </row>
    <row r="261" spans="1:36" s="43" customFormat="1" ht="175.5" customHeight="1" x14ac:dyDescent="0.25">
      <c r="A261" s="6">
        <v>258</v>
      </c>
      <c r="B261" s="31">
        <v>136346</v>
      </c>
      <c r="C261" s="11">
        <v>803</v>
      </c>
      <c r="D261" s="9" t="s">
        <v>1639</v>
      </c>
      <c r="E261" s="24" t="s">
        <v>1441</v>
      </c>
      <c r="F261" s="31" t="s">
        <v>1444</v>
      </c>
      <c r="G261" s="11" t="s">
        <v>1134</v>
      </c>
      <c r="H261" s="8" t="s">
        <v>151</v>
      </c>
      <c r="I261" s="12" t="s">
        <v>2761</v>
      </c>
      <c r="J261" s="25">
        <v>43949</v>
      </c>
      <c r="K261" s="25">
        <v>44740</v>
      </c>
      <c r="L261" s="26">
        <f t="shared" si="120"/>
        <v>84.999999931876232</v>
      </c>
      <c r="M261" s="11">
        <v>3</v>
      </c>
      <c r="N261" s="11" t="s">
        <v>240</v>
      </c>
      <c r="O261" s="11" t="s">
        <v>391</v>
      </c>
      <c r="P261" s="27" t="s">
        <v>174</v>
      </c>
      <c r="Q261" s="11" t="s">
        <v>34</v>
      </c>
      <c r="R261" s="2">
        <f t="shared" ref="R261:R267" si="126">S261+T261</f>
        <v>2495457.98</v>
      </c>
      <c r="S261" s="2">
        <v>2495457.98</v>
      </c>
      <c r="T261" s="2">
        <v>0</v>
      </c>
      <c r="U261" s="1">
        <f t="shared" si="122"/>
        <v>381658.28</v>
      </c>
      <c r="V261" s="28">
        <v>381658.28</v>
      </c>
      <c r="W261" s="28">
        <v>0</v>
      </c>
      <c r="X261" s="1">
        <f t="shared" si="123"/>
        <v>58716.66</v>
      </c>
      <c r="Y261" s="2">
        <v>58716.66</v>
      </c>
      <c r="Z261" s="2">
        <v>0</v>
      </c>
      <c r="AA261" s="2">
        <f t="shared" si="125"/>
        <v>0</v>
      </c>
      <c r="AB261" s="2">
        <v>0</v>
      </c>
      <c r="AC261" s="2">
        <v>0</v>
      </c>
      <c r="AD261" s="16">
        <f t="shared" ref="AD261:AD324" si="127">R261+U261+X261+AA261</f>
        <v>2935832.92</v>
      </c>
      <c r="AE261" s="2">
        <v>0</v>
      </c>
      <c r="AF261" s="2">
        <f t="shared" si="124"/>
        <v>2935832.92</v>
      </c>
      <c r="AG261" s="38" t="s">
        <v>857</v>
      </c>
      <c r="AH261" s="38" t="s">
        <v>2162</v>
      </c>
      <c r="AI261" s="30">
        <f>55951.7+71473.21+23932.81+846333.53+655578.65+7974.7+25692.95+672613.26+56195.62</f>
        <v>2415746.4299999997</v>
      </c>
      <c r="AJ261" s="30">
        <f>8557.32+10931.2+3660.31+129439.24+100264.97+1219.66+3929.51+102870.26+8594.63</f>
        <v>369467.10000000003</v>
      </c>
    </row>
    <row r="262" spans="1:36" s="43" customFormat="1" ht="175.5" customHeight="1" x14ac:dyDescent="0.25">
      <c r="A262" s="6">
        <v>259</v>
      </c>
      <c r="B262" s="31">
        <v>135154</v>
      </c>
      <c r="C262" s="11">
        <v>800</v>
      </c>
      <c r="D262" s="9" t="s">
        <v>1639</v>
      </c>
      <c r="E262" s="24" t="s">
        <v>1441</v>
      </c>
      <c r="F262" s="31" t="s">
        <v>1480</v>
      </c>
      <c r="G262" s="11" t="s">
        <v>718</v>
      </c>
      <c r="H262" s="8" t="s">
        <v>151</v>
      </c>
      <c r="I262" s="12" t="s">
        <v>2762</v>
      </c>
      <c r="J262" s="25">
        <v>43969</v>
      </c>
      <c r="K262" s="25">
        <v>45278</v>
      </c>
      <c r="L262" s="26">
        <f t="shared" si="120"/>
        <v>85</v>
      </c>
      <c r="M262" s="11">
        <v>3</v>
      </c>
      <c r="N262" s="11" t="s">
        <v>240</v>
      </c>
      <c r="O262" s="11" t="s">
        <v>241</v>
      </c>
      <c r="P262" s="27" t="s">
        <v>174</v>
      </c>
      <c r="Q262" s="11" t="s">
        <v>34</v>
      </c>
      <c r="R262" s="2">
        <f t="shared" si="126"/>
        <v>1599713.6</v>
      </c>
      <c r="S262" s="2">
        <v>1599713.6</v>
      </c>
      <c r="T262" s="2">
        <v>0</v>
      </c>
      <c r="U262" s="1">
        <f t="shared" si="122"/>
        <v>244662.08</v>
      </c>
      <c r="V262" s="28">
        <v>244662.08</v>
      </c>
      <c r="W262" s="28">
        <v>0</v>
      </c>
      <c r="X262" s="1">
        <f t="shared" si="123"/>
        <v>37640.32</v>
      </c>
      <c r="Y262" s="2">
        <v>37640.32</v>
      </c>
      <c r="Z262" s="2">
        <v>0</v>
      </c>
      <c r="AA262" s="2">
        <f t="shared" si="125"/>
        <v>0</v>
      </c>
      <c r="AB262" s="2">
        <v>0</v>
      </c>
      <c r="AC262" s="2">
        <v>0</v>
      </c>
      <c r="AD262" s="16">
        <f t="shared" si="127"/>
        <v>1882016.0000000002</v>
      </c>
      <c r="AE262" s="2">
        <v>0</v>
      </c>
      <c r="AF262" s="2">
        <f t="shared" si="124"/>
        <v>1882016.0000000002</v>
      </c>
      <c r="AG262" s="38" t="s">
        <v>486</v>
      </c>
      <c r="AH262" s="38" t="s">
        <v>1965</v>
      </c>
      <c r="AI262" s="30">
        <v>2551.5</v>
      </c>
      <c r="AJ262" s="30">
        <v>390.23</v>
      </c>
    </row>
    <row r="263" spans="1:36" s="43" customFormat="1" ht="175.5" customHeight="1" x14ac:dyDescent="0.25">
      <c r="A263" s="6">
        <v>260</v>
      </c>
      <c r="B263" s="31">
        <v>135954</v>
      </c>
      <c r="C263" s="11">
        <v>801</v>
      </c>
      <c r="D263" s="9" t="s">
        <v>1639</v>
      </c>
      <c r="E263" s="24" t="s">
        <v>1441</v>
      </c>
      <c r="F263" s="31" t="s">
        <v>1481</v>
      </c>
      <c r="G263" s="11" t="s">
        <v>1482</v>
      </c>
      <c r="H263" s="8" t="s">
        <v>151</v>
      </c>
      <c r="I263" s="12" t="s">
        <v>1483</v>
      </c>
      <c r="J263" s="25">
        <v>43969</v>
      </c>
      <c r="K263" s="25">
        <v>44822</v>
      </c>
      <c r="L263" s="26">
        <f t="shared" si="120"/>
        <v>84.999999779520635</v>
      </c>
      <c r="M263" s="11">
        <v>3</v>
      </c>
      <c r="N263" s="11" t="s">
        <v>240</v>
      </c>
      <c r="O263" s="11" t="s">
        <v>1445</v>
      </c>
      <c r="P263" s="27" t="s">
        <v>174</v>
      </c>
      <c r="Q263" s="11" t="s">
        <v>34</v>
      </c>
      <c r="R263" s="2">
        <f t="shared" si="126"/>
        <v>1927618.01</v>
      </c>
      <c r="S263" s="2">
        <v>1927618.01</v>
      </c>
      <c r="T263" s="2">
        <v>0</v>
      </c>
      <c r="U263" s="1">
        <f t="shared" si="122"/>
        <v>294812.18</v>
      </c>
      <c r="V263" s="28">
        <v>294812.18</v>
      </c>
      <c r="W263" s="28">
        <v>0</v>
      </c>
      <c r="X263" s="1">
        <f t="shared" si="123"/>
        <v>45355.71</v>
      </c>
      <c r="Y263" s="2">
        <v>45355.71</v>
      </c>
      <c r="Z263" s="2">
        <v>0</v>
      </c>
      <c r="AA263" s="2">
        <f t="shared" si="125"/>
        <v>0</v>
      </c>
      <c r="AB263" s="2">
        <v>0</v>
      </c>
      <c r="AC263" s="2">
        <v>0</v>
      </c>
      <c r="AD263" s="16">
        <f t="shared" si="127"/>
        <v>2267785.9</v>
      </c>
      <c r="AE263" s="2">
        <v>0</v>
      </c>
      <c r="AF263" s="2">
        <f t="shared" si="124"/>
        <v>2267785.9</v>
      </c>
      <c r="AG263" s="38" t="s">
        <v>857</v>
      </c>
      <c r="AH263" s="38"/>
      <c r="AI263" s="30">
        <f>11293.7+181280.25+37633.87+137376.76+195420.34+50178.49+328175.1+329900.12</f>
        <v>1271258.6299999999</v>
      </c>
      <c r="AJ263" s="30">
        <f>1727.28+27725.21+5755.77+21010.57+29887.82+7674.36+50191.49+50455.31</f>
        <v>194427.81</v>
      </c>
    </row>
    <row r="264" spans="1:36" s="43" customFormat="1" ht="175.5" customHeight="1" x14ac:dyDescent="0.25">
      <c r="A264" s="6">
        <v>261</v>
      </c>
      <c r="B264" s="31">
        <v>135870</v>
      </c>
      <c r="C264" s="11">
        <v>796</v>
      </c>
      <c r="D264" s="9" t="s">
        <v>1639</v>
      </c>
      <c r="E264" s="24" t="s">
        <v>1441</v>
      </c>
      <c r="F264" s="31" t="s">
        <v>1573</v>
      </c>
      <c r="G264" s="11" t="s">
        <v>1089</v>
      </c>
      <c r="H264" s="8" t="s">
        <v>151</v>
      </c>
      <c r="I264" s="12" t="s">
        <v>1574</v>
      </c>
      <c r="J264" s="25">
        <v>44020</v>
      </c>
      <c r="K264" s="25">
        <v>44993</v>
      </c>
      <c r="L264" s="26">
        <f t="shared" si="120"/>
        <v>85.000000069296306</v>
      </c>
      <c r="M264" s="11">
        <v>3</v>
      </c>
      <c r="N264" s="11" t="s">
        <v>240</v>
      </c>
      <c r="O264" s="11" t="s">
        <v>1090</v>
      </c>
      <c r="P264" s="27" t="s">
        <v>174</v>
      </c>
      <c r="Q264" s="11" t="s">
        <v>34</v>
      </c>
      <c r="R264" s="2">
        <f t="shared" si="126"/>
        <v>3066541.05</v>
      </c>
      <c r="S264" s="2">
        <v>3066541.05</v>
      </c>
      <c r="T264" s="2">
        <v>0</v>
      </c>
      <c r="U264" s="1">
        <f t="shared" si="122"/>
        <v>469000.39</v>
      </c>
      <c r="V264" s="28">
        <v>469000.39</v>
      </c>
      <c r="W264" s="28">
        <v>0</v>
      </c>
      <c r="X264" s="1">
        <f t="shared" si="123"/>
        <v>72153.91</v>
      </c>
      <c r="Y264" s="2">
        <v>72153.91</v>
      </c>
      <c r="Z264" s="2">
        <v>0</v>
      </c>
      <c r="AA264" s="2">
        <f t="shared" si="125"/>
        <v>0</v>
      </c>
      <c r="AB264" s="2">
        <v>0</v>
      </c>
      <c r="AC264" s="2">
        <v>0</v>
      </c>
      <c r="AD264" s="16">
        <f t="shared" si="127"/>
        <v>3607695.35</v>
      </c>
      <c r="AE264" s="2">
        <v>41108.15</v>
      </c>
      <c r="AF264" s="2">
        <f t="shared" si="124"/>
        <v>3648803.5</v>
      </c>
      <c r="AG264" s="38" t="s">
        <v>486</v>
      </c>
      <c r="AH264" s="38" t="s">
        <v>2077</v>
      </c>
      <c r="AI264" s="30">
        <f>71325-8183.89+206458.91+1322240.89-25938.12+160227.55+435956.5</f>
        <v>2162086.84</v>
      </c>
      <c r="AJ264" s="30">
        <f>8183.89+202225.08+25938.12+24505.39+66675.7</f>
        <v>327528.18</v>
      </c>
    </row>
    <row r="265" spans="1:36" s="43" customFormat="1" ht="175.5" customHeight="1" x14ac:dyDescent="0.25">
      <c r="A265" s="6">
        <v>262</v>
      </c>
      <c r="B265" s="31">
        <v>152191</v>
      </c>
      <c r="C265" s="11">
        <v>1140</v>
      </c>
      <c r="D265" s="9" t="s">
        <v>1640</v>
      </c>
      <c r="E265" s="24" t="s">
        <v>1807</v>
      </c>
      <c r="F265" s="31" t="s">
        <v>1952</v>
      </c>
      <c r="G265" s="11" t="s">
        <v>1134</v>
      </c>
      <c r="H265" s="8" t="s">
        <v>151</v>
      </c>
      <c r="I265" s="12" t="s">
        <v>2763</v>
      </c>
      <c r="J265" s="25">
        <v>44550</v>
      </c>
      <c r="K265" s="25">
        <v>45036</v>
      </c>
      <c r="L265" s="26">
        <f t="shared" si="120"/>
        <v>85.000000261000835</v>
      </c>
      <c r="M265" s="11">
        <v>3</v>
      </c>
      <c r="N265" s="11" t="s">
        <v>240</v>
      </c>
      <c r="O265" s="11" t="s">
        <v>391</v>
      </c>
      <c r="P265" s="27" t="s">
        <v>174</v>
      </c>
      <c r="Q265" s="11" t="s">
        <v>34</v>
      </c>
      <c r="R265" s="2">
        <f t="shared" si="126"/>
        <v>325669.46000000002</v>
      </c>
      <c r="S265" s="2">
        <v>325669.46000000002</v>
      </c>
      <c r="T265" s="2">
        <v>0</v>
      </c>
      <c r="U265" s="1">
        <f t="shared" si="122"/>
        <v>49808.27</v>
      </c>
      <c r="V265" s="28">
        <v>49808.27</v>
      </c>
      <c r="W265" s="28">
        <v>0</v>
      </c>
      <c r="X265" s="1">
        <f t="shared" si="123"/>
        <v>7662.81</v>
      </c>
      <c r="Y265" s="2">
        <v>7662.81</v>
      </c>
      <c r="Z265" s="2">
        <v>0</v>
      </c>
      <c r="AA265" s="2">
        <f t="shared" si="125"/>
        <v>0</v>
      </c>
      <c r="AB265" s="2">
        <v>0</v>
      </c>
      <c r="AC265" s="2">
        <v>0</v>
      </c>
      <c r="AD265" s="16">
        <f t="shared" si="127"/>
        <v>383140.54000000004</v>
      </c>
      <c r="AE265" s="2">
        <v>0</v>
      </c>
      <c r="AF265" s="2">
        <f t="shared" si="124"/>
        <v>383140.54000000004</v>
      </c>
      <c r="AG265" s="38" t="s">
        <v>486</v>
      </c>
      <c r="AH265" s="35"/>
      <c r="AI265" s="30">
        <v>3774.85</v>
      </c>
      <c r="AJ265" s="30">
        <v>577.33000000000004</v>
      </c>
    </row>
    <row r="266" spans="1:36" s="43" customFormat="1" ht="175.5" customHeight="1" x14ac:dyDescent="0.25">
      <c r="A266" s="6">
        <v>263</v>
      </c>
      <c r="B266" s="31">
        <v>152216</v>
      </c>
      <c r="C266" s="11">
        <v>1145</v>
      </c>
      <c r="D266" s="9" t="s">
        <v>1640</v>
      </c>
      <c r="E266" s="24" t="s">
        <v>1807</v>
      </c>
      <c r="F266" s="31" t="s">
        <v>1989</v>
      </c>
      <c r="G266" s="11" t="s">
        <v>1482</v>
      </c>
      <c r="H266" s="11" t="s">
        <v>1933</v>
      </c>
      <c r="I266" s="12" t="s">
        <v>2764</v>
      </c>
      <c r="J266" s="25">
        <v>44596</v>
      </c>
      <c r="K266" s="25">
        <v>44989</v>
      </c>
      <c r="L266" s="26">
        <f t="shared" si="120"/>
        <v>84.999996304339746</v>
      </c>
      <c r="M266" s="11">
        <v>3</v>
      </c>
      <c r="N266" s="11" t="s">
        <v>240</v>
      </c>
      <c r="O266" s="11" t="s">
        <v>241</v>
      </c>
      <c r="P266" s="27" t="s">
        <v>174</v>
      </c>
      <c r="Q266" s="11" t="s">
        <v>34</v>
      </c>
      <c r="R266" s="2">
        <f t="shared" si="126"/>
        <v>264499.40999999997</v>
      </c>
      <c r="S266" s="2">
        <v>264499.40999999997</v>
      </c>
      <c r="T266" s="2">
        <v>0</v>
      </c>
      <c r="U266" s="1">
        <f t="shared" si="122"/>
        <v>36623.68</v>
      </c>
      <c r="V266" s="28">
        <v>36623.68</v>
      </c>
      <c r="W266" s="28">
        <v>0</v>
      </c>
      <c r="X266" s="1">
        <f t="shared" si="123"/>
        <v>10052.700000000001</v>
      </c>
      <c r="Y266" s="2">
        <v>10052.700000000001</v>
      </c>
      <c r="Z266" s="2">
        <v>0</v>
      </c>
      <c r="AA266" s="2">
        <f t="shared" si="125"/>
        <v>0</v>
      </c>
      <c r="AB266" s="2">
        <v>0</v>
      </c>
      <c r="AC266" s="2">
        <v>0</v>
      </c>
      <c r="AD266" s="16">
        <f t="shared" si="127"/>
        <v>311175.78999999998</v>
      </c>
      <c r="AE266" s="2">
        <v>0</v>
      </c>
      <c r="AF266" s="2">
        <f t="shared" si="124"/>
        <v>311175.78999999998</v>
      </c>
      <c r="AG266" s="38" t="s">
        <v>486</v>
      </c>
      <c r="AH266" s="35"/>
      <c r="AI266" s="30">
        <v>0</v>
      </c>
      <c r="AJ266" s="30">
        <v>0</v>
      </c>
    </row>
    <row r="267" spans="1:36" s="43" customFormat="1" ht="175.5" customHeight="1" x14ac:dyDescent="0.25">
      <c r="A267" s="6">
        <v>264</v>
      </c>
      <c r="B267" s="31">
        <v>154717</v>
      </c>
      <c r="C267" s="11">
        <v>1233</v>
      </c>
      <c r="D267" s="9" t="s">
        <v>1639</v>
      </c>
      <c r="E267" s="24" t="s">
        <v>2024</v>
      </c>
      <c r="F267" s="31" t="s">
        <v>2041</v>
      </c>
      <c r="G267" s="11" t="s">
        <v>1482</v>
      </c>
      <c r="H267" s="8" t="s">
        <v>151</v>
      </c>
      <c r="I267" s="12" t="s">
        <v>2765</v>
      </c>
      <c r="J267" s="25">
        <v>44637</v>
      </c>
      <c r="K267" s="25">
        <v>45124</v>
      </c>
      <c r="L267" s="26">
        <f t="shared" si="120"/>
        <v>85</v>
      </c>
      <c r="M267" s="11">
        <v>3</v>
      </c>
      <c r="N267" s="11" t="s">
        <v>240</v>
      </c>
      <c r="O267" s="11" t="s">
        <v>241</v>
      </c>
      <c r="P267" s="27" t="s">
        <v>174</v>
      </c>
      <c r="Q267" s="11" t="s">
        <v>34</v>
      </c>
      <c r="R267" s="2">
        <f t="shared" si="126"/>
        <v>2453899</v>
      </c>
      <c r="S267" s="2">
        <v>2453899</v>
      </c>
      <c r="T267" s="2">
        <v>0</v>
      </c>
      <c r="U267" s="1">
        <f t="shared" si="122"/>
        <v>375302.2</v>
      </c>
      <c r="V267" s="28">
        <v>375302.2</v>
      </c>
      <c r="W267" s="28">
        <v>0</v>
      </c>
      <c r="X267" s="1">
        <f t="shared" si="123"/>
        <v>57738.8</v>
      </c>
      <c r="Y267" s="2">
        <v>57738.8</v>
      </c>
      <c r="Z267" s="2">
        <v>0</v>
      </c>
      <c r="AA267" s="2">
        <v>0</v>
      </c>
      <c r="AB267" s="2">
        <v>0</v>
      </c>
      <c r="AC267" s="2">
        <v>0</v>
      </c>
      <c r="AD267" s="16">
        <f t="shared" si="127"/>
        <v>2886940</v>
      </c>
      <c r="AE267" s="2">
        <v>0</v>
      </c>
      <c r="AF267" s="2">
        <f t="shared" si="124"/>
        <v>2886940</v>
      </c>
      <c r="AG267" s="38" t="s">
        <v>486</v>
      </c>
      <c r="AH267" s="35"/>
      <c r="AI267" s="30">
        <v>0</v>
      </c>
      <c r="AJ267" s="30">
        <v>0</v>
      </c>
    </row>
    <row r="268" spans="1:36" s="179" customFormat="1" ht="155.25" customHeight="1" x14ac:dyDescent="0.25">
      <c r="A268" s="6">
        <v>265</v>
      </c>
      <c r="B268" s="11">
        <v>128275</v>
      </c>
      <c r="C268" s="11">
        <v>636</v>
      </c>
      <c r="D268" s="9" t="s">
        <v>1639</v>
      </c>
      <c r="E268" s="32" t="s">
        <v>1071</v>
      </c>
      <c r="F268" s="27" t="s">
        <v>1104</v>
      </c>
      <c r="G268" s="27" t="s">
        <v>1566</v>
      </c>
      <c r="H268" s="8" t="s">
        <v>151</v>
      </c>
      <c r="I268" s="32" t="s">
        <v>2766</v>
      </c>
      <c r="J268" s="25">
        <v>43629</v>
      </c>
      <c r="K268" s="25">
        <v>44360</v>
      </c>
      <c r="L268" s="26">
        <f>R268/AD268*100</f>
        <v>85.000000189128897</v>
      </c>
      <c r="M268" s="11">
        <v>1</v>
      </c>
      <c r="N268" s="11" t="s">
        <v>361</v>
      </c>
      <c r="O268" s="11" t="s">
        <v>1925</v>
      </c>
      <c r="P268" s="11" t="s">
        <v>174</v>
      </c>
      <c r="Q268" s="11" t="s">
        <v>34</v>
      </c>
      <c r="R268" s="2">
        <f>S268+T268</f>
        <v>2247144.58</v>
      </c>
      <c r="S268" s="30">
        <v>2247144.58</v>
      </c>
      <c r="T268" s="30">
        <v>0</v>
      </c>
      <c r="U268" s="1">
        <f t="shared" ref="U268:U284" si="128">V268+W268</f>
        <v>343680.93</v>
      </c>
      <c r="V268" s="42">
        <v>343680.93</v>
      </c>
      <c r="W268" s="42">
        <v>0</v>
      </c>
      <c r="X268" s="1">
        <f t="shared" ref="X268:X284" si="129">Y268+Z268</f>
        <v>52873.99</v>
      </c>
      <c r="Y268" s="30">
        <v>52873.99</v>
      </c>
      <c r="Z268" s="110">
        <v>0</v>
      </c>
      <c r="AA268" s="37">
        <f>AB268+AC268</f>
        <v>0</v>
      </c>
      <c r="AB268" s="30">
        <v>0</v>
      </c>
      <c r="AC268" s="110">
        <v>0</v>
      </c>
      <c r="AD268" s="16">
        <f t="shared" si="127"/>
        <v>2643699.5000000005</v>
      </c>
      <c r="AE268" s="10">
        <v>0</v>
      </c>
      <c r="AF268" s="2">
        <f>AD268+AE268</f>
        <v>2643699.5000000005</v>
      </c>
      <c r="AG268" s="38" t="s">
        <v>857</v>
      </c>
      <c r="AH268" s="35"/>
      <c r="AI268" s="30">
        <f>116746.84+110612.24+605723.6+756305.01</f>
        <v>1589387.69</v>
      </c>
      <c r="AJ268" s="30">
        <f>11751.31+6104.09+16917.17+92640.08+115670.18</f>
        <v>243082.83</v>
      </c>
    </row>
    <row r="269" spans="1:36" s="179" customFormat="1" ht="155.25" customHeight="1" x14ac:dyDescent="0.25">
      <c r="A269" s="6">
        <v>266</v>
      </c>
      <c r="B269" s="11">
        <v>136247</v>
      </c>
      <c r="C269" s="11">
        <v>837</v>
      </c>
      <c r="D269" s="9" t="s">
        <v>1639</v>
      </c>
      <c r="E269" s="24" t="s">
        <v>1441</v>
      </c>
      <c r="F269" s="27" t="s">
        <v>1508</v>
      </c>
      <c r="G269" s="27" t="s">
        <v>1509</v>
      </c>
      <c r="H269" s="8" t="s">
        <v>151</v>
      </c>
      <c r="I269" s="32" t="s">
        <v>1510</v>
      </c>
      <c r="J269" s="25">
        <v>43973</v>
      </c>
      <c r="K269" s="25">
        <v>45068</v>
      </c>
      <c r="L269" s="26">
        <f>R269/AD269*100</f>
        <v>85</v>
      </c>
      <c r="M269" s="11">
        <v>1</v>
      </c>
      <c r="N269" s="11" t="s">
        <v>361</v>
      </c>
      <c r="O269" s="11" t="s">
        <v>361</v>
      </c>
      <c r="P269" s="27" t="s">
        <v>174</v>
      </c>
      <c r="Q269" s="11" t="s">
        <v>34</v>
      </c>
      <c r="R269" s="2">
        <f>S269+T269</f>
        <v>3008302.15</v>
      </c>
      <c r="S269" s="30">
        <v>3008302.15</v>
      </c>
      <c r="T269" s="30">
        <v>0</v>
      </c>
      <c r="U269" s="1">
        <f t="shared" si="128"/>
        <v>460093.27</v>
      </c>
      <c r="V269" s="42">
        <v>460093.27</v>
      </c>
      <c r="W269" s="42">
        <v>0</v>
      </c>
      <c r="X269" s="1">
        <f t="shared" si="129"/>
        <v>70783.58</v>
      </c>
      <c r="Y269" s="30">
        <v>70783.58</v>
      </c>
      <c r="Z269" s="110">
        <v>0</v>
      </c>
      <c r="AA269" s="37">
        <f>AB269+AC269</f>
        <v>0</v>
      </c>
      <c r="AB269" s="30">
        <v>0</v>
      </c>
      <c r="AC269" s="110">
        <v>0</v>
      </c>
      <c r="AD269" s="16">
        <f t="shared" si="127"/>
        <v>3539179</v>
      </c>
      <c r="AE269" s="10">
        <v>0</v>
      </c>
      <c r="AF269" s="2">
        <f>AD269+AE269</f>
        <v>3539179</v>
      </c>
      <c r="AG269" s="38" t="s">
        <v>486</v>
      </c>
      <c r="AH269" s="38" t="s">
        <v>3211</v>
      </c>
      <c r="AI269" s="30">
        <f>19875.98+34896.75+73158.18+152403.77+53734.93+439385.48+169587.21</f>
        <v>943042.29999999993</v>
      </c>
      <c r="AJ269" s="30">
        <f>3039.85+5337.15+11188.9+23308.81+8218.28+67200.13+25936.87</f>
        <v>144229.99000000002</v>
      </c>
    </row>
    <row r="270" spans="1:36" s="179" customFormat="1" ht="155.25" customHeight="1" x14ac:dyDescent="0.25">
      <c r="A270" s="6">
        <v>267</v>
      </c>
      <c r="B270" s="11">
        <v>136308</v>
      </c>
      <c r="C270" s="11">
        <v>841</v>
      </c>
      <c r="D270" s="9" t="s">
        <v>1639</v>
      </c>
      <c r="E270" s="24" t="s">
        <v>1441</v>
      </c>
      <c r="F270" s="27" t="s">
        <v>1567</v>
      </c>
      <c r="G270" s="27" t="s">
        <v>1566</v>
      </c>
      <c r="H270" s="8" t="s">
        <v>151</v>
      </c>
      <c r="I270" s="32" t="s">
        <v>2767</v>
      </c>
      <c r="J270" s="25">
        <v>44014</v>
      </c>
      <c r="K270" s="25">
        <v>44928</v>
      </c>
      <c r="L270" s="26">
        <f>R270/AD270*100</f>
        <v>85.000000279577478</v>
      </c>
      <c r="M270" s="11">
        <v>1</v>
      </c>
      <c r="N270" s="11" t="s">
        <v>361</v>
      </c>
      <c r="O270" s="11" t="s">
        <v>1925</v>
      </c>
      <c r="P270" s="27" t="s">
        <v>174</v>
      </c>
      <c r="Q270" s="11" t="s">
        <v>34</v>
      </c>
      <c r="R270" s="2">
        <f>S270+T270</f>
        <v>3040302.11</v>
      </c>
      <c r="S270" s="30">
        <v>3040302.11</v>
      </c>
      <c r="T270" s="30">
        <v>0</v>
      </c>
      <c r="U270" s="1">
        <f t="shared" si="128"/>
        <v>464987.37</v>
      </c>
      <c r="V270" s="42">
        <v>464987.37</v>
      </c>
      <c r="W270" s="42">
        <v>0</v>
      </c>
      <c r="X270" s="1">
        <f t="shared" si="129"/>
        <v>71536.52</v>
      </c>
      <c r="Y270" s="30">
        <v>71536.52</v>
      </c>
      <c r="Z270" s="110">
        <v>0</v>
      </c>
      <c r="AA270" s="37">
        <f>AB270+AC270</f>
        <v>0</v>
      </c>
      <c r="AB270" s="30">
        <v>0</v>
      </c>
      <c r="AC270" s="110">
        <v>0</v>
      </c>
      <c r="AD270" s="16">
        <f t="shared" si="127"/>
        <v>3576826</v>
      </c>
      <c r="AE270" s="10">
        <v>0</v>
      </c>
      <c r="AF270" s="2">
        <f>AD270+AE270</f>
        <v>3576826</v>
      </c>
      <c r="AG270" s="38" t="s">
        <v>486</v>
      </c>
      <c r="AH270" s="35"/>
      <c r="AI270" s="30">
        <f>40833.14+449354.4</f>
        <v>490187.54000000004</v>
      </c>
      <c r="AJ270" s="30">
        <f>6245.07+68724.79</f>
        <v>74969.859999999986</v>
      </c>
    </row>
    <row r="271" spans="1:36" s="179" customFormat="1" ht="155.25" customHeight="1" x14ac:dyDescent="0.25">
      <c r="A271" s="6">
        <v>268</v>
      </c>
      <c r="B271" s="11">
        <v>154770</v>
      </c>
      <c r="C271" s="11">
        <v>1253</v>
      </c>
      <c r="D271" s="9" t="s">
        <v>1639</v>
      </c>
      <c r="E271" s="24" t="s">
        <v>2024</v>
      </c>
      <c r="F271" s="27" t="s">
        <v>2202</v>
      </c>
      <c r="G271" s="27" t="s">
        <v>1509</v>
      </c>
      <c r="H271" s="8" t="s">
        <v>151</v>
      </c>
      <c r="I271" s="32" t="s">
        <v>2768</v>
      </c>
      <c r="J271" s="25">
        <v>44685</v>
      </c>
      <c r="K271" s="25">
        <v>45173</v>
      </c>
      <c r="L271" s="26">
        <f>R271/AD271*100</f>
        <v>85</v>
      </c>
      <c r="M271" s="11">
        <v>1</v>
      </c>
      <c r="N271" s="11" t="s">
        <v>361</v>
      </c>
      <c r="O271" s="11" t="s">
        <v>361</v>
      </c>
      <c r="P271" s="27" t="s">
        <v>174</v>
      </c>
      <c r="Q271" s="11" t="s">
        <v>34</v>
      </c>
      <c r="R271" s="2">
        <f>S271+T271</f>
        <v>2547421.44</v>
      </c>
      <c r="S271" s="30">
        <v>2547421.44</v>
      </c>
      <c r="T271" s="30">
        <v>0</v>
      </c>
      <c r="U271" s="1">
        <f t="shared" si="128"/>
        <v>389605.63</v>
      </c>
      <c r="V271" s="42">
        <v>389605.63</v>
      </c>
      <c r="W271" s="42">
        <v>0</v>
      </c>
      <c r="X271" s="1">
        <f t="shared" si="129"/>
        <v>59939.33</v>
      </c>
      <c r="Y271" s="30">
        <v>59939.33</v>
      </c>
      <c r="Z271" s="110">
        <v>0</v>
      </c>
      <c r="AA271" s="37">
        <f>AB271+AC271</f>
        <v>0</v>
      </c>
      <c r="AB271" s="30">
        <v>0</v>
      </c>
      <c r="AC271" s="110">
        <v>0</v>
      </c>
      <c r="AD271" s="16">
        <f t="shared" si="127"/>
        <v>2996966.4</v>
      </c>
      <c r="AE271" s="10">
        <v>0</v>
      </c>
      <c r="AF271" s="2">
        <f>AD271+AE271</f>
        <v>2996966.4</v>
      </c>
      <c r="AG271" s="38" t="s">
        <v>486</v>
      </c>
      <c r="AH271" s="35"/>
      <c r="AI271" s="30">
        <v>85000</v>
      </c>
      <c r="AJ271" s="30">
        <v>13000</v>
      </c>
    </row>
    <row r="272" spans="1:36" s="179" customFormat="1" ht="155.25" customHeight="1" x14ac:dyDescent="0.25">
      <c r="A272" s="6">
        <v>269</v>
      </c>
      <c r="B272" s="11">
        <v>154816</v>
      </c>
      <c r="C272" s="11">
        <v>1192</v>
      </c>
      <c r="D272" s="9" t="s">
        <v>1639</v>
      </c>
      <c r="E272" s="24" t="s">
        <v>2024</v>
      </c>
      <c r="F272" s="27" t="s">
        <v>2239</v>
      </c>
      <c r="G272" s="27" t="s">
        <v>2238</v>
      </c>
      <c r="H272" s="8" t="s">
        <v>151</v>
      </c>
      <c r="I272" s="32" t="s">
        <v>2769</v>
      </c>
      <c r="J272" s="25">
        <v>44706</v>
      </c>
      <c r="K272" s="25">
        <v>45194</v>
      </c>
      <c r="L272" s="26">
        <f>R272/AD272*100</f>
        <v>84.999999807530244</v>
      </c>
      <c r="M272" s="11">
        <v>1</v>
      </c>
      <c r="N272" s="11" t="s">
        <v>361</v>
      </c>
      <c r="O272" s="11" t="s">
        <v>361</v>
      </c>
      <c r="P272" s="27" t="s">
        <v>174</v>
      </c>
      <c r="Q272" s="11" t="s">
        <v>34</v>
      </c>
      <c r="R272" s="2">
        <f>S272+T272</f>
        <v>1766511.34</v>
      </c>
      <c r="S272" s="30">
        <v>1766511.34</v>
      </c>
      <c r="T272" s="30">
        <v>0</v>
      </c>
      <c r="U272" s="1">
        <f t="shared" si="128"/>
        <v>270172.33</v>
      </c>
      <c r="V272" s="42">
        <v>270172.33</v>
      </c>
      <c r="W272" s="42">
        <v>0</v>
      </c>
      <c r="X272" s="1">
        <f t="shared" si="129"/>
        <v>41564.97</v>
      </c>
      <c r="Y272" s="30">
        <v>41564.97</v>
      </c>
      <c r="Z272" s="110">
        <v>0</v>
      </c>
      <c r="AA272" s="37">
        <f>AB272+AC272</f>
        <v>0</v>
      </c>
      <c r="AB272" s="30">
        <v>0</v>
      </c>
      <c r="AC272" s="110">
        <v>0</v>
      </c>
      <c r="AD272" s="16">
        <f t="shared" si="127"/>
        <v>2078248.6400000001</v>
      </c>
      <c r="AE272" s="10">
        <v>0</v>
      </c>
      <c r="AF272" s="2">
        <f>AD272+AE272</f>
        <v>2078248.6400000001</v>
      </c>
      <c r="AG272" s="38" t="s">
        <v>486</v>
      </c>
      <c r="AH272" s="35"/>
      <c r="AI272" s="30">
        <v>0</v>
      </c>
      <c r="AJ272" s="30">
        <v>0</v>
      </c>
    </row>
    <row r="273" spans="1:36" s="179" customFormat="1" ht="270" customHeight="1" x14ac:dyDescent="0.25">
      <c r="A273" s="6">
        <v>270</v>
      </c>
      <c r="B273" s="11">
        <v>119895</v>
      </c>
      <c r="C273" s="11">
        <v>458</v>
      </c>
      <c r="D273" s="9" t="s">
        <v>1639</v>
      </c>
      <c r="E273" s="32" t="s">
        <v>682</v>
      </c>
      <c r="F273" s="27" t="s">
        <v>689</v>
      </c>
      <c r="G273" s="27" t="s">
        <v>690</v>
      </c>
      <c r="H273" s="8" t="s">
        <v>151</v>
      </c>
      <c r="I273" s="32" t="s">
        <v>2770</v>
      </c>
      <c r="J273" s="25">
        <v>43312</v>
      </c>
      <c r="K273" s="25">
        <v>43861</v>
      </c>
      <c r="L273" s="26">
        <f>R273/AD273*100</f>
        <v>79.999998251321642</v>
      </c>
      <c r="M273" s="11">
        <v>8</v>
      </c>
      <c r="N273" s="11" t="s">
        <v>691</v>
      </c>
      <c r="O273" s="11" t="s">
        <v>691</v>
      </c>
      <c r="P273" s="11" t="s">
        <v>174</v>
      </c>
      <c r="Q273" s="11" t="s">
        <v>34</v>
      </c>
      <c r="R273" s="2">
        <f>S273+T273</f>
        <v>457488.35</v>
      </c>
      <c r="S273" s="111">
        <v>0</v>
      </c>
      <c r="T273" s="57">
        <v>457488.35</v>
      </c>
      <c r="U273" s="1">
        <f t="shared" si="128"/>
        <v>102934.89</v>
      </c>
      <c r="V273" s="89">
        <v>0</v>
      </c>
      <c r="W273" s="52">
        <v>102934.89</v>
      </c>
      <c r="X273" s="1">
        <f t="shared" si="129"/>
        <v>11437.21</v>
      </c>
      <c r="Y273" s="57">
        <v>0</v>
      </c>
      <c r="Z273" s="112">
        <v>11437.21</v>
      </c>
      <c r="AA273" s="2">
        <f>AB273+AC273</f>
        <v>0</v>
      </c>
      <c r="AB273" s="57">
        <v>0</v>
      </c>
      <c r="AC273" s="112">
        <v>0</v>
      </c>
      <c r="AD273" s="16">
        <f t="shared" si="127"/>
        <v>571860.44999999995</v>
      </c>
      <c r="AE273" s="2">
        <v>0</v>
      </c>
      <c r="AF273" s="2">
        <f>AD273+AE273</f>
        <v>571860.44999999995</v>
      </c>
      <c r="AG273" s="38" t="s">
        <v>857</v>
      </c>
      <c r="AH273" s="38" t="s">
        <v>1393</v>
      </c>
      <c r="AI273" s="30">
        <v>446392.8</v>
      </c>
      <c r="AJ273" s="30">
        <v>100438.38</v>
      </c>
    </row>
    <row r="274" spans="1:36" s="179" customFormat="1" ht="142.5" customHeight="1" x14ac:dyDescent="0.25">
      <c r="A274" s="6">
        <v>271</v>
      </c>
      <c r="B274" s="31">
        <v>126391</v>
      </c>
      <c r="C274" s="11">
        <v>508</v>
      </c>
      <c r="D274" s="9" t="s">
        <v>1639</v>
      </c>
      <c r="E274" s="11" t="s">
        <v>903</v>
      </c>
      <c r="F274" s="11" t="s">
        <v>943</v>
      </c>
      <c r="G274" s="27" t="s">
        <v>690</v>
      </c>
      <c r="H274" s="8" t="s">
        <v>151</v>
      </c>
      <c r="I274" s="32" t="s">
        <v>2771</v>
      </c>
      <c r="J274" s="25">
        <v>43452</v>
      </c>
      <c r="K274" s="25">
        <v>45217</v>
      </c>
      <c r="L274" s="26">
        <f>R274/AD274*100</f>
        <v>80.000000098352359</v>
      </c>
      <c r="M274" s="11">
        <v>8</v>
      </c>
      <c r="N274" s="11" t="s">
        <v>691</v>
      </c>
      <c r="O274" s="11" t="s">
        <v>691</v>
      </c>
      <c r="P274" s="11" t="s">
        <v>174</v>
      </c>
      <c r="Q274" s="11" t="s">
        <v>34</v>
      </c>
      <c r="R274" s="2">
        <f>S274+T274</f>
        <v>1626803.97</v>
      </c>
      <c r="S274" s="113">
        <v>0</v>
      </c>
      <c r="T274" s="114">
        <v>1626803.97</v>
      </c>
      <c r="U274" s="1">
        <f t="shared" si="128"/>
        <v>366030.89</v>
      </c>
      <c r="V274" s="42">
        <v>0</v>
      </c>
      <c r="W274" s="42">
        <v>366030.89</v>
      </c>
      <c r="X274" s="1">
        <f t="shared" si="129"/>
        <v>40670.1</v>
      </c>
      <c r="Y274" s="30">
        <v>0</v>
      </c>
      <c r="Z274" s="30">
        <v>40670.1</v>
      </c>
      <c r="AA274" s="2">
        <f>AB274+AC274</f>
        <v>0</v>
      </c>
      <c r="AB274" s="30">
        <v>0</v>
      </c>
      <c r="AC274" s="30">
        <v>0</v>
      </c>
      <c r="AD274" s="16">
        <f t="shared" si="127"/>
        <v>2033504.96</v>
      </c>
      <c r="AE274" s="37">
        <v>624652.74</v>
      </c>
      <c r="AF274" s="2">
        <f>AD274+AE274</f>
        <v>2658157.7000000002</v>
      </c>
      <c r="AG274" s="38" t="s">
        <v>486</v>
      </c>
      <c r="AH274" s="38" t="s">
        <v>2057</v>
      </c>
      <c r="AI274" s="30">
        <f>5712+189782.66</f>
        <v>195494.66</v>
      </c>
      <c r="AJ274" s="30">
        <f>1285.2+10217.34</f>
        <v>11502.54</v>
      </c>
    </row>
    <row r="275" spans="1:36" s="179" customFormat="1" ht="142.5" customHeight="1" x14ac:dyDescent="0.25">
      <c r="A275" s="6">
        <v>272</v>
      </c>
      <c r="B275" s="31">
        <v>128946</v>
      </c>
      <c r="C275" s="11">
        <v>654</v>
      </c>
      <c r="D275" s="9" t="s">
        <v>1639</v>
      </c>
      <c r="E275" s="11" t="s">
        <v>1116</v>
      </c>
      <c r="F275" s="11" t="s">
        <v>1157</v>
      </c>
      <c r="G275" s="27" t="s">
        <v>690</v>
      </c>
      <c r="H275" s="8" t="s">
        <v>151</v>
      </c>
      <c r="I275" s="32" t="s">
        <v>2772</v>
      </c>
      <c r="J275" s="25">
        <v>43657</v>
      </c>
      <c r="K275" s="25">
        <v>44388</v>
      </c>
      <c r="L275" s="26">
        <f>R275/AD275*100</f>
        <v>80</v>
      </c>
      <c r="M275" s="11">
        <v>8</v>
      </c>
      <c r="N275" s="11" t="s">
        <v>691</v>
      </c>
      <c r="O275" s="11" t="s">
        <v>691</v>
      </c>
      <c r="P275" s="11" t="s">
        <v>174</v>
      </c>
      <c r="Q275" s="11" t="s">
        <v>34</v>
      </c>
      <c r="R275" s="2">
        <f>S275+T275</f>
        <v>271938.8</v>
      </c>
      <c r="S275" s="30">
        <v>0</v>
      </c>
      <c r="T275" s="30">
        <v>271938.8</v>
      </c>
      <c r="U275" s="1">
        <f t="shared" si="128"/>
        <v>61186.239999999998</v>
      </c>
      <c r="V275" s="42">
        <v>0</v>
      </c>
      <c r="W275" s="42">
        <v>61186.239999999998</v>
      </c>
      <c r="X275" s="1">
        <f t="shared" si="129"/>
        <v>6798.46</v>
      </c>
      <c r="Y275" s="30">
        <v>0</v>
      </c>
      <c r="Z275" s="30">
        <v>6798.46</v>
      </c>
      <c r="AA275" s="2">
        <f>AB275+AC275</f>
        <v>0</v>
      </c>
      <c r="AB275" s="30">
        <v>0</v>
      </c>
      <c r="AC275" s="30">
        <v>0</v>
      </c>
      <c r="AD275" s="16">
        <f t="shared" si="127"/>
        <v>339923.5</v>
      </c>
      <c r="AE275" s="37">
        <v>0</v>
      </c>
      <c r="AF275" s="2">
        <f>AD275+AE275</f>
        <v>339923.5</v>
      </c>
      <c r="AG275" s="38" t="s">
        <v>857</v>
      </c>
      <c r="AH275" s="38" t="s">
        <v>1678</v>
      </c>
      <c r="AI275" s="30">
        <v>233696.12</v>
      </c>
      <c r="AJ275" s="30">
        <f>3403.11+5524.39+16107.84+27546.29</f>
        <v>52581.630000000005</v>
      </c>
    </row>
    <row r="276" spans="1:36" s="179" customFormat="1" ht="142.5" customHeight="1" x14ac:dyDescent="0.25">
      <c r="A276" s="6">
        <v>273</v>
      </c>
      <c r="B276" s="31">
        <v>151869</v>
      </c>
      <c r="C276" s="11">
        <v>1149</v>
      </c>
      <c r="D276" s="9" t="s">
        <v>1640</v>
      </c>
      <c r="E276" s="24" t="s">
        <v>2000</v>
      </c>
      <c r="F276" s="11" t="s">
        <v>2013</v>
      </c>
      <c r="G276" s="27" t="s">
        <v>690</v>
      </c>
      <c r="H276" s="11" t="s">
        <v>2012</v>
      </c>
      <c r="I276" s="32" t="s">
        <v>2773</v>
      </c>
      <c r="J276" s="25">
        <v>44622</v>
      </c>
      <c r="K276" s="25">
        <v>45048</v>
      </c>
      <c r="L276" s="26">
        <f>R276/AD276*100</f>
        <v>79.999999025496976</v>
      </c>
      <c r="M276" s="11">
        <v>8</v>
      </c>
      <c r="N276" s="11" t="s">
        <v>691</v>
      </c>
      <c r="O276" s="11" t="s">
        <v>691</v>
      </c>
      <c r="P276" s="11" t="s">
        <v>174</v>
      </c>
      <c r="Q276" s="11" t="s">
        <v>34</v>
      </c>
      <c r="R276" s="2">
        <f>S276+T276</f>
        <v>328372.5</v>
      </c>
      <c r="S276" s="30">
        <v>0</v>
      </c>
      <c r="T276" s="30">
        <v>328372.5</v>
      </c>
      <c r="U276" s="1">
        <f t="shared" si="128"/>
        <v>57298.5</v>
      </c>
      <c r="V276" s="42">
        <v>0</v>
      </c>
      <c r="W276" s="42">
        <v>57298.5</v>
      </c>
      <c r="X276" s="1">
        <f t="shared" si="129"/>
        <v>24794.629999999997</v>
      </c>
      <c r="Y276" s="30">
        <v>0</v>
      </c>
      <c r="Z276" s="30">
        <v>24794.629999999997</v>
      </c>
      <c r="AA276" s="2">
        <f>AB276+AC276</f>
        <v>0</v>
      </c>
      <c r="AB276" s="30">
        <v>0</v>
      </c>
      <c r="AC276" s="30">
        <v>0</v>
      </c>
      <c r="AD276" s="16">
        <f t="shared" si="127"/>
        <v>410465.63</v>
      </c>
      <c r="AE276" s="37">
        <v>0</v>
      </c>
      <c r="AF276" s="2">
        <f>AD276+AE276</f>
        <v>410465.63</v>
      </c>
      <c r="AG276" s="38" t="s">
        <v>486</v>
      </c>
      <c r="AH276" s="35"/>
      <c r="AI276" s="30">
        <v>31832.5</v>
      </c>
      <c r="AJ276" s="30">
        <v>0</v>
      </c>
    </row>
    <row r="277" spans="1:36" s="179" customFormat="1" ht="109.5" customHeight="1" x14ac:dyDescent="0.25">
      <c r="A277" s="6">
        <v>274</v>
      </c>
      <c r="B277" s="31">
        <v>154552</v>
      </c>
      <c r="C277" s="11">
        <v>1254</v>
      </c>
      <c r="D277" s="9" t="s">
        <v>1639</v>
      </c>
      <c r="E277" s="24" t="s">
        <v>2117</v>
      </c>
      <c r="F277" s="11" t="s">
        <v>2262</v>
      </c>
      <c r="G277" s="27" t="s">
        <v>690</v>
      </c>
      <c r="H277" s="11" t="s">
        <v>2263</v>
      </c>
      <c r="I277" s="32" t="s">
        <v>2774</v>
      </c>
      <c r="J277" s="25">
        <v>44719</v>
      </c>
      <c r="K277" s="25">
        <v>45206</v>
      </c>
      <c r="L277" s="26">
        <f>R277/AD277*100</f>
        <v>80.000000066683114</v>
      </c>
      <c r="M277" s="11">
        <v>8</v>
      </c>
      <c r="N277" s="11" t="s">
        <v>691</v>
      </c>
      <c r="O277" s="11" t="s">
        <v>691</v>
      </c>
      <c r="P277" s="11" t="s">
        <v>174</v>
      </c>
      <c r="Q277" s="11" t="s">
        <v>34</v>
      </c>
      <c r="R277" s="2">
        <f>S277+T277</f>
        <v>2399407.85</v>
      </c>
      <c r="S277" s="30">
        <v>0</v>
      </c>
      <c r="T277" s="30">
        <v>2399407.85</v>
      </c>
      <c r="U277" s="1">
        <f t="shared" si="128"/>
        <v>539866.76</v>
      </c>
      <c r="V277" s="42">
        <v>0</v>
      </c>
      <c r="W277" s="42">
        <v>539866.76</v>
      </c>
      <c r="X277" s="1">
        <f t="shared" si="129"/>
        <v>59985.2</v>
      </c>
      <c r="Y277" s="30">
        <v>0</v>
      </c>
      <c r="Z277" s="30">
        <v>59985.2</v>
      </c>
      <c r="AA277" s="2">
        <f>AB277+AC277</f>
        <v>0</v>
      </c>
      <c r="AB277" s="30">
        <v>0</v>
      </c>
      <c r="AC277" s="30">
        <v>0</v>
      </c>
      <c r="AD277" s="16">
        <f t="shared" si="127"/>
        <v>2999259.8100000005</v>
      </c>
      <c r="AE277" s="37">
        <v>0</v>
      </c>
      <c r="AF277" s="2">
        <f>AD277+AE277</f>
        <v>2999259.8100000005</v>
      </c>
      <c r="AG277" s="38" t="s">
        <v>486</v>
      </c>
      <c r="AH277" s="35"/>
      <c r="AI277" s="30">
        <v>299925</v>
      </c>
      <c r="AJ277" s="30">
        <v>0</v>
      </c>
    </row>
    <row r="278" spans="1:36" s="179" customFormat="1" ht="150" customHeight="1" x14ac:dyDescent="0.25">
      <c r="A278" s="6">
        <v>275</v>
      </c>
      <c r="B278" s="31">
        <v>122738</v>
      </c>
      <c r="C278" s="11">
        <v>73</v>
      </c>
      <c r="D278" s="9" t="s">
        <v>1639</v>
      </c>
      <c r="E278" s="24" t="s">
        <v>277</v>
      </c>
      <c r="F278" s="70" t="s">
        <v>580</v>
      </c>
      <c r="G278" s="11" t="s">
        <v>581</v>
      </c>
      <c r="H278" s="8" t="s">
        <v>151</v>
      </c>
      <c r="I278" s="32" t="s">
        <v>2775</v>
      </c>
      <c r="J278" s="25">
        <v>43284</v>
      </c>
      <c r="K278" s="25">
        <v>43772</v>
      </c>
      <c r="L278" s="26">
        <f t="shared" ref="L278:L284" si="130">R278/AD278*100</f>
        <v>85.000002334434541</v>
      </c>
      <c r="M278" s="11">
        <v>6</v>
      </c>
      <c r="N278" s="11" t="s">
        <v>582</v>
      </c>
      <c r="O278" s="11" t="s">
        <v>583</v>
      </c>
      <c r="P278" s="27" t="s">
        <v>174</v>
      </c>
      <c r="Q278" s="11" t="s">
        <v>34</v>
      </c>
      <c r="R278" s="1">
        <f t="shared" ref="R278:R284" si="131">S278+T278</f>
        <v>527965.13</v>
      </c>
      <c r="S278" s="57">
        <v>527965.13</v>
      </c>
      <c r="T278" s="2">
        <v>0</v>
      </c>
      <c r="U278" s="1">
        <f t="shared" si="128"/>
        <v>80747.570000000007</v>
      </c>
      <c r="V278" s="89">
        <v>80747.570000000007</v>
      </c>
      <c r="W278" s="28">
        <v>0</v>
      </c>
      <c r="X278" s="1">
        <f t="shared" si="129"/>
        <v>12422.73</v>
      </c>
      <c r="Y278" s="115">
        <v>12422.73</v>
      </c>
      <c r="Z278" s="2">
        <v>0</v>
      </c>
      <c r="AA278" s="2">
        <f t="shared" ref="AA278:AA284" si="132">AB278+AC278</f>
        <v>0</v>
      </c>
      <c r="AB278" s="2">
        <v>0</v>
      </c>
      <c r="AC278" s="2">
        <v>0</v>
      </c>
      <c r="AD278" s="16">
        <f t="shared" si="127"/>
        <v>621135.42999999993</v>
      </c>
      <c r="AE278" s="2">
        <v>0</v>
      </c>
      <c r="AF278" s="2">
        <f t="shared" ref="AF278:AF284" si="133">AD278+AE278</f>
        <v>621135.42999999993</v>
      </c>
      <c r="AG278" s="21" t="s">
        <v>857</v>
      </c>
      <c r="AH278" s="29"/>
      <c r="AI278" s="30">
        <v>494682.26</v>
      </c>
      <c r="AJ278" s="30">
        <v>75657.279999999999</v>
      </c>
    </row>
    <row r="279" spans="1:36" s="179" customFormat="1" ht="173.25" x14ac:dyDescent="0.25">
      <c r="A279" s="6">
        <v>276</v>
      </c>
      <c r="B279" s="31">
        <v>126337</v>
      </c>
      <c r="C279" s="11">
        <v>556</v>
      </c>
      <c r="D279" s="9" t="s">
        <v>1639</v>
      </c>
      <c r="E279" s="24" t="s">
        <v>899</v>
      </c>
      <c r="F279" s="11" t="s">
        <v>1051</v>
      </c>
      <c r="G279" s="11" t="s">
        <v>581</v>
      </c>
      <c r="H279" s="8" t="s">
        <v>151</v>
      </c>
      <c r="I279" s="32" t="s">
        <v>2776</v>
      </c>
      <c r="J279" s="25">
        <v>43577</v>
      </c>
      <c r="K279" s="25">
        <v>44856</v>
      </c>
      <c r="L279" s="26">
        <f t="shared" si="130"/>
        <v>85.000000695857267</v>
      </c>
      <c r="M279" s="11">
        <v>6</v>
      </c>
      <c r="N279" s="11" t="s">
        <v>582</v>
      </c>
      <c r="O279" s="11" t="s">
        <v>583</v>
      </c>
      <c r="P279" s="27" t="s">
        <v>174</v>
      </c>
      <c r="Q279" s="11" t="s">
        <v>34</v>
      </c>
      <c r="R279" s="2">
        <f t="shared" si="131"/>
        <v>3359165.9</v>
      </c>
      <c r="S279" s="57">
        <v>3359165.9</v>
      </c>
      <c r="T279" s="2">
        <v>0</v>
      </c>
      <c r="U279" s="1">
        <f t="shared" si="128"/>
        <v>513754.75</v>
      </c>
      <c r="V279" s="89">
        <v>513754.75</v>
      </c>
      <c r="W279" s="28">
        <v>0</v>
      </c>
      <c r="X279" s="1">
        <f t="shared" si="129"/>
        <v>79039.199999999997</v>
      </c>
      <c r="Y279" s="115">
        <v>79039.199999999997</v>
      </c>
      <c r="Z279" s="2">
        <v>0</v>
      </c>
      <c r="AA279" s="2">
        <f t="shared" si="132"/>
        <v>0</v>
      </c>
      <c r="AB279" s="2">
        <v>0</v>
      </c>
      <c r="AC279" s="2">
        <v>0</v>
      </c>
      <c r="AD279" s="16">
        <f t="shared" si="127"/>
        <v>3951959.85</v>
      </c>
      <c r="AE279" s="2">
        <v>933819.42</v>
      </c>
      <c r="AF279" s="2">
        <f t="shared" si="133"/>
        <v>4885779.2700000005</v>
      </c>
      <c r="AG279" s="38" t="s">
        <v>486</v>
      </c>
      <c r="AH279" s="38" t="s">
        <v>1871</v>
      </c>
      <c r="AI279" s="30">
        <f>124564.71+42628.15+210319.83+1627651.3+14510.35+346253.02+31126.07+5155.25+41094.1+5842.05</f>
        <v>2449144.83</v>
      </c>
      <c r="AJ279" s="30">
        <f>19051.05+6519.6+32166.56+248934.88+2219.23+52956.34+4760.45+788.45+6284.98+893.49</f>
        <v>374575.03</v>
      </c>
    </row>
    <row r="280" spans="1:36" s="179" customFormat="1" ht="173.25" x14ac:dyDescent="0.25">
      <c r="A280" s="6">
        <v>277</v>
      </c>
      <c r="B280" s="31">
        <v>129243</v>
      </c>
      <c r="C280" s="11">
        <v>683</v>
      </c>
      <c r="D280" s="9" t="s">
        <v>1639</v>
      </c>
      <c r="E280" s="24" t="s">
        <v>1071</v>
      </c>
      <c r="F280" s="11" t="s">
        <v>1306</v>
      </c>
      <c r="G280" s="11" t="s">
        <v>1307</v>
      </c>
      <c r="H280" s="11" t="s">
        <v>1308</v>
      </c>
      <c r="I280" s="32" t="s">
        <v>1309</v>
      </c>
      <c r="J280" s="25">
        <v>43745</v>
      </c>
      <c r="K280" s="25">
        <v>45023</v>
      </c>
      <c r="L280" s="26">
        <f t="shared" si="130"/>
        <v>84.714589571145268</v>
      </c>
      <c r="M280" s="11">
        <v>7</v>
      </c>
      <c r="N280" s="11" t="s">
        <v>582</v>
      </c>
      <c r="O280" s="11" t="s">
        <v>583</v>
      </c>
      <c r="P280" s="27" t="s">
        <v>174</v>
      </c>
      <c r="Q280" s="11" t="s">
        <v>34</v>
      </c>
      <c r="R280" s="2">
        <f t="shared" si="131"/>
        <v>2890733.73</v>
      </c>
      <c r="S280" s="2">
        <v>2890733.73</v>
      </c>
      <c r="T280" s="2">
        <v>0</v>
      </c>
      <c r="U280" s="1">
        <f t="shared" si="128"/>
        <v>453340.85</v>
      </c>
      <c r="V280" s="28">
        <v>453340.85</v>
      </c>
      <c r="W280" s="28">
        <v>0</v>
      </c>
      <c r="X280" s="1">
        <f>Y280+Z280</f>
        <v>56788.62</v>
      </c>
      <c r="Y280" s="2">
        <v>56788.62</v>
      </c>
      <c r="Z280" s="2">
        <v>0</v>
      </c>
      <c r="AA280" s="2">
        <f t="shared" si="132"/>
        <v>11457.8</v>
      </c>
      <c r="AB280" s="2">
        <v>11457.8</v>
      </c>
      <c r="AC280" s="2">
        <v>0</v>
      </c>
      <c r="AD280" s="16">
        <f t="shared" si="127"/>
        <v>3412321</v>
      </c>
      <c r="AE280" s="2">
        <v>0</v>
      </c>
      <c r="AF280" s="2">
        <f t="shared" si="133"/>
        <v>3412321</v>
      </c>
      <c r="AG280" s="38" t="s">
        <v>486</v>
      </c>
      <c r="AH280" s="38" t="s">
        <v>2500</v>
      </c>
      <c r="AI280" s="30">
        <f>404117.15+47748.5-9345.4+24374.07+31812.91+39199.68+303094.82+13314.89+27960.26-12513.05+52938.5+143633+133226.42+1069175.73-1464.57+293483.6</f>
        <v>2560756.5100000002</v>
      </c>
      <c r="AJ280" s="30">
        <f>39188.8+9345.4+12408.84+16703.81+4274.95+10775.89+19788.24+13512.92+21967.4+30588.47+163520.99+5657.86</f>
        <v>347733.56999999995</v>
      </c>
    </row>
    <row r="281" spans="1:36" s="179" customFormat="1" ht="141.75" x14ac:dyDescent="0.25">
      <c r="A281" s="6">
        <v>278</v>
      </c>
      <c r="B281" s="31">
        <v>136164</v>
      </c>
      <c r="C281" s="11">
        <v>838</v>
      </c>
      <c r="D281" s="9" t="s">
        <v>1639</v>
      </c>
      <c r="E281" s="24" t="s">
        <v>1441</v>
      </c>
      <c r="F281" s="11" t="s">
        <v>1535</v>
      </c>
      <c r="G281" s="11" t="s">
        <v>1307</v>
      </c>
      <c r="H281" s="11" t="s">
        <v>1307</v>
      </c>
      <c r="I281" s="32" t="s">
        <v>2777</v>
      </c>
      <c r="J281" s="25">
        <v>43998</v>
      </c>
      <c r="K281" s="25">
        <v>45123</v>
      </c>
      <c r="L281" s="26">
        <f t="shared" si="130"/>
        <v>85</v>
      </c>
      <c r="M281" s="11">
        <v>7</v>
      </c>
      <c r="N281" s="11" t="s">
        <v>582</v>
      </c>
      <c r="O281" s="11" t="s">
        <v>583</v>
      </c>
      <c r="P281" s="27" t="s">
        <v>174</v>
      </c>
      <c r="Q281" s="11" t="s">
        <v>34</v>
      </c>
      <c r="R281" s="2">
        <f t="shared" si="131"/>
        <v>2037216.25</v>
      </c>
      <c r="S281" s="2">
        <v>2037216.25</v>
      </c>
      <c r="T281" s="2">
        <v>0</v>
      </c>
      <c r="U281" s="1">
        <f t="shared" si="128"/>
        <v>311574.25</v>
      </c>
      <c r="V281" s="28">
        <v>311574.25</v>
      </c>
      <c r="W281" s="28">
        <v>0</v>
      </c>
      <c r="X281" s="1">
        <f t="shared" si="129"/>
        <v>47934.5</v>
      </c>
      <c r="Y281" s="2">
        <v>47934.5</v>
      </c>
      <c r="Z281" s="2">
        <v>0</v>
      </c>
      <c r="AA281" s="2">
        <f t="shared" si="132"/>
        <v>0</v>
      </c>
      <c r="AB281" s="2">
        <v>0</v>
      </c>
      <c r="AC281" s="2">
        <v>0</v>
      </c>
      <c r="AD281" s="16">
        <f t="shared" si="127"/>
        <v>2396725</v>
      </c>
      <c r="AE281" s="2">
        <v>0</v>
      </c>
      <c r="AF281" s="2">
        <f t="shared" si="133"/>
        <v>2396725</v>
      </c>
      <c r="AG281" s="38" t="s">
        <v>486</v>
      </c>
      <c r="AH281" s="38" t="s">
        <v>2242</v>
      </c>
      <c r="AI281" s="30">
        <f>239000-2570.36-3498.3-2564.11+24008.04-6898.58+130443.04+51416.31</f>
        <v>429336.04000000004</v>
      </c>
      <c r="AJ281" s="30">
        <f>2570.36+3498.3+2564.11+6898.58+19950.11+9346.35</f>
        <v>44827.81</v>
      </c>
    </row>
    <row r="282" spans="1:36" s="179" customFormat="1" ht="236.25" x14ac:dyDescent="0.25">
      <c r="A282" s="6">
        <v>279</v>
      </c>
      <c r="B282" s="31">
        <v>152033</v>
      </c>
      <c r="C282" s="11">
        <v>1118</v>
      </c>
      <c r="D282" s="9" t="s">
        <v>1640</v>
      </c>
      <c r="E282" s="24" t="s">
        <v>1807</v>
      </c>
      <c r="F282" s="11" t="s">
        <v>1849</v>
      </c>
      <c r="G282" s="11" t="s">
        <v>1848</v>
      </c>
      <c r="H282" s="8" t="s">
        <v>151</v>
      </c>
      <c r="I282" s="32" t="s">
        <v>2778</v>
      </c>
      <c r="J282" s="25">
        <v>44498</v>
      </c>
      <c r="K282" s="25">
        <v>44863</v>
      </c>
      <c r="L282" s="26">
        <f t="shared" si="130"/>
        <v>84.999999999999986</v>
      </c>
      <c r="M282" s="11">
        <v>7</v>
      </c>
      <c r="N282" s="11" t="s">
        <v>582</v>
      </c>
      <c r="O282" s="11" t="s">
        <v>1850</v>
      </c>
      <c r="P282" s="27" t="s">
        <v>174</v>
      </c>
      <c r="Q282" s="11" t="s">
        <v>34</v>
      </c>
      <c r="R282" s="2">
        <f t="shared" si="131"/>
        <v>352679.11</v>
      </c>
      <c r="S282" s="2">
        <v>352679.11</v>
      </c>
      <c r="T282" s="2">
        <v>0</v>
      </c>
      <c r="U282" s="1">
        <f t="shared" si="128"/>
        <v>53939.15</v>
      </c>
      <c r="V282" s="28">
        <v>53939.15</v>
      </c>
      <c r="W282" s="28">
        <v>0</v>
      </c>
      <c r="X282" s="1">
        <f t="shared" si="129"/>
        <v>8298.34</v>
      </c>
      <c r="Y282" s="2">
        <v>8298.34</v>
      </c>
      <c r="Z282" s="2">
        <v>0</v>
      </c>
      <c r="AA282" s="2">
        <f t="shared" si="132"/>
        <v>0</v>
      </c>
      <c r="AB282" s="2">
        <v>0</v>
      </c>
      <c r="AC282" s="2">
        <v>0</v>
      </c>
      <c r="AD282" s="16">
        <f t="shared" si="127"/>
        <v>414916.60000000003</v>
      </c>
      <c r="AE282" s="2">
        <v>0</v>
      </c>
      <c r="AF282" s="2">
        <f t="shared" si="133"/>
        <v>414916.60000000003</v>
      </c>
      <c r="AG282" s="38" t="s">
        <v>486</v>
      </c>
      <c r="AH282" s="38"/>
      <c r="AI282" s="30">
        <f>40000+36592.28+63977.38</f>
        <v>140569.66</v>
      </c>
      <c r="AJ282" s="30">
        <f>5596.46+9784.78</f>
        <v>15381.240000000002</v>
      </c>
    </row>
    <row r="283" spans="1:36" s="179" customFormat="1" ht="141.75" x14ac:dyDescent="0.25">
      <c r="A283" s="6">
        <v>280</v>
      </c>
      <c r="B283" s="31">
        <v>155190</v>
      </c>
      <c r="C283" s="11">
        <v>1213</v>
      </c>
      <c r="D283" s="9" t="s">
        <v>1639</v>
      </c>
      <c r="E283" s="24" t="s">
        <v>2024</v>
      </c>
      <c r="F283" s="11" t="s">
        <v>2108</v>
      </c>
      <c r="G283" s="11" t="s">
        <v>581</v>
      </c>
      <c r="H283" s="8" t="s">
        <v>151</v>
      </c>
      <c r="I283" s="32" t="s">
        <v>2109</v>
      </c>
      <c r="J283" s="25">
        <v>44656</v>
      </c>
      <c r="K283" s="25">
        <v>45143</v>
      </c>
      <c r="L283" s="26">
        <f t="shared" si="130"/>
        <v>85</v>
      </c>
      <c r="M283" s="11">
        <v>7</v>
      </c>
      <c r="N283" s="11" t="s">
        <v>582</v>
      </c>
      <c r="O283" s="11" t="s">
        <v>583</v>
      </c>
      <c r="P283" s="27" t="s">
        <v>174</v>
      </c>
      <c r="Q283" s="11" t="s">
        <v>34</v>
      </c>
      <c r="R283" s="2">
        <f t="shared" si="131"/>
        <v>2549830.85</v>
      </c>
      <c r="S283" s="2">
        <v>2549830.85</v>
      </c>
      <c r="T283" s="2">
        <v>0</v>
      </c>
      <c r="U283" s="1">
        <f t="shared" si="128"/>
        <v>389974.13</v>
      </c>
      <c r="V283" s="28">
        <v>389974.13</v>
      </c>
      <c r="W283" s="28">
        <v>0</v>
      </c>
      <c r="X283" s="1">
        <f t="shared" si="129"/>
        <v>59996.02</v>
      </c>
      <c r="Y283" s="2">
        <v>59996.02</v>
      </c>
      <c r="Z283" s="2">
        <v>0</v>
      </c>
      <c r="AA283" s="2">
        <f t="shared" si="132"/>
        <v>0</v>
      </c>
      <c r="AB283" s="2">
        <v>0</v>
      </c>
      <c r="AC283" s="2">
        <v>0</v>
      </c>
      <c r="AD283" s="16">
        <f t="shared" si="127"/>
        <v>2999801</v>
      </c>
      <c r="AE283" s="2">
        <v>0</v>
      </c>
      <c r="AF283" s="2">
        <f t="shared" si="133"/>
        <v>2999801</v>
      </c>
      <c r="AG283" s="38" t="s">
        <v>486</v>
      </c>
      <c r="AH283" s="38"/>
      <c r="AI283" s="30">
        <v>0</v>
      </c>
      <c r="AJ283" s="30">
        <v>0</v>
      </c>
    </row>
    <row r="284" spans="1:36" s="179" customFormat="1" ht="173.25" x14ac:dyDescent="0.25">
      <c r="A284" s="6">
        <v>281</v>
      </c>
      <c r="B284" s="31">
        <v>154289</v>
      </c>
      <c r="C284" s="11">
        <v>1208</v>
      </c>
      <c r="D284" s="9" t="s">
        <v>1639</v>
      </c>
      <c r="E284" s="24" t="s">
        <v>2024</v>
      </c>
      <c r="F284" s="11" t="s">
        <v>2223</v>
      </c>
      <c r="G284" s="11" t="s">
        <v>1848</v>
      </c>
      <c r="H284" s="8" t="s">
        <v>151</v>
      </c>
      <c r="I284" s="32" t="s">
        <v>2224</v>
      </c>
      <c r="J284" s="25">
        <v>44700</v>
      </c>
      <c r="K284" s="25">
        <v>45188</v>
      </c>
      <c r="L284" s="26">
        <f t="shared" si="130"/>
        <v>85.00000029227435</v>
      </c>
      <c r="M284" s="11">
        <v>7</v>
      </c>
      <c r="N284" s="11" t="s">
        <v>582</v>
      </c>
      <c r="O284" s="11" t="s">
        <v>1850</v>
      </c>
      <c r="P284" s="27" t="s">
        <v>174</v>
      </c>
      <c r="Q284" s="11" t="s">
        <v>34</v>
      </c>
      <c r="R284" s="2">
        <f t="shared" si="131"/>
        <v>2908226.56</v>
      </c>
      <c r="S284" s="2">
        <v>2908226.56</v>
      </c>
      <c r="T284" s="2">
        <v>0</v>
      </c>
      <c r="U284" s="1">
        <f t="shared" si="128"/>
        <v>444787.58</v>
      </c>
      <c r="V284" s="28">
        <v>444787.58</v>
      </c>
      <c r="W284" s="28">
        <v>0</v>
      </c>
      <c r="X284" s="1">
        <f t="shared" si="129"/>
        <v>68428.86</v>
      </c>
      <c r="Y284" s="2">
        <v>68428.86</v>
      </c>
      <c r="Z284" s="2">
        <v>0</v>
      </c>
      <c r="AA284" s="2">
        <f t="shared" si="132"/>
        <v>0</v>
      </c>
      <c r="AB284" s="2">
        <v>0</v>
      </c>
      <c r="AC284" s="2">
        <v>0</v>
      </c>
      <c r="AD284" s="16">
        <f t="shared" si="127"/>
        <v>3421443</v>
      </c>
      <c r="AE284" s="2">
        <v>0</v>
      </c>
      <c r="AF284" s="2">
        <f t="shared" si="133"/>
        <v>3421443</v>
      </c>
      <c r="AG284" s="38" t="s">
        <v>486</v>
      </c>
      <c r="AH284" s="38"/>
      <c r="AI284" s="30">
        <v>100000</v>
      </c>
      <c r="AJ284" s="30">
        <v>0</v>
      </c>
    </row>
    <row r="285" spans="1:36" s="179" customFormat="1" ht="173.25" x14ac:dyDescent="0.25">
      <c r="A285" s="6">
        <v>282</v>
      </c>
      <c r="B285" s="31">
        <v>110238</v>
      </c>
      <c r="C285" s="11">
        <v>120</v>
      </c>
      <c r="D285" s="9" t="s">
        <v>1639</v>
      </c>
      <c r="E285" s="24" t="s">
        <v>277</v>
      </c>
      <c r="F285" s="70" t="s">
        <v>245</v>
      </c>
      <c r="G285" s="11" t="s">
        <v>685</v>
      </c>
      <c r="H285" s="8" t="s">
        <v>151</v>
      </c>
      <c r="I285" s="12" t="s">
        <v>259</v>
      </c>
      <c r="J285" s="25">
        <v>43166</v>
      </c>
      <c r="K285" s="25">
        <v>43837</v>
      </c>
      <c r="L285" s="26">
        <f t="shared" ref="L285:L290" si="134">R285/AD285*100</f>
        <v>85.000000235397167</v>
      </c>
      <c r="M285" s="11">
        <v>4</v>
      </c>
      <c r="N285" s="11" t="s">
        <v>248</v>
      </c>
      <c r="O285" s="11" t="s">
        <v>247</v>
      </c>
      <c r="P285" s="27" t="s">
        <v>174</v>
      </c>
      <c r="Q285" s="11" t="s">
        <v>34</v>
      </c>
      <c r="R285" s="1">
        <f t="shared" ref="R285:R290" si="135">S285+T285</f>
        <v>361091.85</v>
      </c>
      <c r="S285" s="40">
        <v>361091.85</v>
      </c>
      <c r="T285" s="2">
        <v>0</v>
      </c>
      <c r="U285" s="1">
        <f t="shared" ref="U285:U290" si="136">V285+W285</f>
        <v>55225.82</v>
      </c>
      <c r="V285" s="52">
        <v>55225.82</v>
      </c>
      <c r="W285" s="28">
        <v>0</v>
      </c>
      <c r="X285" s="1">
        <f t="shared" ref="X285:X290" si="137">Y285+Z285</f>
        <v>8496.27</v>
      </c>
      <c r="Y285" s="116">
        <v>8496.27</v>
      </c>
      <c r="Z285" s="2">
        <v>0</v>
      </c>
      <c r="AA285" s="2">
        <f t="shared" ref="AA285:AA290" si="138">AB285+AC285</f>
        <v>0</v>
      </c>
      <c r="AB285" s="2">
        <v>0</v>
      </c>
      <c r="AC285" s="2">
        <v>0</v>
      </c>
      <c r="AD285" s="16">
        <f t="shared" si="127"/>
        <v>424813.94</v>
      </c>
      <c r="AE285" s="2">
        <v>0</v>
      </c>
      <c r="AF285" s="2">
        <f t="shared" ref="AF285:AF290" si="139">AD285+AE285</f>
        <v>424813.94</v>
      </c>
      <c r="AG285" s="38" t="s">
        <v>857</v>
      </c>
      <c r="AH285" s="29" t="s">
        <v>1062</v>
      </c>
      <c r="AI285" s="30">
        <v>348222.91000000003</v>
      </c>
      <c r="AJ285" s="30">
        <v>53257.61</v>
      </c>
    </row>
    <row r="286" spans="1:36" s="179" customFormat="1" ht="173.25" x14ac:dyDescent="0.25">
      <c r="A286" s="6">
        <v>283</v>
      </c>
      <c r="B286" s="31">
        <v>117741</v>
      </c>
      <c r="C286" s="11">
        <v>415</v>
      </c>
      <c r="D286" s="32" t="s">
        <v>1640</v>
      </c>
      <c r="E286" s="32" t="s">
        <v>507</v>
      </c>
      <c r="F286" s="11" t="s">
        <v>684</v>
      </c>
      <c r="G286" s="11" t="s">
        <v>685</v>
      </c>
      <c r="H286" s="11" t="s">
        <v>610</v>
      </c>
      <c r="I286" s="32" t="s">
        <v>686</v>
      </c>
      <c r="J286" s="25">
        <v>43311</v>
      </c>
      <c r="K286" s="25">
        <v>43707</v>
      </c>
      <c r="L286" s="26">
        <f t="shared" si="134"/>
        <v>84.15024511492409</v>
      </c>
      <c r="M286" s="11">
        <v>4</v>
      </c>
      <c r="N286" s="11" t="s">
        <v>248</v>
      </c>
      <c r="O286" s="11" t="s">
        <v>247</v>
      </c>
      <c r="P286" s="11" t="s">
        <v>174</v>
      </c>
      <c r="Q286" s="11" t="s">
        <v>34</v>
      </c>
      <c r="R286" s="1">
        <f t="shared" si="135"/>
        <v>242958.31</v>
      </c>
      <c r="S286" s="30">
        <v>242958.31</v>
      </c>
      <c r="T286" s="2">
        <v>0</v>
      </c>
      <c r="U286" s="1">
        <f t="shared" si="136"/>
        <v>39986.97</v>
      </c>
      <c r="V286" s="42">
        <v>39986.97</v>
      </c>
      <c r="W286" s="28">
        <v>0</v>
      </c>
      <c r="X286" s="1">
        <f t="shared" si="137"/>
        <v>2888.03</v>
      </c>
      <c r="Y286" s="30">
        <v>2888.03</v>
      </c>
      <c r="Z286" s="30">
        <v>0</v>
      </c>
      <c r="AA286" s="2">
        <f t="shared" si="138"/>
        <v>2886.36</v>
      </c>
      <c r="AB286" s="30">
        <v>2886.36</v>
      </c>
      <c r="AC286" s="41">
        <v>0</v>
      </c>
      <c r="AD286" s="16">
        <f t="shared" si="127"/>
        <v>288719.67000000004</v>
      </c>
      <c r="AE286" s="38"/>
      <c r="AF286" s="2">
        <f t="shared" si="139"/>
        <v>288719.67000000004</v>
      </c>
      <c r="AG286" s="21" t="s">
        <v>857</v>
      </c>
      <c r="AH286" s="38" t="s">
        <v>1189</v>
      </c>
      <c r="AI286" s="30">
        <v>154052.83000000002</v>
      </c>
      <c r="AJ286" s="30">
        <v>25737.5</v>
      </c>
    </row>
    <row r="287" spans="1:36" s="179" customFormat="1" ht="172.5" customHeight="1" x14ac:dyDescent="0.25">
      <c r="A287" s="6">
        <v>284</v>
      </c>
      <c r="B287" s="31">
        <v>126246</v>
      </c>
      <c r="C287" s="11">
        <v>537</v>
      </c>
      <c r="D287" s="9" t="s">
        <v>1639</v>
      </c>
      <c r="E287" s="24" t="s">
        <v>899</v>
      </c>
      <c r="F287" s="11" t="s">
        <v>1009</v>
      </c>
      <c r="G287" s="11" t="s">
        <v>685</v>
      </c>
      <c r="H287" s="11" t="s">
        <v>497</v>
      </c>
      <c r="I287" s="12" t="s">
        <v>1010</v>
      </c>
      <c r="J287" s="25">
        <v>43532</v>
      </c>
      <c r="K287" s="25">
        <v>44689</v>
      </c>
      <c r="L287" s="26">
        <f t="shared" si="134"/>
        <v>84.376573406981009</v>
      </c>
      <c r="M287" s="11">
        <v>4</v>
      </c>
      <c r="N287" s="11" t="s">
        <v>248</v>
      </c>
      <c r="O287" s="11" t="s">
        <v>247</v>
      </c>
      <c r="P287" s="11" t="s">
        <v>174</v>
      </c>
      <c r="Q287" s="11" t="s">
        <v>34</v>
      </c>
      <c r="R287" s="1">
        <f t="shared" si="135"/>
        <v>3134478.73</v>
      </c>
      <c r="S287" s="51">
        <v>3134478.73</v>
      </c>
      <c r="T287" s="2">
        <v>0</v>
      </c>
      <c r="U287" s="1">
        <f t="shared" si="136"/>
        <v>506092.36</v>
      </c>
      <c r="V287" s="55">
        <v>506092.36</v>
      </c>
      <c r="W287" s="28">
        <v>0</v>
      </c>
      <c r="X287" s="1">
        <f t="shared" si="137"/>
        <v>47050.89</v>
      </c>
      <c r="Y287" s="51">
        <v>47050.89</v>
      </c>
      <c r="Z287" s="51">
        <v>0</v>
      </c>
      <c r="AA287" s="2">
        <f t="shared" si="138"/>
        <v>27246.5</v>
      </c>
      <c r="AB287" s="51">
        <v>27246.5</v>
      </c>
      <c r="AC287" s="36">
        <v>0</v>
      </c>
      <c r="AD287" s="16">
        <f t="shared" si="127"/>
        <v>3714868.48</v>
      </c>
      <c r="AE287" s="35">
        <v>0</v>
      </c>
      <c r="AF287" s="2">
        <f t="shared" si="139"/>
        <v>3714868.48</v>
      </c>
      <c r="AG287" s="38" t="s">
        <v>857</v>
      </c>
      <c r="AH287" s="38" t="s">
        <v>2008</v>
      </c>
      <c r="AI287" s="30">
        <f>561658.42-14692.77+100771.01+103124.13-13629.24+122496.25+66492.5-5752.3+44782.25+116689.97-16767.99+92786.64-13103.59+67357.2-1478.82-4986.54-6611.21+45977.07+1541768.77-6544.59+281753.97-7975.63-1829.12+8952.63</f>
        <v>3061239.01</v>
      </c>
      <c r="AJ287" s="30">
        <f>78790.01+14692.77+17180.78+13629.24+23582.31+5752.3+6849.05+3956.65+16767.99+13103.59+1478.82+4986.54+6611.21+235799.91+6544.59+35470.63+7975.63+1369.22</f>
        <v>494541.24</v>
      </c>
    </row>
    <row r="288" spans="1:36" s="179" customFormat="1" ht="274.5" customHeight="1" x14ac:dyDescent="0.25">
      <c r="A288" s="6">
        <v>285</v>
      </c>
      <c r="B288" s="31">
        <v>135982</v>
      </c>
      <c r="C288" s="11">
        <v>815</v>
      </c>
      <c r="D288" s="9" t="s">
        <v>1639</v>
      </c>
      <c r="E288" s="24" t="s">
        <v>1441</v>
      </c>
      <c r="F288" s="31" t="s">
        <v>1456</v>
      </c>
      <c r="G288" s="11" t="s">
        <v>685</v>
      </c>
      <c r="H288" s="8" t="s">
        <v>151</v>
      </c>
      <c r="I288" s="12" t="s">
        <v>2779</v>
      </c>
      <c r="J288" s="25">
        <v>43959</v>
      </c>
      <c r="K288" s="25">
        <v>44812</v>
      </c>
      <c r="L288" s="26">
        <f t="shared" si="134"/>
        <v>85.000000040154887</v>
      </c>
      <c r="M288" s="11">
        <v>4</v>
      </c>
      <c r="N288" s="11" t="s">
        <v>248</v>
      </c>
      <c r="O288" s="11" t="s">
        <v>247</v>
      </c>
      <c r="P288" s="11" t="s">
        <v>174</v>
      </c>
      <c r="Q288" s="11" t="s">
        <v>34</v>
      </c>
      <c r="R288" s="1">
        <f t="shared" si="135"/>
        <v>3175204.76</v>
      </c>
      <c r="S288" s="51">
        <v>3175204.76</v>
      </c>
      <c r="T288" s="2">
        <v>0</v>
      </c>
      <c r="U288" s="1">
        <f t="shared" si="136"/>
        <v>485619.55</v>
      </c>
      <c r="V288" s="55">
        <v>485619.55</v>
      </c>
      <c r="W288" s="28">
        <v>0</v>
      </c>
      <c r="X288" s="1">
        <f t="shared" si="137"/>
        <v>74710.7</v>
      </c>
      <c r="Y288" s="51">
        <v>74710.7</v>
      </c>
      <c r="Z288" s="51">
        <v>0</v>
      </c>
      <c r="AA288" s="2">
        <f t="shared" si="138"/>
        <v>0</v>
      </c>
      <c r="AB288" s="51">
        <v>0</v>
      </c>
      <c r="AC288" s="36">
        <v>0</v>
      </c>
      <c r="AD288" s="16">
        <f t="shared" si="127"/>
        <v>3735535.01</v>
      </c>
      <c r="AE288" s="35">
        <v>0</v>
      </c>
      <c r="AF288" s="2">
        <f t="shared" si="139"/>
        <v>3735535.01</v>
      </c>
      <c r="AG288" s="38" t="s">
        <v>857</v>
      </c>
      <c r="AH288" s="29" t="s">
        <v>2194</v>
      </c>
      <c r="AI288" s="30">
        <f>40778.75+103935.07+89246.17+1228972.5+373553.5-35511.45+373553.5</f>
        <v>2174528.04</v>
      </c>
      <c r="AJ288" s="30">
        <f>6236.75+15895.95+13649.41+187960.5+51700.55</f>
        <v>275443.15999999997</v>
      </c>
    </row>
    <row r="289" spans="1:36" s="179" customFormat="1" ht="409.5" x14ac:dyDescent="0.25">
      <c r="A289" s="6">
        <v>286</v>
      </c>
      <c r="B289" s="31">
        <v>135980</v>
      </c>
      <c r="C289" s="11">
        <v>785</v>
      </c>
      <c r="D289" s="9" t="s">
        <v>1639</v>
      </c>
      <c r="E289" s="24" t="s">
        <v>1441</v>
      </c>
      <c r="F289" s="31" t="s">
        <v>1486</v>
      </c>
      <c r="G289" s="11" t="s">
        <v>1487</v>
      </c>
      <c r="H289" s="8" t="s">
        <v>151</v>
      </c>
      <c r="I289" s="12" t="s">
        <v>2780</v>
      </c>
      <c r="J289" s="25">
        <v>43969</v>
      </c>
      <c r="K289" s="25">
        <v>44760</v>
      </c>
      <c r="L289" s="26">
        <f t="shared" si="134"/>
        <v>85.000000000000014</v>
      </c>
      <c r="M289" s="11">
        <v>4</v>
      </c>
      <c r="N289" s="11" t="s">
        <v>248</v>
      </c>
      <c r="O289" s="11" t="s">
        <v>1488</v>
      </c>
      <c r="P289" s="11" t="s">
        <v>174</v>
      </c>
      <c r="Q289" s="11" t="s">
        <v>34</v>
      </c>
      <c r="R289" s="1">
        <f t="shared" si="135"/>
        <v>2466463.7000000002</v>
      </c>
      <c r="S289" s="30">
        <v>2466463.7000000002</v>
      </c>
      <c r="T289" s="2">
        <v>0</v>
      </c>
      <c r="U289" s="1">
        <f t="shared" si="136"/>
        <v>377223.86</v>
      </c>
      <c r="V289" s="42">
        <v>377223.86</v>
      </c>
      <c r="W289" s="28">
        <v>0</v>
      </c>
      <c r="X289" s="1">
        <f t="shared" si="137"/>
        <v>58034.44</v>
      </c>
      <c r="Y289" s="30">
        <v>58034.44</v>
      </c>
      <c r="Z289" s="30">
        <v>0</v>
      </c>
      <c r="AA289" s="2">
        <f t="shared" si="138"/>
        <v>0</v>
      </c>
      <c r="AB289" s="30">
        <v>0</v>
      </c>
      <c r="AC289" s="36">
        <v>0</v>
      </c>
      <c r="AD289" s="16">
        <f t="shared" si="127"/>
        <v>2901722</v>
      </c>
      <c r="AE289" s="35">
        <v>0</v>
      </c>
      <c r="AF289" s="2">
        <f t="shared" si="139"/>
        <v>2901722</v>
      </c>
      <c r="AG289" s="38" t="s">
        <v>857</v>
      </c>
      <c r="AH289" s="29" t="s">
        <v>151</v>
      </c>
      <c r="AI289" s="30">
        <f>57510.16+41820+20836.05+34875.5+35599.7+34006.8+27269.7+335484.21+1001385+8156.6+286954.56+292352.4</f>
        <v>2176250.6800000002</v>
      </c>
      <c r="AJ289" s="30">
        <f>8795.67+6396+3186.69+5333.9+5444.66+5201.04+4170.66+51309.35+153153+1247.48+43887.17+44712.72</f>
        <v>332838.33999999997</v>
      </c>
    </row>
    <row r="290" spans="1:36" s="179" customFormat="1" ht="83.25" customHeight="1" x14ac:dyDescent="0.25">
      <c r="A290" s="6">
        <v>287</v>
      </c>
      <c r="B290" s="31">
        <v>152182</v>
      </c>
      <c r="C290" s="11">
        <v>1109</v>
      </c>
      <c r="D290" s="9" t="s">
        <v>1640</v>
      </c>
      <c r="E290" s="24" t="s">
        <v>1807</v>
      </c>
      <c r="F290" s="31" t="s">
        <v>1881</v>
      </c>
      <c r="G290" s="11" t="s">
        <v>1487</v>
      </c>
      <c r="H290" s="11" t="s">
        <v>1882</v>
      </c>
      <c r="I290" s="12" t="s">
        <v>1883</v>
      </c>
      <c r="J290" s="25">
        <v>44518</v>
      </c>
      <c r="K290" s="25">
        <v>45003</v>
      </c>
      <c r="L290" s="26">
        <f t="shared" si="134"/>
        <v>84.204459153318652</v>
      </c>
      <c r="M290" s="11">
        <v>4</v>
      </c>
      <c r="N290" s="11" t="s">
        <v>248</v>
      </c>
      <c r="O290" s="11" t="s">
        <v>1488</v>
      </c>
      <c r="P290" s="11" t="s">
        <v>174</v>
      </c>
      <c r="Q290" s="11" t="s">
        <v>34</v>
      </c>
      <c r="R290" s="1">
        <f t="shared" si="135"/>
        <v>293498.44</v>
      </c>
      <c r="S290" s="30">
        <v>293498.44</v>
      </c>
      <c r="T290" s="2">
        <v>0</v>
      </c>
      <c r="U290" s="1">
        <f t="shared" si="136"/>
        <v>48084.959999999999</v>
      </c>
      <c r="V290" s="42">
        <v>48084.959999999999</v>
      </c>
      <c r="W290" s="28">
        <v>0</v>
      </c>
      <c r="X290" s="1">
        <f t="shared" si="137"/>
        <v>3708.86</v>
      </c>
      <c r="Y290" s="30">
        <v>3708.86</v>
      </c>
      <c r="Z290" s="30">
        <v>0</v>
      </c>
      <c r="AA290" s="2">
        <f t="shared" si="138"/>
        <v>3262.25</v>
      </c>
      <c r="AB290" s="30">
        <v>3262.25</v>
      </c>
      <c r="AC290" s="36">
        <v>0</v>
      </c>
      <c r="AD290" s="16">
        <f t="shared" si="127"/>
        <v>348554.51</v>
      </c>
      <c r="AE290" s="35">
        <v>0</v>
      </c>
      <c r="AF290" s="2">
        <f t="shared" si="139"/>
        <v>348554.51</v>
      </c>
      <c r="AG290" s="38" t="s">
        <v>486</v>
      </c>
      <c r="AH290" s="29"/>
      <c r="AI290" s="30">
        <f>15000+16983.2+9400.02-1416.81+15000</f>
        <v>54966.41</v>
      </c>
      <c r="AJ290" s="30">
        <f>2997.04+2204.16+1851.69</f>
        <v>7052.8899999999994</v>
      </c>
    </row>
    <row r="291" spans="1:36" s="185" customFormat="1" ht="157.5" x14ac:dyDescent="0.25">
      <c r="A291" s="6">
        <v>288</v>
      </c>
      <c r="B291" s="31">
        <v>120531</v>
      </c>
      <c r="C291" s="11">
        <v>76</v>
      </c>
      <c r="D291" s="9" t="s">
        <v>1639</v>
      </c>
      <c r="E291" s="24" t="s">
        <v>277</v>
      </c>
      <c r="F291" s="27" t="s">
        <v>190</v>
      </c>
      <c r="G291" s="27" t="s">
        <v>191</v>
      </c>
      <c r="H291" s="8" t="s">
        <v>151</v>
      </c>
      <c r="I291" s="32" t="s">
        <v>192</v>
      </c>
      <c r="J291" s="25">
        <v>43129</v>
      </c>
      <c r="K291" s="25">
        <v>43798</v>
      </c>
      <c r="L291" s="26">
        <f t="shared" ref="L291:L301" si="140">R291/AD291*100</f>
        <v>85.000000405063261</v>
      </c>
      <c r="M291" s="11">
        <v>3</v>
      </c>
      <c r="N291" s="11" t="s">
        <v>194</v>
      </c>
      <c r="O291" s="11" t="s">
        <v>193</v>
      </c>
      <c r="P291" s="27" t="s">
        <v>174</v>
      </c>
      <c r="Q291" s="11" t="s">
        <v>34</v>
      </c>
      <c r="R291" s="2">
        <f t="shared" ref="R291:R301" si="141">S291+T291</f>
        <v>524609.42000000004</v>
      </c>
      <c r="S291" s="57">
        <v>524609.42000000004</v>
      </c>
      <c r="T291" s="2">
        <v>0</v>
      </c>
      <c r="U291" s="1">
        <f t="shared" ref="U291:U301" si="142">V291+W291</f>
        <v>80234.38</v>
      </c>
      <c r="V291" s="89">
        <v>80234.38</v>
      </c>
      <c r="W291" s="28">
        <v>0</v>
      </c>
      <c r="X291" s="1">
        <f t="shared" ref="X291:X301" si="143">Y291+Z291</f>
        <v>12343.75</v>
      </c>
      <c r="Y291" s="57">
        <v>12343.75</v>
      </c>
      <c r="Z291" s="2">
        <v>0</v>
      </c>
      <c r="AA291" s="2">
        <f t="shared" ref="AA291:AA301" si="144">AB291+AC291</f>
        <v>0</v>
      </c>
      <c r="AB291" s="2">
        <v>0</v>
      </c>
      <c r="AC291" s="2">
        <v>0</v>
      </c>
      <c r="AD291" s="16">
        <f t="shared" si="127"/>
        <v>617187.55000000005</v>
      </c>
      <c r="AE291" s="2">
        <v>0</v>
      </c>
      <c r="AF291" s="2">
        <f t="shared" ref="AF291:AF301" si="145">AD291+AE291</f>
        <v>617187.55000000005</v>
      </c>
      <c r="AG291" s="21" t="s">
        <v>857</v>
      </c>
      <c r="AH291" s="29" t="s">
        <v>151</v>
      </c>
      <c r="AI291" s="30">
        <v>398279.01</v>
      </c>
      <c r="AJ291" s="30">
        <v>60913.25</v>
      </c>
    </row>
    <row r="292" spans="1:36" s="187" customFormat="1" ht="157.5" x14ac:dyDescent="0.25">
      <c r="A292" s="6">
        <v>289</v>
      </c>
      <c r="B292" s="31">
        <v>119702</v>
      </c>
      <c r="C292" s="11">
        <v>462</v>
      </c>
      <c r="D292" s="9" t="s">
        <v>1639</v>
      </c>
      <c r="E292" s="68" t="s">
        <v>457</v>
      </c>
      <c r="F292" s="11" t="s">
        <v>502</v>
      </c>
      <c r="G292" s="11" t="s">
        <v>191</v>
      </c>
      <c r="H292" s="8" t="s">
        <v>151</v>
      </c>
      <c r="I292" s="32" t="s">
        <v>2781</v>
      </c>
      <c r="J292" s="25">
        <v>43269</v>
      </c>
      <c r="K292" s="25">
        <v>43756</v>
      </c>
      <c r="L292" s="26">
        <f t="shared" si="140"/>
        <v>85.000000000000014</v>
      </c>
      <c r="M292" s="11">
        <v>3</v>
      </c>
      <c r="N292" s="11" t="s">
        <v>194</v>
      </c>
      <c r="O292" s="11" t="s">
        <v>193</v>
      </c>
      <c r="P292" s="11" t="s">
        <v>174</v>
      </c>
      <c r="Q292" s="11" t="s">
        <v>460</v>
      </c>
      <c r="R292" s="2">
        <f t="shared" si="141"/>
        <v>289363.96999999997</v>
      </c>
      <c r="S292" s="30">
        <v>289363.96999999997</v>
      </c>
      <c r="T292" s="2">
        <v>0</v>
      </c>
      <c r="U292" s="1">
        <f t="shared" si="142"/>
        <v>44255.67</v>
      </c>
      <c r="V292" s="42">
        <v>44255.67</v>
      </c>
      <c r="W292" s="28">
        <v>0</v>
      </c>
      <c r="X292" s="1">
        <f t="shared" si="143"/>
        <v>6808.5599999999995</v>
      </c>
      <c r="Y292" s="30">
        <v>6808.5599999999995</v>
      </c>
      <c r="Z292" s="2">
        <v>0</v>
      </c>
      <c r="AA292" s="2">
        <f t="shared" si="144"/>
        <v>0</v>
      </c>
      <c r="AB292" s="2">
        <v>0</v>
      </c>
      <c r="AC292" s="2">
        <v>0</v>
      </c>
      <c r="AD292" s="16">
        <f t="shared" si="127"/>
        <v>340428.19999999995</v>
      </c>
      <c r="AE292" s="2">
        <v>0</v>
      </c>
      <c r="AF292" s="2">
        <f t="shared" si="145"/>
        <v>340428.19999999995</v>
      </c>
      <c r="AG292" s="21" t="s">
        <v>857</v>
      </c>
      <c r="AH292" s="74" t="s">
        <v>1048</v>
      </c>
      <c r="AI292" s="30">
        <v>261948.47000000003</v>
      </c>
      <c r="AJ292" s="30">
        <v>40062.699999999997</v>
      </c>
    </row>
    <row r="293" spans="1:36" s="179" customFormat="1" ht="204.75" x14ac:dyDescent="0.25">
      <c r="A293" s="6">
        <v>290</v>
      </c>
      <c r="B293" s="31">
        <v>117960</v>
      </c>
      <c r="C293" s="11">
        <v>418</v>
      </c>
      <c r="D293" s="32" t="s">
        <v>1640</v>
      </c>
      <c r="E293" s="32" t="s">
        <v>507</v>
      </c>
      <c r="F293" s="11" t="s">
        <v>720</v>
      </c>
      <c r="G293" s="11" t="s">
        <v>191</v>
      </c>
      <c r="H293" s="8" t="s">
        <v>151</v>
      </c>
      <c r="I293" s="32" t="s">
        <v>721</v>
      </c>
      <c r="J293" s="25">
        <v>43318</v>
      </c>
      <c r="K293" s="25">
        <v>43805</v>
      </c>
      <c r="L293" s="26">
        <f t="shared" si="140"/>
        <v>85</v>
      </c>
      <c r="M293" s="11">
        <v>3</v>
      </c>
      <c r="N293" s="11" t="s">
        <v>194</v>
      </c>
      <c r="O293" s="11" t="s">
        <v>193</v>
      </c>
      <c r="P293" s="11" t="s">
        <v>174</v>
      </c>
      <c r="Q293" s="11" t="s">
        <v>460</v>
      </c>
      <c r="R293" s="2">
        <f t="shared" si="141"/>
        <v>339865.02</v>
      </c>
      <c r="S293" s="30">
        <v>339865.02</v>
      </c>
      <c r="T293" s="34">
        <v>0</v>
      </c>
      <c r="U293" s="1">
        <f t="shared" si="142"/>
        <v>51979.35</v>
      </c>
      <c r="V293" s="42">
        <v>51979.35</v>
      </c>
      <c r="W293" s="42">
        <v>0</v>
      </c>
      <c r="X293" s="1">
        <f t="shared" si="143"/>
        <v>7996.83</v>
      </c>
      <c r="Y293" s="30">
        <v>7996.83</v>
      </c>
      <c r="Z293" s="30">
        <v>0</v>
      </c>
      <c r="AA293" s="2">
        <f t="shared" si="144"/>
        <v>0</v>
      </c>
      <c r="AB293" s="34">
        <v>0</v>
      </c>
      <c r="AC293" s="34">
        <v>0</v>
      </c>
      <c r="AD293" s="16">
        <f t="shared" si="127"/>
        <v>399841.2</v>
      </c>
      <c r="AE293" s="30">
        <v>0</v>
      </c>
      <c r="AF293" s="2">
        <f t="shared" si="145"/>
        <v>399841.2</v>
      </c>
      <c r="AG293" s="21" t="s">
        <v>857</v>
      </c>
      <c r="AH293" s="38"/>
      <c r="AI293" s="30">
        <v>229276.43000000002</v>
      </c>
      <c r="AJ293" s="30">
        <v>35065.81</v>
      </c>
    </row>
    <row r="294" spans="1:36" s="179" customFormat="1" ht="141.75" x14ac:dyDescent="0.25">
      <c r="A294" s="6">
        <v>291</v>
      </c>
      <c r="B294" s="31">
        <v>126286</v>
      </c>
      <c r="C294" s="11">
        <v>513</v>
      </c>
      <c r="D294" s="9" t="s">
        <v>1639</v>
      </c>
      <c r="E294" s="32" t="s">
        <v>899</v>
      </c>
      <c r="F294" s="11" t="s">
        <v>944</v>
      </c>
      <c r="G294" s="11" t="s">
        <v>945</v>
      </c>
      <c r="H294" s="8" t="s">
        <v>151</v>
      </c>
      <c r="I294" s="32" t="s">
        <v>2782</v>
      </c>
      <c r="J294" s="25">
        <v>43451</v>
      </c>
      <c r="K294" s="25">
        <v>44182</v>
      </c>
      <c r="L294" s="26">
        <f t="shared" si="140"/>
        <v>85.000000627550136</v>
      </c>
      <c r="M294" s="11">
        <v>3</v>
      </c>
      <c r="N294" s="11" t="s">
        <v>1147</v>
      </c>
      <c r="O294" s="11" t="s">
        <v>945</v>
      </c>
      <c r="P294" s="11" t="s">
        <v>174</v>
      </c>
      <c r="Q294" s="11" t="s">
        <v>460</v>
      </c>
      <c r="R294" s="2">
        <f t="shared" si="141"/>
        <v>2370328.59</v>
      </c>
      <c r="S294" s="30">
        <v>2370328.59</v>
      </c>
      <c r="T294" s="34">
        <v>0</v>
      </c>
      <c r="U294" s="1">
        <f t="shared" si="142"/>
        <v>362520.82</v>
      </c>
      <c r="V294" s="42">
        <v>362520.82</v>
      </c>
      <c r="W294" s="42">
        <v>0</v>
      </c>
      <c r="X294" s="1">
        <f t="shared" si="143"/>
        <v>55772.44</v>
      </c>
      <c r="Y294" s="30">
        <v>55772.44</v>
      </c>
      <c r="Z294" s="30">
        <v>0</v>
      </c>
      <c r="AA294" s="2">
        <f t="shared" si="144"/>
        <v>0</v>
      </c>
      <c r="AB294" s="34">
        <v>0</v>
      </c>
      <c r="AC294" s="34">
        <v>0</v>
      </c>
      <c r="AD294" s="16">
        <f t="shared" si="127"/>
        <v>2788621.8499999996</v>
      </c>
      <c r="AE294" s="30">
        <v>0</v>
      </c>
      <c r="AF294" s="2">
        <f t="shared" si="145"/>
        <v>2788621.8499999996</v>
      </c>
      <c r="AG294" s="38" t="s">
        <v>857</v>
      </c>
      <c r="AH294" s="38" t="s">
        <v>151</v>
      </c>
      <c r="AI294" s="30">
        <f>627672.32-17778.09+287234.86+139082.99+89907.24+794027.5-2746.9+72930.32-12652.29 -1844.57-726.44</f>
        <v>1975106.9400000002</v>
      </c>
      <c r="AJ294" s="30">
        <f>63184.36+17778.09+43930.03+21271.52+17999.69+121439.5+2746.9+11154.05+1844.57+726.44</f>
        <v>302075.15000000002</v>
      </c>
    </row>
    <row r="295" spans="1:36" s="179" customFormat="1" ht="141.75" x14ac:dyDescent="0.25">
      <c r="A295" s="6">
        <v>292</v>
      </c>
      <c r="B295" s="31">
        <v>129573</v>
      </c>
      <c r="C295" s="11">
        <v>665</v>
      </c>
      <c r="D295" s="9" t="s">
        <v>1639</v>
      </c>
      <c r="E295" s="32" t="s">
        <v>1071</v>
      </c>
      <c r="F295" s="11" t="s">
        <v>1146</v>
      </c>
      <c r="G295" s="11" t="s">
        <v>191</v>
      </c>
      <c r="H295" s="8" t="s">
        <v>151</v>
      </c>
      <c r="I295" s="32" t="s">
        <v>2783</v>
      </c>
      <c r="J295" s="25">
        <v>43654</v>
      </c>
      <c r="K295" s="25">
        <v>44750</v>
      </c>
      <c r="L295" s="26">
        <f t="shared" si="140"/>
        <v>85.000000000000014</v>
      </c>
      <c r="M295" s="11">
        <v>3</v>
      </c>
      <c r="N295" s="11" t="s">
        <v>1147</v>
      </c>
      <c r="O295" s="11" t="s">
        <v>193</v>
      </c>
      <c r="P295" s="11" t="s">
        <v>174</v>
      </c>
      <c r="Q295" s="11" t="s">
        <v>460</v>
      </c>
      <c r="R295" s="2">
        <f t="shared" si="141"/>
        <v>2547988.73</v>
      </c>
      <c r="S295" s="30">
        <v>2547988.73</v>
      </c>
      <c r="T295" s="34">
        <v>0</v>
      </c>
      <c r="U295" s="1">
        <f t="shared" si="142"/>
        <v>389692.4</v>
      </c>
      <c r="V295" s="42">
        <v>389692.4</v>
      </c>
      <c r="W295" s="42">
        <v>0</v>
      </c>
      <c r="X295" s="1">
        <f t="shared" si="143"/>
        <v>59952.67</v>
      </c>
      <c r="Y295" s="30">
        <v>59952.67</v>
      </c>
      <c r="Z295" s="30">
        <v>0</v>
      </c>
      <c r="AA295" s="2">
        <f t="shared" si="144"/>
        <v>0</v>
      </c>
      <c r="AB295" s="34">
        <v>0</v>
      </c>
      <c r="AC295" s="34">
        <v>0</v>
      </c>
      <c r="AD295" s="16">
        <f t="shared" si="127"/>
        <v>2997633.8</v>
      </c>
      <c r="AE295" s="30">
        <v>21896</v>
      </c>
      <c r="AF295" s="2">
        <f t="shared" si="145"/>
        <v>3019529.8</v>
      </c>
      <c r="AG295" s="38" t="s">
        <v>857</v>
      </c>
      <c r="AH295" s="38" t="s">
        <v>1810</v>
      </c>
      <c r="AI295" s="30">
        <f>72625.7+892213.31+580328.59</f>
        <v>1545167.6</v>
      </c>
      <c r="AJ295" s="30">
        <f>11107.46+136456.15+88756.14</f>
        <v>236319.75</v>
      </c>
    </row>
    <row r="296" spans="1:36" s="179" customFormat="1" ht="250.5" customHeight="1" x14ac:dyDescent="0.25">
      <c r="A296" s="6">
        <v>293</v>
      </c>
      <c r="B296" s="31">
        <v>129682</v>
      </c>
      <c r="C296" s="11">
        <v>666</v>
      </c>
      <c r="D296" s="9" t="s">
        <v>1639</v>
      </c>
      <c r="E296" s="32" t="s">
        <v>1071</v>
      </c>
      <c r="F296" s="11" t="s">
        <v>1187</v>
      </c>
      <c r="G296" s="11" t="s">
        <v>1657</v>
      </c>
      <c r="H296" s="8" t="s">
        <v>151</v>
      </c>
      <c r="I296" s="32" t="s">
        <v>1188</v>
      </c>
      <c r="J296" s="25">
        <v>43677</v>
      </c>
      <c r="K296" s="25">
        <v>44592</v>
      </c>
      <c r="L296" s="26">
        <f t="shared" si="140"/>
        <v>84.999999798883323</v>
      </c>
      <c r="M296" s="11">
        <v>3</v>
      </c>
      <c r="N296" s="11" t="s">
        <v>194</v>
      </c>
      <c r="O296" s="11" t="s">
        <v>1926</v>
      </c>
      <c r="P296" s="11" t="s">
        <v>174</v>
      </c>
      <c r="Q296" s="11" t="s">
        <v>460</v>
      </c>
      <c r="R296" s="2">
        <f t="shared" si="141"/>
        <v>3381122.07</v>
      </c>
      <c r="S296" s="30">
        <v>3381122.07</v>
      </c>
      <c r="T296" s="34">
        <v>0</v>
      </c>
      <c r="U296" s="1">
        <f t="shared" si="142"/>
        <v>517112.16</v>
      </c>
      <c r="V296" s="42">
        <v>517112.16</v>
      </c>
      <c r="W296" s="42">
        <v>0</v>
      </c>
      <c r="X296" s="1">
        <f t="shared" si="143"/>
        <v>79556.45</v>
      </c>
      <c r="Y296" s="30">
        <v>79556.45</v>
      </c>
      <c r="Z296" s="34">
        <v>0</v>
      </c>
      <c r="AA296" s="2">
        <f t="shared" si="144"/>
        <v>0</v>
      </c>
      <c r="AB296" s="2">
        <v>0</v>
      </c>
      <c r="AC296" s="2">
        <v>0</v>
      </c>
      <c r="AD296" s="16">
        <f t="shared" si="127"/>
        <v>3977790.68</v>
      </c>
      <c r="AE296" s="30">
        <v>0</v>
      </c>
      <c r="AF296" s="2">
        <f t="shared" si="145"/>
        <v>3977790.68</v>
      </c>
      <c r="AG296" s="38" t="s">
        <v>857</v>
      </c>
      <c r="AH296" s="38" t="s">
        <v>151</v>
      </c>
      <c r="AI296" s="30">
        <f>232011.58+75548+208007.75+777843.5+140612.95+616612.95+365761.8+812909.4</f>
        <v>3229307.9299999997</v>
      </c>
      <c r="AJ296" s="30">
        <f>35483.98+11554.29+31812.88+118964.3+21505.4+94305.42+55939.95+124327.29</f>
        <v>493893.51</v>
      </c>
    </row>
    <row r="297" spans="1:36" s="179" customFormat="1" ht="210.75" customHeight="1" x14ac:dyDescent="0.25">
      <c r="A297" s="6">
        <v>294</v>
      </c>
      <c r="B297" s="31">
        <v>135925</v>
      </c>
      <c r="C297" s="11">
        <v>767</v>
      </c>
      <c r="D297" s="9" t="s">
        <v>1639</v>
      </c>
      <c r="E297" s="24" t="s">
        <v>1441</v>
      </c>
      <c r="F297" s="11" t="s">
        <v>1457</v>
      </c>
      <c r="G297" s="11" t="s">
        <v>1458</v>
      </c>
      <c r="H297" s="8" t="s">
        <v>151</v>
      </c>
      <c r="I297" s="32" t="s">
        <v>2784</v>
      </c>
      <c r="J297" s="25">
        <v>43959</v>
      </c>
      <c r="K297" s="25">
        <v>44508</v>
      </c>
      <c r="L297" s="26">
        <f t="shared" si="140"/>
        <v>84.999999999999986</v>
      </c>
      <c r="M297" s="11">
        <v>3</v>
      </c>
      <c r="N297" s="11" t="s">
        <v>194</v>
      </c>
      <c r="O297" s="11" t="s">
        <v>1458</v>
      </c>
      <c r="P297" s="11" t="s">
        <v>174</v>
      </c>
      <c r="Q297" s="11" t="s">
        <v>1450</v>
      </c>
      <c r="R297" s="2">
        <f t="shared" si="141"/>
        <v>1880240.97</v>
      </c>
      <c r="S297" s="30">
        <v>1880240.97</v>
      </c>
      <c r="T297" s="34">
        <v>0</v>
      </c>
      <c r="U297" s="1">
        <f t="shared" si="142"/>
        <v>287566.27</v>
      </c>
      <c r="V297" s="42">
        <v>287566.27</v>
      </c>
      <c r="W297" s="42">
        <v>0</v>
      </c>
      <c r="X297" s="1">
        <f t="shared" si="143"/>
        <v>44240.959999999999</v>
      </c>
      <c r="Y297" s="30">
        <v>44240.959999999999</v>
      </c>
      <c r="Z297" s="34">
        <v>0</v>
      </c>
      <c r="AA297" s="2">
        <f t="shared" si="144"/>
        <v>0</v>
      </c>
      <c r="AB297" s="2">
        <v>0</v>
      </c>
      <c r="AC297" s="2">
        <v>0</v>
      </c>
      <c r="AD297" s="16">
        <f t="shared" si="127"/>
        <v>2212048.2000000002</v>
      </c>
      <c r="AE297" s="30">
        <v>2975</v>
      </c>
      <c r="AF297" s="2">
        <f t="shared" si="145"/>
        <v>2215023.2000000002</v>
      </c>
      <c r="AG297" s="38" t="s">
        <v>857</v>
      </c>
      <c r="AH297" s="38" t="s">
        <v>1755</v>
      </c>
      <c r="AI297" s="30">
        <f>216000-24481.73+44910.08+216000+179158.75-179158.75</f>
        <v>452428.35</v>
      </c>
      <c r="AJ297" s="30">
        <f>24481.73+11677.9+27400.75-27400.75</f>
        <v>36159.629999999997</v>
      </c>
    </row>
    <row r="298" spans="1:36" s="179" customFormat="1" ht="267.75" x14ac:dyDescent="0.25">
      <c r="A298" s="6">
        <v>295</v>
      </c>
      <c r="B298" s="31">
        <v>136159</v>
      </c>
      <c r="C298" s="11">
        <v>846</v>
      </c>
      <c r="D298" s="9" t="s">
        <v>1639</v>
      </c>
      <c r="E298" s="24" t="s">
        <v>1441</v>
      </c>
      <c r="F298" s="11" t="s">
        <v>1463</v>
      </c>
      <c r="G298" s="11" t="s">
        <v>945</v>
      </c>
      <c r="H298" s="8" t="s">
        <v>151</v>
      </c>
      <c r="I298" s="32" t="s">
        <v>1464</v>
      </c>
      <c r="J298" s="25">
        <v>43959</v>
      </c>
      <c r="K298" s="25">
        <v>44993</v>
      </c>
      <c r="L298" s="26">
        <f t="shared" si="140"/>
        <v>84.999999999999986</v>
      </c>
      <c r="M298" s="11">
        <v>3</v>
      </c>
      <c r="N298" s="11" t="s">
        <v>194</v>
      </c>
      <c r="O298" s="11" t="s">
        <v>945</v>
      </c>
      <c r="P298" s="11" t="s">
        <v>174</v>
      </c>
      <c r="Q298" s="11" t="s">
        <v>1450</v>
      </c>
      <c r="R298" s="2">
        <f t="shared" si="141"/>
        <v>1894229.42</v>
      </c>
      <c r="S298" s="30">
        <v>1894229.42</v>
      </c>
      <c r="T298" s="34">
        <v>0</v>
      </c>
      <c r="U298" s="1">
        <f t="shared" si="142"/>
        <v>289705.68</v>
      </c>
      <c r="V298" s="42">
        <v>289705.68</v>
      </c>
      <c r="W298" s="42">
        <v>0</v>
      </c>
      <c r="X298" s="1">
        <f t="shared" si="143"/>
        <v>44570.1</v>
      </c>
      <c r="Y298" s="30">
        <v>44570.1</v>
      </c>
      <c r="Z298" s="34">
        <v>0</v>
      </c>
      <c r="AA298" s="2">
        <f t="shared" si="144"/>
        <v>0</v>
      </c>
      <c r="AB298" s="2">
        <v>0</v>
      </c>
      <c r="AC298" s="2">
        <v>0</v>
      </c>
      <c r="AD298" s="16">
        <f t="shared" si="127"/>
        <v>2228505.2000000002</v>
      </c>
      <c r="AE298" s="30">
        <v>0</v>
      </c>
      <c r="AF298" s="2">
        <f t="shared" si="145"/>
        <v>2228505.2000000002</v>
      </c>
      <c r="AG298" s="38" t="s">
        <v>486</v>
      </c>
      <c r="AH298" s="38" t="s">
        <v>1862</v>
      </c>
      <c r="AI298" s="30">
        <f>207152.02-5478.06-136607.56-980+52494.71+16815.94</f>
        <v>133397.04999999999</v>
      </c>
      <c r="AJ298" s="30">
        <f>5478.06+4473.27-130+10580.57</f>
        <v>20401.900000000001</v>
      </c>
    </row>
    <row r="299" spans="1:36" s="179" customFormat="1" ht="267.75" x14ac:dyDescent="0.25">
      <c r="A299" s="6">
        <v>296</v>
      </c>
      <c r="B299" s="31">
        <v>136243</v>
      </c>
      <c r="C299" s="11">
        <v>824</v>
      </c>
      <c r="D299" s="9" t="s">
        <v>1639</v>
      </c>
      <c r="E299" s="24" t="s">
        <v>1441</v>
      </c>
      <c r="F299" s="11" t="s">
        <v>1490</v>
      </c>
      <c r="G299" s="11" t="s">
        <v>1491</v>
      </c>
      <c r="H299" s="8" t="s">
        <v>151</v>
      </c>
      <c r="I299" s="32" t="s">
        <v>1492</v>
      </c>
      <c r="J299" s="25">
        <v>43969</v>
      </c>
      <c r="K299" s="25">
        <v>45095</v>
      </c>
      <c r="L299" s="26">
        <f t="shared" si="140"/>
        <v>85.000000012520232</v>
      </c>
      <c r="M299" s="11">
        <v>3</v>
      </c>
      <c r="N299" s="11" t="s">
        <v>194</v>
      </c>
      <c r="O299" s="11" t="s">
        <v>1491</v>
      </c>
      <c r="P299" s="11" t="s">
        <v>174</v>
      </c>
      <c r="Q299" s="11" t="s">
        <v>1450</v>
      </c>
      <c r="R299" s="2">
        <f t="shared" si="141"/>
        <v>3394504.81</v>
      </c>
      <c r="S299" s="30">
        <v>3394504.81</v>
      </c>
      <c r="T299" s="34">
        <v>0</v>
      </c>
      <c r="U299" s="1">
        <f t="shared" si="142"/>
        <v>519159.56</v>
      </c>
      <c r="V299" s="42">
        <v>519159.56</v>
      </c>
      <c r="W299" s="42">
        <v>0</v>
      </c>
      <c r="X299" s="1">
        <f t="shared" si="143"/>
        <v>79870.7</v>
      </c>
      <c r="Y299" s="30">
        <v>79870.7</v>
      </c>
      <c r="Z299" s="34">
        <v>0</v>
      </c>
      <c r="AA299" s="2">
        <f t="shared" si="144"/>
        <v>0</v>
      </c>
      <c r="AB299" s="2">
        <v>0</v>
      </c>
      <c r="AC299" s="2">
        <v>0</v>
      </c>
      <c r="AD299" s="16">
        <f t="shared" si="127"/>
        <v>3993535.0700000003</v>
      </c>
      <c r="AE299" s="30">
        <v>0</v>
      </c>
      <c r="AF299" s="2">
        <f t="shared" si="145"/>
        <v>3993535.0700000003</v>
      </c>
      <c r="AG299" s="38" t="s">
        <v>486</v>
      </c>
      <c r="AH299" s="38" t="s">
        <v>2214</v>
      </c>
      <c r="AI299" s="30">
        <f>14571.55+71362.34+79992.65</f>
        <v>165926.53999999998</v>
      </c>
      <c r="AJ299" s="30">
        <f>2228.59+10914.24+12234.17</f>
        <v>25377</v>
      </c>
    </row>
    <row r="300" spans="1:36" s="179" customFormat="1" ht="220.5" customHeight="1" x14ac:dyDescent="0.25">
      <c r="A300" s="6">
        <v>297</v>
      </c>
      <c r="B300" s="31">
        <v>136133</v>
      </c>
      <c r="C300" s="11">
        <v>792</v>
      </c>
      <c r="D300" s="9" t="s">
        <v>1639</v>
      </c>
      <c r="E300" s="24" t="s">
        <v>1441</v>
      </c>
      <c r="F300" s="11" t="s">
        <v>1562</v>
      </c>
      <c r="G300" s="11" t="s">
        <v>1657</v>
      </c>
      <c r="H300" s="8" t="s">
        <v>151</v>
      </c>
      <c r="I300" s="32" t="s">
        <v>2785</v>
      </c>
      <c r="J300" s="25">
        <v>44014</v>
      </c>
      <c r="K300" s="25">
        <v>44836</v>
      </c>
      <c r="L300" s="26">
        <f t="shared" si="140"/>
        <v>85.000000233024664</v>
      </c>
      <c r="M300" s="11">
        <v>3</v>
      </c>
      <c r="N300" s="11" t="s">
        <v>194</v>
      </c>
      <c r="O300" s="11" t="s">
        <v>1926</v>
      </c>
      <c r="P300" s="11" t="s">
        <v>174</v>
      </c>
      <c r="Q300" s="11" t="s">
        <v>1450</v>
      </c>
      <c r="R300" s="2">
        <f t="shared" si="141"/>
        <v>2370993.67</v>
      </c>
      <c r="S300" s="30">
        <v>2370993.67</v>
      </c>
      <c r="T300" s="34">
        <v>0</v>
      </c>
      <c r="U300" s="1">
        <f t="shared" si="142"/>
        <v>362622.56</v>
      </c>
      <c r="V300" s="42">
        <v>362622.56</v>
      </c>
      <c r="W300" s="42">
        <v>0</v>
      </c>
      <c r="X300" s="1">
        <f t="shared" si="143"/>
        <v>55788.08</v>
      </c>
      <c r="Y300" s="30">
        <v>55788.08</v>
      </c>
      <c r="Z300" s="34">
        <v>0</v>
      </c>
      <c r="AA300" s="2">
        <f t="shared" si="144"/>
        <v>0</v>
      </c>
      <c r="AB300" s="2">
        <v>0</v>
      </c>
      <c r="AC300" s="2">
        <v>0</v>
      </c>
      <c r="AD300" s="16">
        <f t="shared" si="127"/>
        <v>2789404.31</v>
      </c>
      <c r="AE300" s="30">
        <v>0</v>
      </c>
      <c r="AF300" s="2">
        <f t="shared" si="145"/>
        <v>2789404.31</v>
      </c>
      <c r="AG300" s="38" t="s">
        <v>486</v>
      </c>
      <c r="AH300" s="38" t="s">
        <v>2320</v>
      </c>
      <c r="AI300" s="30">
        <f>60995.15+165203.29+109492.33+1058637.35+415164.65</f>
        <v>1809492.77</v>
      </c>
      <c r="AJ300" s="30">
        <f>9328.67+25266.39+16745.89+161909.24+63495.77</f>
        <v>276745.96000000002</v>
      </c>
    </row>
    <row r="301" spans="1:36" s="179" customFormat="1" ht="267.75" x14ac:dyDescent="0.25">
      <c r="A301" s="6">
        <v>298</v>
      </c>
      <c r="B301" s="31">
        <v>152005</v>
      </c>
      <c r="C301" s="11">
        <v>1125</v>
      </c>
      <c r="D301" s="9" t="s">
        <v>1640</v>
      </c>
      <c r="E301" s="24" t="s">
        <v>1807</v>
      </c>
      <c r="F301" s="11" t="s">
        <v>1863</v>
      </c>
      <c r="G301" s="11" t="s">
        <v>1458</v>
      </c>
      <c r="H301" s="8" t="s">
        <v>151</v>
      </c>
      <c r="I301" s="32" t="s">
        <v>1864</v>
      </c>
      <c r="J301" s="25">
        <v>44503</v>
      </c>
      <c r="K301" s="25">
        <v>44988</v>
      </c>
      <c r="L301" s="26">
        <f t="shared" si="140"/>
        <v>85</v>
      </c>
      <c r="M301" s="11">
        <v>3</v>
      </c>
      <c r="N301" s="11" t="s">
        <v>194</v>
      </c>
      <c r="O301" s="11" t="s">
        <v>1458</v>
      </c>
      <c r="P301" s="11" t="s">
        <v>174</v>
      </c>
      <c r="Q301" s="11" t="s">
        <v>1450</v>
      </c>
      <c r="R301" s="2">
        <f t="shared" si="141"/>
        <v>352138</v>
      </c>
      <c r="S301" s="30">
        <v>352138</v>
      </c>
      <c r="T301" s="34">
        <v>0</v>
      </c>
      <c r="U301" s="1">
        <f t="shared" si="142"/>
        <v>53856.4</v>
      </c>
      <c r="V301" s="42">
        <v>53856.4</v>
      </c>
      <c r="W301" s="42">
        <v>0</v>
      </c>
      <c r="X301" s="1">
        <f t="shared" si="143"/>
        <v>8285.6</v>
      </c>
      <c r="Y301" s="30">
        <v>8285.6</v>
      </c>
      <c r="Z301" s="34">
        <v>0</v>
      </c>
      <c r="AA301" s="2">
        <f t="shared" si="144"/>
        <v>0</v>
      </c>
      <c r="AB301" s="2">
        <v>0</v>
      </c>
      <c r="AC301" s="2">
        <v>0</v>
      </c>
      <c r="AD301" s="16">
        <f t="shared" si="127"/>
        <v>414280</v>
      </c>
      <c r="AE301" s="30">
        <v>0</v>
      </c>
      <c r="AF301" s="2">
        <f t="shared" si="145"/>
        <v>414280</v>
      </c>
      <c r="AG301" s="38" t="s">
        <v>486</v>
      </c>
      <c r="AH301" s="38"/>
      <c r="AI301" s="30">
        <v>0</v>
      </c>
      <c r="AJ301" s="30">
        <v>0</v>
      </c>
    </row>
    <row r="302" spans="1:36" s="179" customFormat="1" ht="126" customHeight="1" x14ac:dyDescent="0.25">
      <c r="A302" s="6">
        <v>299</v>
      </c>
      <c r="B302" s="31">
        <v>119208</v>
      </c>
      <c r="C302" s="11">
        <v>489</v>
      </c>
      <c r="D302" s="9" t="s">
        <v>1639</v>
      </c>
      <c r="E302" s="24" t="s">
        <v>457</v>
      </c>
      <c r="F302" s="11" t="s">
        <v>877</v>
      </c>
      <c r="G302" s="11" t="s">
        <v>878</v>
      </c>
      <c r="H302" s="8" t="s">
        <v>151</v>
      </c>
      <c r="I302" s="12" t="s">
        <v>2786</v>
      </c>
      <c r="J302" s="25">
        <v>43396</v>
      </c>
      <c r="K302" s="25">
        <v>43884</v>
      </c>
      <c r="L302" s="26">
        <f t="shared" ref="L302:L307" si="146">R302/AD302*100</f>
        <v>85</v>
      </c>
      <c r="M302" s="11">
        <v>1</v>
      </c>
      <c r="N302" s="11" t="s">
        <v>407</v>
      </c>
      <c r="O302" s="11" t="s">
        <v>1927</v>
      </c>
      <c r="P302" s="27" t="s">
        <v>174</v>
      </c>
      <c r="Q302" s="11" t="s">
        <v>34</v>
      </c>
      <c r="R302" s="2">
        <f t="shared" ref="R302:R307" si="147">S302+T302</f>
        <v>529360.44999999995</v>
      </c>
      <c r="S302" s="2">
        <v>529360.44999999995</v>
      </c>
      <c r="T302" s="2">
        <v>0</v>
      </c>
      <c r="U302" s="1">
        <f t="shared" ref="U302:U309" si="148">V302+W302</f>
        <v>80961.009999999995</v>
      </c>
      <c r="V302" s="28">
        <v>80961.009999999995</v>
      </c>
      <c r="W302" s="28">
        <v>0</v>
      </c>
      <c r="X302" s="1">
        <f t="shared" ref="X302:X309" si="149">Y302+Z302</f>
        <v>12455.54</v>
      </c>
      <c r="Y302" s="2">
        <v>12455.54</v>
      </c>
      <c r="Z302" s="2">
        <v>0</v>
      </c>
      <c r="AA302" s="2">
        <f t="shared" ref="AA302:AA309" si="150">AB302+AC302</f>
        <v>0</v>
      </c>
      <c r="AB302" s="2">
        <v>0</v>
      </c>
      <c r="AC302" s="2">
        <v>0</v>
      </c>
      <c r="AD302" s="16">
        <f t="shared" si="127"/>
        <v>622777</v>
      </c>
      <c r="AE302" s="2"/>
      <c r="AF302" s="2">
        <f t="shared" ref="AF302:AF309" si="151">AD302+AE302</f>
        <v>622777</v>
      </c>
      <c r="AG302" s="38" t="s">
        <v>1427</v>
      </c>
      <c r="AH302" s="29"/>
      <c r="AI302" s="30">
        <v>483717.67</v>
      </c>
      <c r="AJ302" s="30">
        <v>73980.329999999987</v>
      </c>
    </row>
    <row r="303" spans="1:36" s="179" customFormat="1" ht="141.75" x14ac:dyDescent="0.25">
      <c r="A303" s="6">
        <v>300</v>
      </c>
      <c r="B303" s="31">
        <v>122867</v>
      </c>
      <c r="C303" s="31">
        <v>105</v>
      </c>
      <c r="D303" s="9" t="s">
        <v>1639</v>
      </c>
      <c r="E303" s="24" t="s">
        <v>277</v>
      </c>
      <c r="F303" s="11" t="s">
        <v>794</v>
      </c>
      <c r="G303" s="11" t="s">
        <v>906</v>
      </c>
      <c r="H303" s="11" t="s">
        <v>795</v>
      </c>
      <c r="I303" s="12" t="s">
        <v>796</v>
      </c>
      <c r="J303" s="25">
        <v>43342</v>
      </c>
      <c r="K303" s="25">
        <v>43707</v>
      </c>
      <c r="L303" s="26">
        <f t="shared" si="146"/>
        <v>84.194914940710191</v>
      </c>
      <c r="M303" s="11">
        <v>1</v>
      </c>
      <c r="N303" s="11" t="s">
        <v>407</v>
      </c>
      <c r="O303" s="11" t="s">
        <v>797</v>
      </c>
      <c r="P303" s="27" t="s">
        <v>174</v>
      </c>
      <c r="Q303" s="11" t="s">
        <v>34</v>
      </c>
      <c r="R303" s="2">
        <f t="shared" si="147"/>
        <v>351606.78</v>
      </c>
      <c r="S303" s="2">
        <v>351606.78</v>
      </c>
      <c r="T303" s="2">
        <v>0</v>
      </c>
      <c r="U303" s="1">
        <f t="shared" si="148"/>
        <v>57651.47</v>
      </c>
      <c r="V303" s="28">
        <v>57651.47</v>
      </c>
      <c r="W303" s="28">
        <v>0</v>
      </c>
      <c r="X303" s="1">
        <f t="shared" si="149"/>
        <v>8352.2199999999993</v>
      </c>
      <c r="Y303" s="2">
        <v>8352.2199999999993</v>
      </c>
      <c r="Z303" s="2">
        <v>0</v>
      </c>
      <c r="AA303" s="2">
        <f t="shared" si="150"/>
        <v>0</v>
      </c>
      <c r="AB303" s="2">
        <v>0</v>
      </c>
      <c r="AC303" s="2">
        <v>0</v>
      </c>
      <c r="AD303" s="16">
        <f t="shared" si="127"/>
        <v>417610.47</v>
      </c>
      <c r="AE303" s="2"/>
      <c r="AF303" s="2">
        <f t="shared" si="151"/>
        <v>417610.47</v>
      </c>
      <c r="AG303" s="21" t="s">
        <v>857</v>
      </c>
      <c r="AH303" s="29" t="s">
        <v>294</v>
      </c>
      <c r="AI303" s="30">
        <v>320784.53000000003</v>
      </c>
      <c r="AJ303" s="30">
        <v>52280.650000000009</v>
      </c>
    </row>
    <row r="304" spans="1:36" s="179" customFormat="1" ht="189" x14ac:dyDescent="0.25">
      <c r="A304" s="6">
        <v>301</v>
      </c>
      <c r="B304" s="31">
        <v>126260</v>
      </c>
      <c r="C304" s="11">
        <v>526</v>
      </c>
      <c r="D304" s="9" t="s">
        <v>1639</v>
      </c>
      <c r="E304" s="24" t="s">
        <v>899</v>
      </c>
      <c r="F304" s="11" t="s">
        <v>907</v>
      </c>
      <c r="G304" s="11" t="s">
        <v>906</v>
      </c>
      <c r="H304" s="8" t="s">
        <v>151</v>
      </c>
      <c r="I304" s="12" t="s">
        <v>2787</v>
      </c>
      <c r="J304" s="25">
        <v>43433</v>
      </c>
      <c r="K304" s="25">
        <v>44284</v>
      </c>
      <c r="L304" s="26">
        <f t="shared" si="146"/>
        <v>84.999999887651384</v>
      </c>
      <c r="M304" s="11">
        <v>1</v>
      </c>
      <c r="N304" s="11" t="s">
        <v>407</v>
      </c>
      <c r="O304" s="11" t="s">
        <v>797</v>
      </c>
      <c r="P304" s="27" t="s">
        <v>174</v>
      </c>
      <c r="Q304" s="11" t="s">
        <v>34</v>
      </c>
      <c r="R304" s="2">
        <f t="shared" si="147"/>
        <v>2269720.81</v>
      </c>
      <c r="S304" s="2">
        <v>2269720.81</v>
      </c>
      <c r="T304" s="2">
        <v>0</v>
      </c>
      <c r="U304" s="1">
        <f t="shared" si="148"/>
        <v>347133.77</v>
      </c>
      <c r="V304" s="28">
        <v>347133.77</v>
      </c>
      <c r="W304" s="28">
        <v>0</v>
      </c>
      <c r="X304" s="1">
        <f t="shared" si="149"/>
        <v>53405.2</v>
      </c>
      <c r="Y304" s="2">
        <v>53405.2</v>
      </c>
      <c r="Z304" s="2">
        <v>0</v>
      </c>
      <c r="AA304" s="2">
        <f t="shared" si="150"/>
        <v>0</v>
      </c>
      <c r="AB304" s="2">
        <v>0</v>
      </c>
      <c r="AC304" s="2">
        <v>0</v>
      </c>
      <c r="AD304" s="16">
        <f t="shared" si="127"/>
        <v>2670259.7800000003</v>
      </c>
      <c r="AE304" s="2">
        <v>57120</v>
      </c>
      <c r="AF304" s="2">
        <f t="shared" si="151"/>
        <v>2727379.7800000003</v>
      </c>
      <c r="AG304" s="38" t="s">
        <v>857</v>
      </c>
      <c r="AH304" s="29" t="s">
        <v>1671</v>
      </c>
      <c r="AI304" s="30">
        <f>176317.2+454574.91+552196.35+622670.87+112586.33</f>
        <v>1918345.6600000001</v>
      </c>
      <c r="AJ304" s="30">
        <f>26966.16+69523.21+84453.54+95232.02+17219.08</f>
        <v>293394.01</v>
      </c>
    </row>
    <row r="305" spans="1:36" s="179" customFormat="1" ht="267.75" x14ac:dyDescent="0.25">
      <c r="A305" s="6">
        <v>302</v>
      </c>
      <c r="B305" s="31">
        <v>136304</v>
      </c>
      <c r="C305" s="11">
        <v>807</v>
      </c>
      <c r="D305" s="9" t="s">
        <v>1639</v>
      </c>
      <c r="E305" s="24" t="s">
        <v>1441</v>
      </c>
      <c r="F305" s="11" t="s">
        <v>1459</v>
      </c>
      <c r="G305" s="11" t="s">
        <v>879</v>
      </c>
      <c r="H305" s="8" t="s">
        <v>151</v>
      </c>
      <c r="I305" s="12" t="s">
        <v>1460</v>
      </c>
      <c r="J305" s="25">
        <v>43959</v>
      </c>
      <c r="K305" s="25">
        <v>44750</v>
      </c>
      <c r="L305" s="26">
        <f t="shared" si="146"/>
        <v>85.000000207537823</v>
      </c>
      <c r="M305" s="11">
        <v>1</v>
      </c>
      <c r="N305" s="11" t="s">
        <v>407</v>
      </c>
      <c r="O305" s="11" t="s">
        <v>1927</v>
      </c>
      <c r="P305" s="27" t="s">
        <v>174</v>
      </c>
      <c r="Q305" s="11" t="s">
        <v>1450</v>
      </c>
      <c r="R305" s="2">
        <f t="shared" si="147"/>
        <v>3276511.26</v>
      </c>
      <c r="S305" s="2">
        <v>3276511.26</v>
      </c>
      <c r="T305" s="2">
        <v>0</v>
      </c>
      <c r="U305" s="1">
        <f t="shared" si="148"/>
        <v>501113.47</v>
      </c>
      <c r="V305" s="28">
        <v>501113.47</v>
      </c>
      <c r="W305" s="28">
        <v>0</v>
      </c>
      <c r="X305" s="1">
        <f t="shared" si="149"/>
        <v>77094.39</v>
      </c>
      <c r="Y305" s="2">
        <v>77094.39</v>
      </c>
      <c r="Z305" s="2">
        <v>0</v>
      </c>
      <c r="AA305" s="2">
        <f t="shared" si="150"/>
        <v>0</v>
      </c>
      <c r="AB305" s="2">
        <v>0</v>
      </c>
      <c r="AC305" s="2">
        <v>0</v>
      </c>
      <c r="AD305" s="16">
        <f t="shared" si="127"/>
        <v>3854719.1199999996</v>
      </c>
      <c r="AE305" s="2">
        <v>0</v>
      </c>
      <c r="AF305" s="2">
        <f t="shared" si="151"/>
        <v>3854719.1199999996</v>
      </c>
      <c r="AG305" s="38" t="s">
        <v>857</v>
      </c>
      <c r="AH305" s="38" t="s">
        <v>1741</v>
      </c>
      <c r="AI305" s="30">
        <f>19470.95+79241.25+59313+212713.2+56806.35+850875.5+279844.65+870336.25</f>
        <v>2428601.15</v>
      </c>
      <c r="AJ305" s="30">
        <f>2977.91+12119.25+9071.4+32532.6+8688.03+130133.9+42799.77+133110.25</f>
        <v>371433.11</v>
      </c>
    </row>
    <row r="306" spans="1:36" s="179" customFormat="1" ht="267.75" x14ac:dyDescent="0.25">
      <c r="A306" s="6">
        <v>303</v>
      </c>
      <c r="B306" s="31">
        <v>135378</v>
      </c>
      <c r="C306" s="11">
        <v>795</v>
      </c>
      <c r="D306" s="9" t="s">
        <v>1639</v>
      </c>
      <c r="E306" s="24" t="s">
        <v>1441</v>
      </c>
      <c r="F306" s="11" t="s">
        <v>1545</v>
      </c>
      <c r="G306" s="11" t="s">
        <v>906</v>
      </c>
      <c r="H306" s="8" t="s">
        <v>151</v>
      </c>
      <c r="I306" s="12" t="s">
        <v>2788</v>
      </c>
      <c r="J306" s="25">
        <v>44001</v>
      </c>
      <c r="K306" s="25">
        <v>44700</v>
      </c>
      <c r="L306" s="26">
        <f t="shared" si="146"/>
        <v>85.000000232719501</v>
      </c>
      <c r="M306" s="11">
        <v>1</v>
      </c>
      <c r="N306" s="11" t="s">
        <v>407</v>
      </c>
      <c r="O306" s="11" t="s">
        <v>906</v>
      </c>
      <c r="P306" s="27" t="s">
        <v>174</v>
      </c>
      <c r="Q306" s="11" t="s">
        <v>1450</v>
      </c>
      <c r="R306" s="2">
        <f t="shared" si="147"/>
        <v>2739349.45</v>
      </c>
      <c r="S306" s="2">
        <v>2739349.45</v>
      </c>
      <c r="T306" s="2">
        <v>0</v>
      </c>
      <c r="U306" s="1">
        <f t="shared" si="148"/>
        <v>418959.32</v>
      </c>
      <c r="V306" s="28">
        <v>418959.32</v>
      </c>
      <c r="W306" s="28">
        <v>0</v>
      </c>
      <c r="X306" s="1">
        <f t="shared" si="149"/>
        <v>64455.28</v>
      </c>
      <c r="Y306" s="2">
        <v>64455.28</v>
      </c>
      <c r="Z306" s="2">
        <v>0</v>
      </c>
      <c r="AA306" s="2">
        <f t="shared" si="150"/>
        <v>0</v>
      </c>
      <c r="AB306" s="2">
        <v>0</v>
      </c>
      <c r="AC306" s="2">
        <v>0</v>
      </c>
      <c r="AD306" s="16">
        <f t="shared" si="127"/>
        <v>3222764.05</v>
      </c>
      <c r="AE306" s="2">
        <v>0</v>
      </c>
      <c r="AF306" s="2">
        <f t="shared" si="151"/>
        <v>3222764.05</v>
      </c>
      <c r="AG306" s="38" t="s">
        <v>857</v>
      </c>
      <c r="AH306" s="38" t="s">
        <v>1766</v>
      </c>
      <c r="AI306" s="30">
        <f>122320.43+70052.75+88977.42+77843.43+1587415.81+101483.2+489423.41</f>
        <v>2537516.4500000002</v>
      </c>
      <c r="AJ306" s="30">
        <f>18707.84+10713.95+13608.31+11905.47+242781.24+15520.96+74852.99</f>
        <v>388090.76</v>
      </c>
    </row>
    <row r="307" spans="1:36" s="179" customFormat="1" ht="170.25" customHeight="1" x14ac:dyDescent="0.25">
      <c r="A307" s="6">
        <v>304</v>
      </c>
      <c r="B307" s="31">
        <v>152131</v>
      </c>
      <c r="C307" s="11">
        <v>1136</v>
      </c>
      <c r="D307" s="9" t="s">
        <v>1640</v>
      </c>
      <c r="E307" s="24" t="s">
        <v>1807</v>
      </c>
      <c r="F307" s="11" t="s">
        <v>1875</v>
      </c>
      <c r="G307" s="11" t="s">
        <v>878</v>
      </c>
      <c r="H307" s="8" t="s">
        <v>151</v>
      </c>
      <c r="I307" s="12" t="s">
        <v>1876</v>
      </c>
      <c r="J307" s="25">
        <v>44518</v>
      </c>
      <c r="K307" s="25">
        <v>45003</v>
      </c>
      <c r="L307" s="26">
        <f t="shared" si="146"/>
        <v>85.000004117626744</v>
      </c>
      <c r="M307" s="11">
        <v>1</v>
      </c>
      <c r="N307" s="11" t="s">
        <v>407</v>
      </c>
      <c r="O307" s="11" t="s">
        <v>1927</v>
      </c>
      <c r="P307" s="27" t="s">
        <v>174</v>
      </c>
      <c r="Q307" s="11" t="s">
        <v>1450</v>
      </c>
      <c r="R307" s="2">
        <f t="shared" si="147"/>
        <v>350930.32</v>
      </c>
      <c r="S307" s="2">
        <v>350930.32</v>
      </c>
      <c r="T307" s="2">
        <v>0</v>
      </c>
      <c r="U307" s="1">
        <f t="shared" si="148"/>
        <v>53671.67</v>
      </c>
      <c r="V307" s="28">
        <v>53671.67</v>
      </c>
      <c r="W307" s="28">
        <v>0</v>
      </c>
      <c r="X307" s="1">
        <f t="shared" si="149"/>
        <v>8257.19</v>
      </c>
      <c r="Y307" s="2">
        <v>8257.19</v>
      </c>
      <c r="Z307" s="2">
        <v>0</v>
      </c>
      <c r="AA307" s="2">
        <f t="shared" si="150"/>
        <v>0</v>
      </c>
      <c r="AB307" s="2">
        <v>0</v>
      </c>
      <c r="AC307" s="2">
        <v>0</v>
      </c>
      <c r="AD307" s="16">
        <f t="shared" si="127"/>
        <v>412859.18</v>
      </c>
      <c r="AE307" s="2">
        <v>0</v>
      </c>
      <c r="AF307" s="2">
        <f t="shared" si="151"/>
        <v>412859.18</v>
      </c>
      <c r="AG307" s="38" t="s">
        <v>486</v>
      </c>
      <c r="AH307" s="38"/>
      <c r="AI307" s="30">
        <f>15620.45+49291.93</f>
        <v>64912.380000000005</v>
      </c>
      <c r="AJ307" s="30">
        <f>2389.01+7538.76</f>
        <v>9927.77</v>
      </c>
    </row>
    <row r="308" spans="1:36" s="179" customFormat="1" ht="170.25" customHeight="1" x14ac:dyDescent="0.25">
      <c r="A308" s="6">
        <v>305</v>
      </c>
      <c r="B308" s="31">
        <v>154741</v>
      </c>
      <c r="C308" s="11">
        <v>1219</v>
      </c>
      <c r="D308" s="9" t="s">
        <v>1639</v>
      </c>
      <c r="E308" s="24" t="s">
        <v>2024</v>
      </c>
      <c r="F308" s="11" t="s">
        <v>2182</v>
      </c>
      <c r="G308" s="11" t="s">
        <v>878</v>
      </c>
      <c r="H308" s="8" t="s">
        <v>151</v>
      </c>
      <c r="I308" s="12" t="s">
        <v>2183</v>
      </c>
      <c r="J308" s="25">
        <v>44678</v>
      </c>
      <c r="K308" s="25">
        <v>45165</v>
      </c>
      <c r="L308" s="26">
        <f>R308/AD308*100</f>
        <v>84.999999924386955</v>
      </c>
      <c r="M308" s="11">
        <v>1</v>
      </c>
      <c r="N308" s="11" t="s">
        <v>407</v>
      </c>
      <c r="O308" s="11" t="s">
        <v>1927</v>
      </c>
      <c r="P308" s="27" t="s">
        <v>174</v>
      </c>
      <c r="Q308" s="11" t="s">
        <v>1450</v>
      </c>
      <c r="R308" s="2">
        <f>S308+T308</f>
        <v>3372433.63</v>
      </c>
      <c r="S308" s="2">
        <v>3372433.63</v>
      </c>
      <c r="T308" s="2">
        <v>0</v>
      </c>
      <c r="U308" s="1">
        <f t="shared" si="148"/>
        <v>515783.97</v>
      </c>
      <c r="V308" s="28">
        <v>515783.97</v>
      </c>
      <c r="W308" s="28">
        <v>0</v>
      </c>
      <c r="X308" s="1">
        <f t="shared" si="149"/>
        <v>79351.38</v>
      </c>
      <c r="Y308" s="2">
        <v>79351.38</v>
      </c>
      <c r="Z308" s="2">
        <v>0</v>
      </c>
      <c r="AA308" s="2">
        <f t="shared" si="150"/>
        <v>0</v>
      </c>
      <c r="AB308" s="2">
        <v>0</v>
      </c>
      <c r="AC308" s="2">
        <v>0</v>
      </c>
      <c r="AD308" s="16">
        <f t="shared" si="127"/>
        <v>3967568.9799999995</v>
      </c>
      <c r="AE308" s="2">
        <v>0</v>
      </c>
      <c r="AF308" s="2">
        <f t="shared" si="151"/>
        <v>3967568.9799999995</v>
      </c>
      <c r="AG308" s="38" t="s">
        <v>486</v>
      </c>
      <c r="AH308" s="38"/>
      <c r="AI308" s="30">
        <v>0</v>
      </c>
      <c r="AJ308" s="30">
        <v>0</v>
      </c>
    </row>
    <row r="309" spans="1:36" s="179" customFormat="1" ht="170.25" customHeight="1" x14ac:dyDescent="0.25">
      <c r="A309" s="6">
        <v>306</v>
      </c>
      <c r="B309" s="31">
        <v>155229</v>
      </c>
      <c r="C309" s="11">
        <v>1245</v>
      </c>
      <c r="D309" s="9" t="s">
        <v>1639</v>
      </c>
      <c r="E309" s="24" t="s">
        <v>2024</v>
      </c>
      <c r="F309" s="11" t="s">
        <v>2200</v>
      </c>
      <c r="G309" s="11" t="s">
        <v>879</v>
      </c>
      <c r="H309" s="8" t="s">
        <v>151</v>
      </c>
      <c r="I309" s="12" t="s">
        <v>2201</v>
      </c>
      <c r="J309" s="25">
        <v>44685</v>
      </c>
      <c r="K309" s="25">
        <v>45173</v>
      </c>
      <c r="L309" s="26">
        <f>R309/AD309*100</f>
        <v>85.000000383236838</v>
      </c>
      <c r="M309" s="11">
        <v>1</v>
      </c>
      <c r="N309" s="11" t="s">
        <v>407</v>
      </c>
      <c r="O309" s="11" t="s">
        <v>1927</v>
      </c>
      <c r="P309" s="27" t="s">
        <v>174</v>
      </c>
      <c r="Q309" s="11" t="s">
        <v>1450</v>
      </c>
      <c r="R309" s="2">
        <f>S309+T309</f>
        <v>2883334.5</v>
      </c>
      <c r="S309" s="2">
        <v>2883334.5</v>
      </c>
      <c r="T309" s="2">
        <v>0</v>
      </c>
      <c r="U309" s="1">
        <f t="shared" si="148"/>
        <v>440980.56</v>
      </c>
      <c r="V309" s="28">
        <v>440980.56</v>
      </c>
      <c r="W309" s="28">
        <v>0</v>
      </c>
      <c r="X309" s="1">
        <f t="shared" si="149"/>
        <v>67843.16</v>
      </c>
      <c r="Y309" s="2">
        <v>67843.16</v>
      </c>
      <c r="Z309" s="2">
        <v>0</v>
      </c>
      <c r="AA309" s="2">
        <f t="shared" si="150"/>
        <v>0</v>
      </c>
      <c r="AB309" s="2">
        <v>0</v>
      </c>
      <c r="AC309" s="2">
        <v>0</v>
      </c>
      <c r="AD309" s="16">
        <f t="shared" si="127"/>
        <v>3392158.22</v>
      </c>
      <c r="AE309" s="2">
        <v>0</v>
      </c>
      <c r="AF309" s="2">
        <f t="shared" si="151"/>
        <v>3392158.22</v>
      </c>
      <c r="AG309" s="38" t="s">
        <v>486</v>
      </c>
      <c r="AH309" s="38"/>
      <c r="AI309" s="30">
        <v>0</v>
      </c>
      <c r="AJ309" s="30">
        <v>0</v>
      </c>
    </row>
    <row r="310" spans="1:36" s="179" customFormat="1" ht="283.5" x14ac:dyDescent="0.25">
      <c r="A310" s="6">
        <v>307</v>
      </c>
      <c r="B310" s="31">
        <v>120572</v>
      </c>
      <c r="C310" s="11">
        <v>82</v>
      </c>
      <c r="D310" s="9" t="s">
        <v>1639</v>
      </c>
      <c r="E310" s="24" t="s">
        <v>277</v>
      </c>
      <c r="F310" s="11" t="s">
        <v>266</v>
      </c>
      <c r="G310" s="11" t="s">
        <v>267</v>
      </c>
      <c r="H310" s="8" t="s">
        <v>151</v>
      </c>
      <c r="I310" s="12" t="s">
        <v>612</v>
      </c>
      <c r="J310" s="25">
        <v>43171</v>
      </c>
      <c r="K310" s="25">
        <v>43658</v>
      </c>
      <c r="L310" s="26">
        <f>R310/AD310*100</f>
        <v>85.000000359311386</v>
      </c>
      <c r="M310" s="11">
        <v>4</v>
      </c>
      <c r="N310" s="11" t="s">
        <v>268</v>
      </c>
      <c r="O310" s="11" t="s">
        <v>269</v>
      </c>
      <c r="P310" s="27" t="s">
        <v>174</v>
      </c>
      <c r="Q310" s="11" t="s">
        <v>34</v>
      </c>
      <c r="R310" s="1">
        <f>S310+T310</f>
        <v>354845.43</v>
      </c>
      <c r="S310" s="2">
        <v>354845.43</v>
      </c>
      <c r="T310" s="2">
        <v>0</v>
      </c>
      <c r="U310" s="1">
        <f>V310+W310</f>
        <v>54270.48</v>
      </c>
      <c r="V310" s="28">
        <v>54270.48</v>
      </c>
      <c r="W310" s="28">
        <v>0</v>
      </c>
      <c r="X310" s="1">
        <f>Y310+Z310</f>
        <v>8349.2999999999993</v>
      </c>
      <c r="Y310" s="2">
        <v>8349.2999999999993</v>
      </c>
      <c r="Z310" s="2">
        <v>0</v>
      </c>
      <c r="AA310" s="2">
        <f>AB310+AC310</f>
        <v>0</v>
      </c>
      <c r="AB310" s="2">
        <v>0</v>
      </c>
      <c r="AC310" s="2">
        <v>0</v>
      </c>
      <c r="AD310" s="16">
        <f t="shared" si="127"/>
        <v>417465.20999999996</v>
      </c>
      <c r="AE310" s="2">
        <v>0</v>
      </c>
      <c r="AF310" s="2">
        <f>AD310+AE310</f>
        <v>417465.20999999996</v>
      </c>
      <c r="AG310" s="21" t="s">
        <v>857</v>
      </c>
      <c r="AH310" s="29" t="s">
        <v>151</v>
      </c>
      <c r="AI310" s="30">
        <v>326317.06</v>
      </c>
      <c r="AJ310" s="30">
        <v>49907.31</v>
      </c>
    </row>
    <row r="311" spans="1:36" s="179" customFormat="1" ht="141.75" x14ac:dyDescent="0.25">
      <c r="A311" s="6">
        <v>308</v>
      </c>
      <c r="B311" s="31">
        <v>118183</v>
      </c>
      <c r="C311" s="11">
        <v>422</v>
      </c>
      <c r="D311" s="32" t="s">
        <v>1640</v>
      </c>
      <c r="E311" s="24" t="s">
        <v>507</v>
      </c>
      <c r="F311" s="11" t="s">
        <v>611</v>
      </c>
      <c r="G311" s="11" t="s">
        <v>267</v>
      </c>
      <c r="H311" s="8" t="s">
        <v>151</v>
      </c>
      <c r="I311" s="32" t="s">
        <v>2789</v>
      </c>
      <c r="J311" s="25">
        <v>43290</v>
      </c>
      <c r="K311" s="25">
        <v>43778</v>
      </c>
      <c r="L311" s="26">
        <f>R311/AD311*100</f>
        <v>85.000012009815109</v>
      </c>
      <c r="M311" s="11">
        <v>4</v>
      </c>
      <c r="N311" s="11" t="s">
        <v>268</v>
      </c>
      <c r="O311" s="11" t="s">
        <v>269</v>
      </c>
      <c r="P311" s="27" t="s">
        <v>174</v>
      </c>
      <c r="Q311" s="11" t="s">
        <v>613</v>
      </c>
      <c r="R311" s="1">
        <f>S311+T311</f>
        <v>247714.09</v>
      </c>
      <c r="S311" s="2">
        <v>247714.09</v>
      </c>
      <c r="T311" s="2">
        <v>0</v>
      </c>
      <c r="U311" s="1">
        <f>V311+W311</f>
        <v>37885.64</v>
      </c>
      <c r="V311" s="42">
        <v>37885.64</v>
      </c>
      <c r="W311" s="28">
        <v>0</v>
      </c>
      <c r="X311" s="1">
        <f>Y311+Z311</f>
        <v>5828.57</v>
      </c>
      <c r="Y311" s="30">
        <v>5828.57</v>
      </c>
      <c r="Z311" s="2">
        <v>0</v>
      </c>
      <c r="AA311" s="2">
        <f>AB311+AC311</f>
        <v>0</v>
      </c>
      <c r="AB311" s="2">
        <v>0</v>
      </c>
      <c r="AC311" s="2">
        <v>0</v>
      </c>
      <c r="AD311" s="16">
        <f t="shared" si="127"/>
        <v>291428.3</v>
      </c>
      <c r="AE311" s="2">
        <v>0</v>
      </c>
      <c r="AF311" s="2">
        <f>AD311+AE311</f>
        <v>291428.3</v>
      </c>
      <c r="AG311" s="21" t="s">
        <v>857</v>
      </c>
      <c r="AH311" s="29" t="s">
        <v>1020</v>
      </c>
      <c r="AI311" s="30">
        <v>240263.28999999998</v>
      </c>
      <c r="AJ311" s="30">
        <v>36977.890000000021</v>
      </c>
    </row>
    <row r="312" spans="1:36" s="179" customFormat="1" ht="141.75" x14ac:dyDescent="0.25">
      <c r="A312" s="6">
        <v>309</v>
      </c>
      <c r="B312" s="31">
        <v>126174</v>
      </c>
      <c r="C312" s="11">
        <v>534</v>
      </c>
      <c r="D312" s="9" t="s">
        <v>1639</v>
      </c>
      <c r="E312" s="11" t="s">
        <v>899</v>
      </c>
      <c r="F312" s="11" t="s">
        <v>938</v>
      </c>
      <c r="G312" s="11" t="s">
        <v>939</v>
      </c>
      <c r="H312" s="8" t="s">
        <v>151</v>
      </c>
      <c r="I312" s="12" t="s">
        <v>940</v>
      </c>
      <c r="J312" s="25">
        <v>43447</v>
      </c>
      <c r="K312" s="25">
        <v>44970</v>
      </c>
      <c r="L312" s="26">
        <f>R312/AD312*100</f>
        <v>85.000000333995757</v>
      </c>
      <c r="M312" s="11">
        <v>4</v>
      </c>
      <c r="N312" s="11" t="s">
        <v>268</v>
      </c>
      <c r="O312" s="11" t="s">
        <v>269</v>
      </c>
      <c r="P312" s="27" t="s">
        <v>174</v>
      </c>
      <c r="Q312" s="11" t="s">
        <v>34</v>
      </c>
      <c r="R312" s="1">
        <f>S312+T312</f>
        <v>2544942.5099999998</v>
      </c>
      <c r="S312" s="2">
        <v>2544942.5099999998</v>
      </c>
      <c r="T312" s="2">
        <v>0</v>
      </c>
      <c r="U312" s="1">
        <f>V312+W312</f>
        <v>389226.49</v>
      </c>
      <c r="V312" s="42">
        <v>389226.49</v>
      </c>
      <c r="W312" s="28">
        <v>0</v>
      </c>
      <c r="X312" s="1">
        <f>Y312+Z312</f>
        <v>59881</v>
      </c>
      <c r="Y312" s="30">
        <v>59881</v>
      </c>
      <c r="Z312" s="2">
        <v>0</v>
      </c>
      <c r="AA312" s="2">
        <f>AB312+AC312</f>
        <v>0</v>
      </c>
      <c r="AB312" s="2">
        <v>0</v>
      </c>
      <c r="AC312" s="2">
        <v>0</v>
      </c>
      <c r="AD312" s="16">
        <f t="shared" si="127"/>
        <v>2994050</v>
      </c>
      <c r="AE312" s="2">
        <v>0</v>
      </c>
      <c r="AF312" s="2">
        <f>AD312+AE312</f>
        <v>2994050</v>
      </c>
      <c r="AG312" s="38" t="s">
        <v>486</v>
      </c>
      <c r="AH312" s="38" t="s">
        <v>2232</v>
      </c>
      <c r="AI312" s="30">
        <f>34289.85+268684.75+606900</f>
        <v>909874.6</v>
      </c>
      <c r="AJ312" s="30">
        <f>5244.33+41092.96+92820</f>
        <v>139157.29</v>
      </c>
    </row>
    <row r="313" spans="1:36" s="179" customFormat="1" ht="204.75" x14ac:dyDescent="0.25">
      <c r="A313" s="6">
        <v>310</v>
      </c>
      <c r="B313" s="31">
        <v>129739</v>
      </c>
      <c r="C313" s="11">
        <v>688</v>
      </c>
      <c r="D313" s="9" t="s">
        <v>1639</v>
      </c>
      <c r="E313" s="32" t="s">
        <v>1071</v>
      </c>
      <c r="F313" s="11" t="s">
        <v>1256</v>
      </c>
      <c r="G313" s="11" t="s">
        <v>267</v>
      </c>
      <c r="H313" s="8" t="s">
        <v>151</v>
      </c>
      <c r="I313" s="12" t="s">
        <v>1257</v>
      </c>
      <c r="J313" s="25">
        <v>43712</v>
      </c>
      <c r="K313" s="25">
        <v>44989</v>
      </c>
      <c r="L313" s="26">
        <f>R313/AD313*100</f>
        <v>85.000000000000014</v>
      </c>
      <c r="M313" s="11">
        <v>4</v>
      </c>
      <c r="N313" s="11" t="s">
        <v>268</v>
      </c>
      <c r="O313" s="11" t="s">
        <v>269</v>
      </c>
      <c r="P313" s="27" t="s">
        <v>174</v>
      </c>
      <c r="Q313" s="11" t="s">
        <v>34</v>
      </c>
      <c r="R313" s="1">
        <f>S313+T313</f>
        <v>3309254.34</v>
      </c>
      <c r="S313" s="2">
        <v>3309254.34</v>
      </c>
      <c r="T313" s="2">
        <v>0</v>
      </c>
      <c r="U313" s="1">
        <f>V313+W313</f>
        <v>506121.26</v>
      </c>
      <c r="V313" s="42">
        <v>506121.26</v>
      </c>
      <c r="W313" s="28">
        <v>0</v>
      </c>
      <c r="X313" s="1">
        <f>Y313+Z313</f>
        <v>77864.800000000003</v>
      </c>
      <c r="Y313" s="30">
        <v>77864.800000000003</v>
      </c>
      <c r="Z313" s="2">
        <v>0</v>
      </c>
      <c r="AA313" s="2">
        <f>AB313+AC313</f>
        <v>0</v>
      </c>
      <c r="AB313" s="2">
        <v>0</v>
      </c>
      <c r="AC313" s="2">
        <v>0</v>
      </c>
      <c r="AD313" s="16">
        <f t="shared" si="127"/>
        <v>3893240.3999999994</v>
      </c>
      <c r="AE313" s="2">
        <v>0</v>
      </c>
      <c r="AF313" s="2">
        <f>AD313+AE313</f>
        <v>3893240.3999999994</v>
      </c>
      <c r="AG313" s="38" t="s">
        <v>486</v>
      </c>
      <c r="AH313" s="29" t="s">
        <v>1936</v>
      </c>
      <c r="AI313" s="30">
        <f>74556.48+32940.05+44383.6+47957+30669.7+624895.76+164473.06</f>
        <v>1019875.6500000001</v>
      </c>
      <c r="AJ313" s="30">
        <f>8357.89+3044.86+5037.89+6788.08+7334.6+4690.66+95572.29+25154.71</f>
        <v>155980.97999999998</v>
      </c>
    </row>
    <row r="314" spans="1:36" s="179" customFormat="1" ht="141.75" x14ac:dyDescent="0.25">
      <c r="A314" s="6">
        <v>311</v>
      </c>
      <c r="B314" s="31">
        <v>129726</v>
      </c>
      <c r="C314" s="11">
        <v>682</v>
      </c>
      <c r="D314" s="9" t="s">
        <v>1639</v>
      </c>
      <c r="E314" s="32" t="s">
        <v>1071</v>
      </c>
      <c r="F314" s="11" t="s">
        <v>1335</v>
      </c>
      <c r="G314" s="11" t="s">
        <v>1334</v>
      </c>
      <c r="H314" s="11" t="s">
        <v>999</v>
      </c>
      <c r="I314" s="12" t="s">
        <v>1336</v>
      </c>
      <c r="J314" s="25">
        <v>43767</v>
      </c>
      <c r="K314" s="25">
        <v>45167</v>
      </c>
      <c r="L314" s="26">
        <f>R314/AD314*100</f>
        <v>84.185745988543189</v>
      </c>
      <c r="M314" s="11">
        <v>4</v>
      </c>
      <c r="N314" s="11" t="s">
        <v>268</v>
      </c>
      <c r="O314" s="11" t="s">
        <v>269</v>
      </c>
      <c r="P314" s="27" t="s">
        <v>174</v>
      </c>
      <c r="Q314" s="11" t="s">
        <v>34</v>
      </c>
      <c r="R314" s="1">
        <f>S314+T314</f>
        <v>2817971.65</v>
      </c>
      <c r="S314" s="2">
        <v>2817971.65</v>
      </c>
      <c r="T314" s="2">
        <v>0</v>
      </c>
      <c r="U314" s="1">
        <f>V314+W314</f>
        <v>462408.16</v>
      </c>
      <c r="V314" s="42">
        <v>462408.16</v>
      </c>
      <c r="W314" s="28">
        <v>0</v>
      </c>
      <c r="X314" s="1">
        <f>Y314+Z314</f>
        <v>34880.949999999997</v>
      </c>
      <c r="Y314" s="30">
        <v>34880.949999999997</v>
      </c>
      <c r="Z314" s="2">
        <v>0</v>
      </c>
      <c r="AA314" s="2">
        <f>AB314+AC314</f>
        <v>32065.58</v>
      </c>
      <c r="AB314" s="2">
        <v>32065.58</v>
      </c>
      <c r="AC314" s="2">
        <v>0</v>
      </c>
      <c r="AD314" s="16">
        <f t="shared" si="127"/>
        <v>3347326.3400000003</v>
      </c>
      <c r="AE314" s="2">
        <v>0</v>
      </c>
      <c r="AF314" s="2">
        <f>AD314+AE314</f>
        <v>3347326.3400000003</v>
      </c>
      <c r="AG314" s="38" t="s">
        <v>486</v>
      </c>
      <c r="AH314" s="29" t="s">
        <v>2155</v>
      </c>
      <c r="AI314" s="30">
        <f>199177.47-24965.12+119966.25-12010.44-4586.99+140649.56-21568.21+332867.63+143788.11+105707.7-21485.85+372873.86-14274.54+55163.66-6221.16+18044.67-1480.14+71183.75-10140.18</f>
        <v>1442690.0299999998</v>
      </c>
      <c r="AJ314" s="30">
        <f>2899.87+24965.12+12010.44+4586.99+21568.21+58741.35+18654.3+21485.85+47582.63+14274.54+6221.16+3453.58+1480.14+11260.34+1233.92</f>
        <v>250418.44000000003</v>
      </c>
    </row>
    <row r="315" spans="1:36" s="179" customFormat="1" ht="189" x14ac:dyDescent="0.25">
      <c r="A315" s="6">
        <v>312</v>
      </c>
      <c r="B315" s="31">
        <v>120801</v>
      </c>
      <c r="C315" s="11">
        <v>87</v>
      </c>
      <c r="D315" s="9" t="s">
        <v>1639</v>
      </c>
      <c r="E315" s="24" t="s">
        <v>277</v>
      </c>
      <c r="F315" s="11" t="s">
        <v>251</v>
      </c>
      <c r="G315" s="11" t="s">
        <v>1282</v>
      </c>
      <c r="H315" s="11" t="s">
        <v>252</v>
      </c>
      <c r="I315" s="12" t="s">
        <v>253</v>
      </c>
      <c r="J315" s="25">
        <v>43166</v>
      </c>
      <c r="K315" s="25">
        <v>43653</v>
      </c>
      <c r="L315" s="26">
        <f t="shared" ref="L315:L326" si="152">R315/AD315*100</f>
        <v>84.168038598864953</v>
      </c>
      <c r="M315" s="11">
        <v>3</v>
      </c>
      <c r="N315" s="11" t="s">
        <v>254</v>
      </c>
      <c r="O315" s="11" t="s">
        <v>255</v>
      </c>
      <c r="P315" s="27" t="s">
        <v>174</v>
      </c>
      <c r="Q315" s="11" t="s">
        <v>34</v>
      </c>
      <c r="R315" s="1">
        <f t="shared" ref="R315:R326" si="153">S315+T315</f>
        <v>357481.33</v>
      </c>
      <c r="S315" s="2">
        <v>357481.33</v>
      </c>
      <c r="T315" s="2">
        <v>0</v>
      </c>
      <c r="U315" s="1">
        <f t="shared" ref="U315:U326" si="154">V315+W315</f>
        <v>58747.57</v>
      </c>
      <c r="V315" s="28">
        <v>58747.57</v>
      </c>
      <c r="W315" s="28">
        <v>0</v>
      </c>
      <c r="X315" s="1">
        <f t="shared" ref="X315:X326" si="155">Y315+Z315</f>
        <v>8494.4699999999993</v>
      </c>
      <c r="Y315" s="2">
        <v>8494.4699999999993</v>
      </c>
      <c r="Z315" s="2">
        <v>0</v>
      </c>
      <c r="AA315" s="2">
        <f t="shared" ref="AA315:AA326" si="156">AB315+AC315</f>
        <v>0</v>
      </c>
      <c r="AB315" s="2">
        <v>0</v>
      </c>
      <c r="AC315" s="2">
        <v>0</v>
      </c>
      <c r="AD315" s="16">
        <f t="shared" si="127"/>
        <v>424723.37</v>
      </c>
      <c r="AE315" s="2">
        <v>0</v>
      </c>
      <c r="AF315" s="2">
        <f t="shared" ref="AF315:AF326" si="157">AD315+AE315</f>
        <v>424723.37</v>
      </c>
      <c r="AG315" s="21" t="s">
        <v>857</v>
      </c>
      <c r="AH315" s="29" t="s">
        <v>151</v>
      </c>
      <c r="AI315" s="30">
        <v>301291.38999999996</v>
      </c>
      <c r="AJ315" s="30">
        <v>49583.64</v>
      </c>
    </row>
    <row r="316" spans="1:36" s="179" customFormat="1" ht="189" x14ac:dyDescent="0.25">
      <c r="A316" s="6">
        <v>313</v>
      </c>
      <c r="B316" s="31">
        <v>119511</v>
      </c>
      <c r="C316" s="11">
        <v>464</v>
      </c>
      <c r="D316" s="9" t="s">
        <v>1639</v>
      </c>
      <c r="E316" s="11" t="s">
        <v>457</v>
      </c>
      <c r="F316" s="11" t="s">
        <v>458</v>
      </c>
      <c r="G316" s="11" t="s">
        <v>459</v>
      </c>
      <c r="H316" s="8" t="s">
        <v>151</v>
      </c>
      <c r="I316" s="32" t="s">
        <v>2790</v>
      </c>
      <c r="J316" s="25">
        <v>43257</v>
      </c>
      <c r="K316" s="25">
        <v>43744</v>
      </c>
      <c r="L316" s="26">
        <f t="shared" si="152"/>
        <v>85.000000259943448</v>
      </c>
      <c r="M316" s="39">
        <v>3</v>
      </c>
      <c r="N316" s="11" t="s">
        <v>363</v>
      </c>
      <c r="O316" s="11" t="s">
        <v>255</v>
      </c>
      <c r="P316" s="11" t="s">
        <v>174</v>
      </c>
      <c r="Q316" s="11" t="s">
        <v>460</v>
      </c>
      <c r="R316" s="1">
        <f t="shared" si="153"/>
        <v>490491.32</v>
      </c>
      <c r="S316" s="2">
        <v>490491.32</v>
      </c>
      <c r="T316" s="2">
        <v>0</v>
      </c>
      <c r="U316" s="1">
        <f t="shared" si="154"/>
        <v>75016.320000000007</v>
      </c>
      <c r="V316" s="28">
        <v>75016.320000000007</v>
      </c>
      <c r="W316" s="28">
        <v>0</v>
      </c>
      <c r="X316" s="1">
        <f t="shared" si="155"/>
        <v>11540.97</v>
      </c>
      <c r="Y316" s="30">
        <v>11540.97</v>
      </c>
      <c r="Z316" s="30">
        <v>0</v>
      </c>
      <c r="AA316" s="2">
        <f t="shared" si="156"/>
        <v>0</v>
      </c>
      <c r="AB316" s="2">
        <v>0</v>
      </c>
      <c r="AC316" s="2">
        <v>0</v>
      </c>
      <c r="AD316" s="16">
        <f t="shared" si="127"/>
        <v>577048.61</v>
      </c>
      <c r="AE316" s="38">
        <v>0</v>
      </c>
      <c r="AF316" s="2">
        <f t="shared" si="157"/>
        <v>577048.61</v>
      </c>
      <c r="AG316" s="21" t="s">
        <v>857</v>
      </c>
      <c r="AH316" s="38" t="s">
        <v>996</v>
      </c>
      <c r="AI316" s="30">
        <v>469162.02000000008</v>
      </c>
      <c r="AJ316" s="30">
        <v>71754.200000000012</v>
      </c>
    </row>
    <row r="317" spans="1:36" s="179" customFormat="1" ht="189" x14ac:dyDescent="0.25">
      <c r="A317" s="6">
        <v>314</v>
      </c>
      <c r="B317" s="31">
        <v>118799</v>
      </c>
      <c r="C317" s="11">
        <v>447</v>
      </c>
      <c r="D317" s="32" t="s">
        <v>1640</v>
      </c>
      <c r="E317" s="32" t="s">
        <v>507</v>
      </c>
      <c r="F317" s="11" t="s">
        <v>896</v>
      </c>
      <c r="G317" s="11" t="s">
        <v>1282</v>
      </c>
      <c r="H317" s="11" t="s">
        <v>897</v>
      </c>
      <c r="I317" s="32" t="s">
        <v>898</v>
      </c>
      <c r="J317" s="25">
        <v>43425</v>
      </c>
      <c r="K317" s="25">
        <v>43911</v>
      </c>
      <c r="L317" s="26">
        <f t="shared" si="152"/>
        <v>84.156466663338946</v>
      </c>
      <c r="M317" s="11">
        <v>3</v>
      </c>
      <c r="N317" s="11" t="s">
        <v>254</v>
      </c>
      <c r="O317" s="11" t="s">
        <v>255</v>
      </c>
      <c r="P317" s="27" t="s">
        <v>174</v>
      </c>
      <c r="Q317" s="11" t="s">
        <v>34</v>
      </c>
      <c r="R317" s="1">
        <f t="shared" si="153"/>
        <v>242273.6</v>
      </c>
      <c r="S317" s="2">
        <v>242273.6</v>
      </c>
      <c r="T317" s="2">
        <v>0</v>
      </c>
      <c r="U317" s="1">
        <f t="shared" si="154"/>
        <v>39853.410000000003</v>
      </c>
      <c r="V317" s="28">
        <v>39853.410000000003</v>
      </c>
      <c r="W317" s="28">
        <v>0</v>
      </c>
      <c r="X317" s="1">
        <f t="shared" si="155"/>
        <v>2900.76</v>
      </c>
      <c r="Y317" s="30">
        <v>2900.76</v>
      </c>
      <c r="Z317" s="30">
        <v>0</v>
      </c>
      <c r="AA317" s="2">
        <f t="shared" si="156"/>
        <v>2856.94</v>
      </c>
      <c r="AB317" s="2">
        <v>2856.94</v>
      </c>
      <c r="AC317" s="2">
        <v>0</v>
      </c>
      <c r="AD317" s="16">
        <f t="shared" si="127"/>
        <v>287884.71000000002</v>
      </c>
      <c r="AE317" s="38">
        <v>0</v>
      </c>
      <c r="AF317" s="2">
        <f t="shared" si="157"/>
        <v>287884.71000000002</v>
      </c>
      <c r="AG317" s="38" t="s">
        <v>857</v>
      </c>
      <c r="AH317" s="38" t="s">
        <v>1213</v>
      </c>
      <c r="AI317" s="30">
        <v>230490.21</v>
      </c>
      <c r="AJ317" s="30">
        <v>38021.11</v>
      </c>
    </row>
    <row r="318" spans="1:36" s="179" customFormat="1" ht="255" customHeight="1" x14ac:dyDescent="0.25">
      <c r="A318" s="6">
        <v>315</v>
      </c>
      <c r="B318" s="31">
        <v>126115</v>
      </c>
      <c r="C318" s="11">
        <v>542</v>
      </c>
      <c r="D318" s="9" t="s">
        <v>1639</v>
      </c>
      <c r="E318" s="32" t="s">
        <v>899</v>
      </c>
      <c r="F318" s="11" t="s">
        <v>1040</v>
      </c>
      <c r="G318" s="11" t="s">
        <v>459</v>
      </c>
      <c r="H318" s="8" t="s">
        <v>151</v>
      </c>
      <c r="I318" s="33" t="s">
        <v>2791</v>
      </c>
      <c r="J318" s="25">
        <v>43564</v>
      </c>
      <c r="K318" s="25">
        <v>44295</v>
      </c>
      <c r="L318" s="26">
        <f t="shared" si="152"/>
        <v>85.000000984188233</v>
      </c>
      <c r="M318" s="11">
        <v>3</v>
      </c>
      <c r="N318" s="11" t="s">
        <v>254</v>
      </c>
      <c r="O318" s="11" t="s">
        <v>459</v>
      </c>
      <c r="P318" s="27" t="s">
        <v>174</v>
      </c>
      <c r="Q318" s="11" t="s">
        <v>34</v>
      </c>
      <c r="R318" s="1">
        <f t="shared" si="153"/>
        <v>431827.97</v>
      </c>
      <c r="S318" s="2">
        <v>431827.97</v>
      </c>
      <c r="T318" s="2">
        <v>0</v>
      </c>
      <c r="U318" s="1">
        <f t="shared" si="154"/>
        <v>66044.27</v>
      </c>
      <c r="V318" s="28">
        <v>66044.27</v>
      </c>
      <c r="W318" s="28">
        <v>0</v>
      </c>
      <c r="X318" s="1">
        <f t="shared" si="155"/>
        <v>10160.66</v>
      </c>
      <c r="Y318" s="30">
        <v>10160.66</v>
      </c>
      <c r="Z318" s="30">
        <v>0</v>
      </c>
      <c r="AA318" s="2">
        <f t="shared" si="156"/>
        <v>0</v>
      </c>
      <c r="AB318" s="117">
        <v>0</v>
      </c>
      <c r="AC318" s="117">
        <v>0</v>
      </c>
      <c r="AD318" s="16">
        <f t="shared" si="127"/>
        <v>508032.89999999997</v>
      </c>
      <c r="AE318" s="30">
        <v>0</v>
      </c>
      <c r="AF318" s="2">
        <f t="shared" si="157"/>
        <v>508032.89999999997</v>
      </c>
      <c r="AG318" s="38" t="s">
        <v>857</v>
      </c>
      <c r="AH318" s="38" t="s">
        <v>1727</v>
      </c>
      <c r="AI318" s="30">
        <f>126250.71+35445.43+90788.91+110245+22529.93</f>
        <v>385259.98000000004</v>
      </c>
      <c r="AJ318" s="30">
        <f>19308.93+5421.06+13885.38+16861+3445.77</f>
        <v>58922.14</v>
      </c>
    </row>
    <row r="319" spans="1:36" s="179" customFormat="1" ht="141.75" x14ac:dyDescent="0.25">
      <c r="A319" s="6">
        <v>316</v>
      </c>
      <c r="B319" s="31">
        <v>129261</v>
      </c>
      <c r="C319" s="11">
        <v>648</v>
      </c>
      <c r="D319" s="9" t="s">
        <v>1639</v>
      </c>
      <c r="E319" s="32" t="s">
        <v>1071</v>
      </c>
      <c r="F319" s="31" t="s">
        <v>1125</v>
      </c>
      <c r="G319" s="11" t="s">
        <v>1658</v>
      </c>
      <c r="H319" s="8" t="s">
        <v>151</v>
      </c>
      <c r="I319" s="32" t="s">
        <v>2792</v>
      </c>
      <c r="J319" s="25">
        <v>43643</v>
      </c>
      <c r="K319" s="25">
        <v>44192</v>
      </c>
      <c r="L319" s="26">
        <f t="shared" si="152"/>
        <v>84.999999897463027</v>
      </c>
      <c r="M319" s="11">
        <v>3</v>
      </c>
      <c r="N319" s="11" t="s">
        <v>254</v>
      </c>
      <c r="O319" s="11" t="s">
        <v>459</v>
      </c>
      <c r="P319" s="27" t="s">
        <v>174</v>
      </c>
      <c r="Q319" s="11" t="s">
        <v>34</v>
      </c>
      <c r="R319" s="1">
        <f t="shared" si="153"/>
        <v>2486907.71</v>
      </c>
      <c r="S319" s="2">
        <v>2486907.71</v>
      </c>
      <c r="T319" s="2">
        <v>0</v>
      </c>
      <c r="U319" s="1">
        <f t="shared" si="154"/>
        <v>380350.59</v>
      </c>
      <c r="V319" s="28">
        <v>380350.59</v>
      </c>
      <c r="W319" s="28">
        <v>0</v>
      </c>
      <c r="X319" s="1">
        <f t="shared" si="155"/>
        <v>58515.48</v>
      </c>
      <c r="Y319" s="30">
        <v>58515.48</v>
      </c>
      <c r="Z319" s="30">
        <v>0</v>
      </c>
      <c r="AA319" s="2">
        <f t="shared" si="156"/>
        <v>0</v>
      </c>
      <c r="AB319" s="117">
        <v>0</v>
      </c>
      <c r="AC319" s="117">
        <v>0</v>
      </c>
      <c r="AD319" s="16">
        <f t="shared" si="127"/>
        <v>2925773.78</v>
      </c>
      <c r="AE319" s="30">
        <v>0</v>
      </c>
      <c r="AF319" s="2">
        <f t="shared" si="157"/>
        <v>2925773.78</v>
      </c>
      <c r="AG319" s="38" t="s">
        <v>857</v>
      </c>
      <c r="AH319" s="35"/>
      <c r="AI319" s="30">
        <f>189771.86+645544.81+801375.41+295276.91+481390.7</f>
        <v>2413359.69</v>
      </c>
      <c r="AJ319" s="30">
        <f>29023.93+98730.39+122563.3+45160+73624.45</f>
        <v>369102.07</v>
      </c>
    </row>
    <row r="320" spans="1:36" s="179" customFormat="1" ht="204.75" x14ac:dyDescent="0.25">
      <c r="A320" s="6">
        <v>317</v>
      </c>
      <c r="B320" s="31">
        <v>129205</v>
      </c>
      <c r="C320" s="11">
        <v>684</v>
      </c>
      <c r="D320" s="9" t="s">
        <v>1639</v>
      </c>
      <c r="E320" s="32" t="s">
        <v>1071</v>
      </c>
      <c r="F320" s="31" t="s">
        <v>1141</v>
      </c>
      <c r="G320" s="11" t="s">
        <v>459</v>
      </c>
      <c r="H320" s="8" t="s">
        <v>151</v>
      </c>
      <c r="I320" s="32" t="s">
        <v>1142</v>
      </c>
      <c r="J320" s="25">
        <v>43654</v>
      </c>
      <c r="K320" s="25">
        <v>44628</v>
      </c>
      <c r="L320" s="26">
        <f t="shared" si="152"/>
        <v>84.99999990778575</v>
      </c>
      <c r="M320" s="11">
        <v>3</v>
      </c>
      <c r="N320" s="11" t="s">
        <v>254</v>
      </c>
      <c r="O320" s="11" t="s">
        <v>459</v>
      </c>
      <c r="P320" s="27" t="s">
        <v>174</v>
      </c>
      <c r="Q320" s="11" t="s">
        <v>34</v>
      </c>
      <c r="R320" s="1">
        <f t="shared" si="153"/>
        <v>2304415.83</v>
      </c>
      <c r="S320" s="2">
        <v>2304415.83</v>
      </c>
      <c r="T320" s="2">
        <v>0</v>
      </c>
      <c r="U320" s="1">
        <f t="shared" si="154"/>
        <v>352440.07</v>
      </c>
      <c r="V320" s="28">
        <v>352440.07</v>
      </c>
      <c r="W320" s="28">
        <v>0</v>
      </c>
      <c r="X320" s="1">
        <f t="shared" si="155"/>
        <v>54221.55</v>
      </c>
      <c r="Y320" s="30">
        <v>54221.55</v>
      </c>
      <c r="Z320" s="30">
        <v>0</v>
      </c>
      <c r="AA320" s="2">
        <f t="shared" si="156"/>
        <v>0</v>
      </c>
      <c r="AB320" s="117">
        <v>0</v>
      </c>
      <c r="AC320" s="117">
        <v>0</v>
      </c>
      <c r="AD320" s="16">
        <f t="shared" si="127"/>
        <v>2711077.4499999997</v>
      </c>
      <c r="AE320" s="30"/>
      <c r="AF320" s="2">
        <f t="shared" si="157"/>
        <v>2711077.4499999997</v>
      </c>
      <c r="AG320" s="38" t="s">
        <v>857</v>
      </c>
      <c r="AH320" s="38" t="s">
        <v>1968</v>
      </c>
      <c r="AI320" s="30">
        <f>111097.45+8767.75+11449.87+143539.57+184093+3646.86+13693.95+637214.83+855981.88+172508.71</f>
        <v>2141993.87</v>
      </c>
      <c r="AJ320" s="30">
        <f>16991.35+1340.95+1751.15+21953.11+28155.4+557.75+2094.37+97456.38+130914.87+26383.68</f>
        <v>327599.00999999995</v>
      </c>
    </row>
    <row r="321" spans="1:36" s="179" customFormat="1" ht="270.75" customHeight="1" x14ac:dyDescent="0.25">
      <c r="A321" s="6">
        <v>318</v>
      </c>
      <c r="B321" s="31">
        <v>129737</v>
      </c>
      <c r="C321" s="11">
        <v>689</v>
      </c>
      <c r="D321" s="9" t="s">
        <v>1639</v>
      </c>
      <c r="E321" s="32" t="s">
        <v>1071</v>
      </c>
      <c r="F321" s="31" t="s">
        <v>1281</v>
      </c>
      <c r="G321" s="11" t="s">
        <v>1282</v>
      </c>
      <c r="H321" s="8" t="s">
        <v>151</v>
      </c>
      <c r="I321" s="32" t="s">
        <v>2793</v>
      </c>
      <c r="J321" s="25">
        <v>43725</v>
      </c>
      <c r="K321" s="25">
        <v>45094</v>
      </c>
      <c r="L321" s="26">
        <f t="shared" si="152"/>
        <v>85.000000163665106</v>
      </c>
      <c r="M321" s="11">
        <v>3</v>
      </c>
      <c r="N321" s="11" t="s">
        <v>254</v>
      </c>
      <c r="O321" s="11" t="s">
        <v>459</v>
      </c>
      <c r="P321" s="27" t="s">
        <v>174</v>
      </c>
      <c r="Q321" s="11" t="s">
        <v>34</v>
      </c>
      <c r="R321" s="1">
        <f t="shared" si="153"/>
        <v>3116119.5900000003</v>
      </c>
      <c r="S321" s="2">
        <v>3116119.5900000003</v>
      </c>
      <c r="T321" s="2">
        <v>0</v>
      </c>
      <c r="U321" s="1">
        <f t="shared" si="154"/>
        <v>476582.99</v>
      </c>
      <c r="V321" s="28">
        <v>476582.99</v>
      </c>
      <c r="W321" s="28">
        <v>0</v>
      </c>
      <c r="X321" s="1">
        <f t="shared" si="155"/>
        <v>73320.460000000006</v>
      </c>
      <c r="Y321" s="30">
        <v>73320.460000000006</v>
      </c>
      <c r="Z321" s="30">
        <v>0</v>
      </c>
      <c r="AA321" s="2">
        <f t="shared" si="156"/>
        <v>0</v>
      </c>
      <c r="AB321" s="117">
        <v>0</v>
      </c>
      <c r="AC321" s="117">
        <v>0</v>
      </c>
      <c r="AD321" s="16">
        <f t="shared" si="127"/>
        <v>3666023.04</v>
      </c>
      <c r="AE321" s="30">
        <v>0</v>
      </c>
      <c r="AF321" s="2">
        <f t="shared" si="157"/>
        <v>3666023.04</v>
      </c>
      <c r="AG321" s="38" t="s">
        <v>486</v>
      </c>
      <c r="AH321" s="38" t="s">
        <v>1992</v>
      </c>
      <c r="AI321" s="118">
        <f>25211.85+27774.1+101734.8</f>
        <v>154720.75</v>
      </c>
      <c r="AJ321" s="118">
        <f>1956.11+1899.82+4247.8+15559.44</f>
        <v>23663.17</v>
      </c>
    </row>
    <row r="322" spans="1:36" s="179" customFormat="1" ht="198" customHeight="1" x14ac:dyDescent="0.25">
      <c r="A322" s="6">
        <v>319</v>
      </c>
      <c r="B322" s="31">
        <v>136182</v>
      </c>
      <c r="C322" s="11">
        <v>814</v>
      </c>
      <c r="D322" s="9" t="s">
        <v>1639</v>
      </c>
      <c r="E322" s="24" t="s">
        <v>1441</v>
      </c>
      <c r="F322" s="31" t="s">
        <v>1484</v>
      </c>
      <c r="G322" s="11" t="s">
        <v>1282</v>
      </c>
      <c r="H322" s="8" t="s">
        <v>151</v>
      </c>
      <c r="I322" s="32" t="s">
        <v>2794</v>
      </c>
      <c r="J322" s="25">
        <v>43969</v>
      </c>
      <c r="K322" s="25">
        <v>45064</v>
      </c>
      <c r="L322" s="26">
        <f t="shared" si="152"/>
        <v>85</v>
      </c>
      <c r="M322" s="11">
        <v>3</v>
      </c>
      <c r="N322" s="11" t="s">
        <v>254</v>
      </c>
      <c r="O322" s="11" t="s">
        <v>255</v>
      </c>
      <c r="P322" s="27" t="s">
        <v>174</v>
      </c>
      <c r="Q322" s="11" t="s">
        <v>34</v>
      </c>
      <c r="R322" s="1">
        <f t="shared" si="153"/>
        <v>2620035.75</v>
      </c>
      <c r="S322" s="2">
        <v>2620035.75</v>
      </c>
      <c r="T322" s="2">
        <v>0</v>
      </c>
      <c r="U322" s="1">
        <f t="shared" si="154"/>
        <v>400711.35</v>
      </c>
      <c r="V322" s="28">
        <v>400711.35</v>
      </c>
      <c r="W322" s="28">
        <v>0</v>
      </c>
      <c r="X322" s="1">
        <f t="shared" si="155"/>
        <v>61647.9</v>
      </c>
      <c r="Y322" s="30">
        <v>61647.9</v>
      </c>
      <c r="Z322" s="30">
        <v>0</v>
      </c>
      <c r="AA322" s="2">
        <f t="shared" si="156"/>
        <v>0</v>
      </c>
      <c r="AB322" s="117">
        <v>0</v>
      </c>
      <c r="AC322" s="117">
        <v>0</v>
      </c>
      <c r="AD322" s="16">
        <f t="shared" si="127"/>
        <v>3082395</v>
      </c>
      <c r="AE322" s="30">
        <v>0</v>
      </c>
      <c r="AF322" s="2">
        <f t="shared" si="157"/>
        <v>3082395</v>
      </c>
      <c r="AG322" s="38" t="s">
        <v>486</v>
      </c>
      <c r="AH322" s="38" t="s">
        <v>2144</v>
      </c>
      <c r="AI322" s="118">
        <f>30823.95+292691.61-1849.35-33647.64+6327.62</f>
        <v>294346.19</v>
      </c>
      <c r="AJ322" s="118">
        <f>2336.33+1849.35+33647.64+7184.32</f>
        <v>45017.64</v>
      </c>
    </row>
    <row r="323" spans="1:36" s="179" customFormat="1" ht="198" customHeight="1" x14ac:dyDescent="0.25">
      <c r="A323" s="6">
        <v>320</v>
      </c>
      <c r="B323" s="31">
        <v>152213</v>
      </c>
      <c r="C323" s="11">
        <v>1111</v>
      </c>
      <c r="D323" s="9" t="s">
        <v>1640</v>
      </c>
      <c r="E323" s="24" t="s">
        <v>1807</v>
      </c>
      <c r="F323" s="31" t="s">
        <v>1829</v>
      </c>
      <c r="G323" s="11" t="s">
        <v>1658</v>
      </c>
      <c r="H323" s="8" t="s">
        <v>151</v>
      </c>
      <c r="I323" s="32" t="s">
        <v>1830</v>
      </c>
      <c r="J323" s="25">
        <v>44481</v>
      </c>
      <c r="K323" s="25">
        <v>44907</v>
      </c>
      <c r="L323" s="26">
        <f t="shared" si="152"/>
        <v>85</v>
      </c>
      <c r="M323" s="11">
        <v>3</v>
      </c>
      <c r="N323" s="11" t="s">
        <v>254</v>
      </c>
      <c r="O323" s="11" t="s">
        <v>1831</v>
      </c>
      <c r="P323" s="27" t="s">
        <v>174</v>
      </c>
      <c r="Q323" s="11" t="s">
        <v>34</v>
      </c>
      <c r="R323" s="1">
        <f t="shared" si="153"/>
        <v>351884.7</v>
      </c>
      <c r="S323" s="2">
        <v>351884.7</v>
      </c>
      <c r="T323" s="2">
        <v>0</v>
      </c>
      <c r="U323" s="1">
        <f t="shared" si="154"/>
        <v>53817.66</v>
      </c>
      <c r="V323" s="28">
        <v>53817.66</v>
      </c>
      <c r="W323" s="28">
        <v>0</v>
      </c>
      <c r="X323" s="1">
        <f t="shared" si="155"/>
        <v>8279.64</v>
      </c>
      <c r="Y323" s="30">
        <v>8279.64</v>
      </c>
      <c r="Z323" s="30">
        <v>0</v>
      </c>
      <c r="AA323" s="2">
        <f t="shared" si="156"/>
        <v>0</v>
      </c>
      <c r="AB323" s="117">
        <v>0</v>
      </c>
      <c r="AC323" s="117">
        <v>0</v>
      </c>
      <c r="AD323" s="16">
        <f t="shared" si="127"/>
        <v>413982</v>
      </c>
      <c r="AE323" s="30">
        <v>0</v>
      </c>
      <c r="AF323" s="2">
        <f t="shared" si="157"/>
        <v>413982</v>
      </c>
      <c r="AG323" s="38" t="s">
        <v>486</v>
      </c>
      <c r="AH323" s="38"/>
      <c r="AI323" s="118">
        <f>6211.25+49512.41</f>
        <v>55723.66</v>
      </c>
      <c r="AJ323" s="118">
        <f>949.95+7572.49</f>
        <v>8522.44</v>
      </c>
    </row>
    <row r="324" spans="1:36" s="179" customFormat="1" ht="198" customHeight="1" x14ac:dyDescent="0.25">
      <c r="A324" s="6">
        <v>321</v>
      </c>
      <c r="B324" s="31">
        <v>152058</v>
      </c>
      <c r="C324" s="11">
        <v>1099</v>
      </c>
      <c r="D324" s="9" t="s">
        <v>1640</v>
      </c>
      <c r="E324" s="24" t="s">
        <v>1807</v>
      </c>
      <c r="F324" s="31" t="s">
        <v>1837</v>
      </c>
      <c r="G324" s="11" t="s">
        <v>459</v>
      </c>
      <c r="H324" s="8" t="s">
        <v>151</v>
      </c>
      <c r="I324" s="32" t="s">
        <v>2795</v>
      </c>
      <c r="J324" s="25">
        <v>44487</v>
      </c>
      <c r="K324" s="25">
        <v>44791</v>
      </c>
      <c r="L324" s="26">
        <f t="shared" si="152"/>
        <v>85.000000000000014</v>
      </c>
      <c r="M324" s="11">
        <v>3</v>
      </c>
      <c r="N324" s="11" t="s">
        <v>254</v>
      </c>
      <c r="O324" s="11" t="s">
        <v>459</v>
      </c>
      <c r="P324" s="27" t="s">
        <v>174</v>
      </c>
      <c r="Q324" s="11" t="s">
        <v>34</v>
      </c>
      <c r="R324" s="1">
        <f t="shared" si="153"/>
        <v>286138.56</v>
      </c>
      <c r="S324" s="2">
        <v>286138.56</v>
      </c>
      <c r="T324" s="2">
        <v>0</v>
      </c>
      <c r="U324" s="1">
        <f t="shared" si="154"/>
        <v>43762.37</v>
      </c>
      <c r="V324" s="28">
        <v>43762.37</v>
      </c>
      <c r="W324" s="28">
        <v>0</v>
      </c>
      <c r="X324" s="1">
        <f t="shared" si="155"/>
        <v>6732.67</v>
      </c>
      <c r="Y324" s="30">
        <v>6732.67</v>
      </c>
      <c r="Z324" s="30">
        <v>0</v>
      </c>
      <c r="AA324" s="2">
        <f t="shared" si="156"/>
        <v>0</v>
      </c>
      <c r="AB324" s="117">
        <v>0</v>
      </c>
      <c r="AC324" s="117">
        <v>0</v>
      </c>
      <c r="AD324" s="16">
        <f t="shared" si="127"/>
        <v>336633.59999999998</v>
      </c>
      <c r="AE324" s="30">
        <v>0</v>
      </c>
      <c r="AF324" s="2">
        <f t="shared" si="157"/>
        <v>336633.59999999998</v>
      </c>
      <c r="AG324" s="38" t="s">
        <v>857</v>
      </c>
      <c r="AH324" s="38"/>
      <c r="AI324" s="118">
        <f>7153.11+730.97+6745.29+1011.79</f>
        <v>15641.16</v>
      </c>
      <c r="AJ324" s="118">
        <f>1094.01+111.8+1031.63+154.74</f>
        <v>2392.1800000000003</v>
      </c>
    </row>
    <row r="325" spans="1:36" s="179" customFormat="1" ht="198" customHeight="1" x14ac:dyDescent="0.25">
      <c r="A325" s="6">
        <v>322</v>
      </c>
      <c r="B325" s="31">
        <v>154869</v>
      </c>
      <c r="C325" s="11">
        <v>1237</v>
      </c>
      <c r="D325" s="9" t="s">
        <v>1639</v>
      </c>
      <c r="E325" s="24" t="s">
        <v>2024</v>
      </c>
      <c r="F325" s="31" t="s">
        <v>2169</v>
      </c>
      <c r="G325" s="11" t="s">
        <v>459</v>
      </c>
      <c r="H325" s="8" t="s">
        <v>151</v>
      </c>
      <c r="I325" s="32" t="s">
        <v>2796</v>
      </c>
      <c r="J325" s="25">
        <v>44670</v>
      </c>
      <c r="K325" s="25">
        <v>45157</v>
      </c>
      <c r="L325" s="26">
        <f t="shared" si="152"/>
        <v>85</v>
      </c>
      <c r="M325" s="11">
        <v>3</v>
      </c>
      <c r="N325" s="11" t="s">
        <v>254</v>
      </c>
      <c r="O325" s="11" t="s">
        <v>459</v>
      </c>
      <c r="P325" s="27" t="s">
        <v>174</v>
      </c>
      <c r="Q325" s="11" t="s">
        <v>34</v>
      </c>
      <c r="R325" s="1">
        <f t="shared" si="153"/>
        <v>2546666.2999999998</v>
      </c>
      <c r="S325" s="2">
        <v>2546666.2999999998</v>
      </c>
      <c r="T325" s="2">
        <v>0</v>
      </c>
      <c r="U325" s="1">
        <f t="shared" si="154"/>
        <v>389490.14</v>
      </c>
      <c r="V325" s="28">
        <v>389490.14</v>
      </c>
      <c r="W325" s="28">
        <v>0</v>
      </c>
      <c r="X325" s="1">
        <f t="shared" si="155"/>
        <v>59921.56</v>
      </c>
      <c r="Y325" s="30">
        <v>59921.56</v>
      </c>
      <c r="Z325" s="30">
        <v>0</v>
      </c>
      <c r="AA325" s="2">
        <f t="shared" si="156"/>
        <v>0</v>
      </c>
      <c r="AB325" s="117">
        <v>0</v>
      </c>
      <c r="AC325" s="117">
        <v>0</v>
      </c>
      <c r="AD325" s="16">
        <f t="shared" ref="AD325:AD388" si="158">R325+U325+X325+AA325</f>
        <v>2996078</v>
      </c>
      <c r="AE325" s="30">
        <v>0</v>
      </c>
      <c r="AF325" s="2">
        <f t="shared" si="157"/>
        <v>2996078</v>
      </c>
      <c r="AG325" s="38" t="s">
        <v>486</v>
      </c>
      <c r="AH325" s="38"/>
      <c r="AI325" s="118">
        <v>0</v>
      </c>
      <c r="AJ325" s="118">
        <v>0</v>
      </c>
    </row>
    <row r="326" spans="1:36" s="179" customFormat="1" ht="198" customHeight="1" x14ac:dyDescent="0.25">
      <c r="A326" s="6">
        <v>323</v>
      </c>
      <c r="B326" s="31">
        <v>155202</v>
      </c>
      <c r="C326" s="11">
        <v>1222</v>
      </c>
      <c r="D326" s="9" t="s">
        <v>1639</v>
      </c>
      <c r="E326" s="24" t="s">
        <v>2024</v>
      </c>
      <c r="F326" s="31" t="s">
        <v>2251</v>
      </c>
      <c r="G326" s="11" t="s">
        <v>2250</v>
      </c>
      <c r="H326" s="8" t="s">
        <v>151</v>
      </c>
      <c r="I326" s="32" t="s">
        <v>2797</v>
      </c>
      <c r="J326" s="25">
        <v>44712</v>
      </c>
      <c r="K326" s="25">
        <v>45199</v>
      </c>
      <c r="L326" s="26">
        <f t="shared" si="152"/>
        <v>85</v>
      </c>
      <c r="M326" s="11">
        <v>3</v>
      </c>
      <c r="N326" s="11" t="s">
        <v>254</v>
      </c>
      <c r="O326" s="11" t="s">
        <v>1831</v>
      </c>
      <c r="P326" s="27" t="s">
        <v>174</v>
      </c>
      <c r="Q326" s="11" t="s">
        <v>34</v>
      </c>
      <c r="R326" s="1">
        <f t="shared" si="153"/>
        <v>3412393</v>
      </c>
      <c r="S326" s="2">
        <v>3412393</v>
      </c>
      <c r="T326" s="2">
        <v>0</v>
      </c>
      <c r="U326" s="1">
        <f t="shared" si="154"/>
        <v>521895.4</v>
      </c>
      <c r="V326" s="28">
        <v>521895.4</v>
      </c>
      <c r="W326" s="28">
        <v>0</v>
      </c>
      <c r="X326" s="1">
        <f t="shared" si="155"/>
        <v>80291.600000000006</v>
      </c>
      <c r="Y326" s="30">
        <v>80291.600000000006</v>
      </c>
      <c r="Z326" s="30">
        <v>0</v>
      </c>
      <c r="AA326" s="2">
        <f t="shared" si="156"/>
        <v>0</v>
      </c>
      <c r="AB326" s="117">
        <v>0</v>
      </c>
      <c r="AC326" s="117">
        <v>0</v>
      </c>
      <c r="AD326" s="16">
        <f t="shared" si="158"/>
        <v>4014580</v>
      </c>
      <c r="AE326" s="30">
        <v>0</v>
      </c>
      <c r="AF326" s="2">
        <f t="shared" si="157"/>
        <v>4014580</v>
      </c>
      <c r="AG326" s="38" t="s">
        <v>486</v>
      </c>
      <c r="AH326" s="38"/>
      <c r="AI326" s="118">
        <v>0</v>
      </c>
      <c r="AJ326" s="118">
        <v>0</v>
      </c>
    </row>
    <row r="327" spans="1:36" s="179" customFormat="1" ht="141.75" x14ac:dyDescent="0.25">
      <c r="A327" s="6">
        <v>324</v>
      </c>
      <c r="B327" s="31">
        <v>118062</v>
      </c>
      <c r="C327" s="11">
        <v>421</v>
      </c>
      <c r="D327" s="32" t="s">
        <v>1640</v>
      </c>
      <c r="E327" s="24" t="s">
        <v>507</v>
      </c>
      <c r="F327" s="27" t="s">
        <v>890</v>
      </c>
      <c r="G327" s="119" t="s">
        <v>891</v>
      </c>
      <c r="H327" s="8" t="s">
        <v>151</v>
      </c>
      <c r="I327" s="32" t="s">
        <v>2798</v>
      </c>
      <c r="J327" s="25">
        <v>43412</v>
      </c>
      <c r="K327" s="25">
        <v>43898</v>
      </c>
      <c r="L327" s="26">
        <f t="shared" ref="L327:L334" si="159">R327/AD327*100</f>
        <v>85.000007860659679</v>
      </c>
      <c r="M327" s="39">
        <v>6</v>
      </c>
      <c r="N327" s="11" t="s">
        <v>298</v>
      </c>
      <c r="O327" s="11" t="s">
        <v>295</v>
      </c>
      <c r="P327" s="27" t="s">
        <v>174</v>
      </c>
      <c r="Q327" s="27" t="s">
        <v>34</v>
      </c>
      <c r="R327" s="1">
        <f t="shared" ref="R327:R334" si="160">S327+T327</f>
        <v>308180.27</v>
      </c>
      <c r="S327" s="36">
        <v>308180.27</v>
      </c>
      <c r="T327" s="36">
        <v>0</v>
      </c>
      <c r="U327" s="1">
        <f t="shared" ref="U327:U334" si="161">V327+W327</f>
        <v>47133.4</v>
      </c>
      <c r="V327" s="55">
        <v>47133.4</v>
      </c>
      <c r="W327" s="55">
        <v>0</v>
      </c>
      <c r="X327" s="51">
        <f t="shared" ref="X327:X334" si="162">Y327+Z327</f>
        <v>7251.32</v>
      </c>
      <c r="Y327" s="51">
        <v>7251.32</v>
      </c>
      <c r="Z327" s="51">
        <v>0</v>
      </c>
      <c r="AA327" s="2">
        <f t="shared" ref="AA327:AA334" si="163">AB327+AC327</f>
        <v>0</v>
      </c>
      <c r="AB327" s="117">
        <v>0</v>
      </c>
      <c r="AC327" s="117">
        <v>0</v>
      </c>
      <c r="AD327" s="16">
        <f t="shared" si="158"/>
        <v>362564.99000000005</v>
      </c>
      <c r="AE327" s="117">
        <v>0</v>
      </c>
      <c r="AF327" s="2">
        <f t="shared" ref="AF327:AF334" si="164">AD327+AE327</f>
        <v>362564.99000000005</v>
      </c>
      <c r="AG327" s="38" t="s">
        <v>857</v>
      </c>
      <c r="AH327" s="38" t="s">
        <v>1377</v>
      </c>
      <c r="AI327" s="118">
        <v>249239.43</v>
      </c>
      <c r="AJ327" s="30">
        <v>38118.980000000003</v>
      </c>
    </row>
    <row r="328" spans="1:36" s="179" customFormat="1" ht="151.5" customHeight="1" x14ac:dyDescent="0.25">
      <c r="A328" s="6">
        <v>325</v>
      </c>
      <c r="B328" s="11">
        <v>126302</v>
      </c>
      <c r="C328" s="11">
        <v>521</v>
      </c>
      <c r="D328" s="9" t="s">
        <v>1639</v>
      </c>
      <c r="E328" s="32" t="s">
        <v>899</v>
      </c>
      <c r="F328" s="27" t="s">
        <v>932</v>
      </c>
      <c r="G328" s="27" t="s">
        <v>293</v>
      </c>
      <c r="H328" s="8" t="s">
        <v>151</v>
      </c>
      <c r="I328" s="12" t="s">
        <v>933</v>
      </c>
      <c r="J328" s="25">
        <v>43447</v>
      </c>
      <c r="K328" s="25">
        <v>44482</v>
      </c>
      <c r="L328" s="26">
        <f t="shared" si="159"/>
        <v>85.000000283587156</v>
      </c>
      <c r="M328" s="11">
        <v>6</v>
      </c>
      <c r="N328" s="11" t="s">
        <v>298</v>
      </c>
      <c r="O328" s="11" t="s">
        <v>295</v>
      </c>
      <c r="P328" s="27" t="s">
        <v>174</v>
      </c>
      <c r="Q328" s="11" t="s">
        <v>34</v>
      </c>
      <c r="R328" s="1">
        <f t="shared" si="160"/>
        <v>2697583.52</v>
      </c>
      <c r="S328" s="2">
        <v>2697583.52</v>
      </c>
      <c r="T328" s="2">
        <v>0</v>
      </c>
      <c r="U328" s="1">
        <f t="shared" si="161"/>
        <v>412571.59</v>
      </c>
      <c r="V328" s="28">
        <v>412571.59</v>
      </c>
      <c r="W328" s="28">
        <v>0</v>
      </c>
      <c r="X328" s="1">
        <f t="shared" si="162"/>
        <v>63472.55</v>
      </c>
      <c r="Y328" s="2">
        <v>63472.55</v>
      </c>
      <c r="Z328" s="30">
        <v>0</v>
      </c>
      <c r="AA328" s="2">
        <f t="shared" si="163"/>
        <v>0</v>
      </c>
      <c r="AB328" s="2">
        <v>0</v>
      </c>
      <c r="AC328" s="2">
        <v>0</v>
      </c>
      <c r="AD328" s="16">
        <f t="shared" si="158"/>
        <v>3173627.6599999997</v>
      </c>
      <c r="AE328" s="2">
        <v>44744</v>
      </c>
      <c r="AF328" s="2">
        <f t="shared" si="164"/>
        <v>3218371.6599999997</v>
      </c>
      <c r="AG328" s="38" t="s">
        <v>857</v>
      </c>
      <c r="AH328" s="38" t="s">
        <v>1796</v>
      </c>
      <c r="AI328" s="118">
        <f>868935.85+202154.6-31899.66+240474.34+180513.89+317362.76-32301.2+480099.09+167721.85-8613.8-8272.59+658</f>
        <v>2376833.1300000004</v>
      </c>
      <c r="AJ328" s="30">
        <f>84361.34+30914.65+31899.66+27608+11296.45+32301.2+73426.92+50675.08+8613.8+8272.59+4145.96</f>
        <v>363515.65000000008</v>
      </c>
    </row>
    <row r="329" spans="1:36" s="179" customFormat="1" ht="362.25" x14ac:dyDescent="0.25">
      <c r="A329" s="6">
        <v>326</v>
      </c>
      <c r="B329" s="31">
        <v>126243</v>
      </c>
      <c r="C329" s="11">
        <v>549</v>
      </c>
      <c r="D329" s="9" t="s">
        <v>1639</v>
      </c>
      <c r="E329" s="11" t="s">
        <v>899</v>
      </c>
      <c r="F329" s="27" t="s">
        <v>1033</v>
      </c>
      <c r="G329" s="27" t="s">
        <v>891</v>
      </c>
      <c r="H329" s="8" t="s">
        <v>151</v>
      </c>
      <c r="I329" s="24" t="s">
        <v>2799</v>
      </c>
      <c r="J329" s="25">
        <v>43556</v>
      </c>
      <c r="K329" s="25">
        <v>44409</v>
      </c>
      <c r="L329" s="26">
        <f t="shared" si="159"/>
        <v>84.9999995883324</v>
      </c>
      <c r="M329" s="39">
        <v>6</v>
      </c>
      <c r="N329" s="11" t="s">
        <v>298</v>
      </c>
      <c r="O329" s="11" t="s">
        <v>298</v>
      </c>
      <c r="P329" s="11" t="s">
        <v>174</v>
      </c>
      <c r="Q329" s="11" t="s">
        <v>34</v>
      </c>
      <c r="R329" s="1">
        <f t="shared" si="160"/>
        <v>2477727.14</v>
      </c>
      <c r="S329" s="2">
        <v>2477727.14</v>
      </c>
      <c r="T329" s="2">
        <v>0</v>
      </c>
      <c r="U329" s="1">
        <f t="shared" si="161"/>
        <v>378946.5</v>
      </c>
      <c r="V329" s="28">
        <v>378946.5</v>
      </c>
      <c r="W329" s="28">
        <v>0</v>
      </c>
      <c r="X329" s="1">
        <f t="shared" si="162"/>
        <v>58299.48</v>
      </c>
      <c r="Y329" s="2">
        <v>58299.48</v>
      </c>
      <c r="Z329" s="2">
        <v>0</v>
      </c>
      <c r="AA329" s="2">
        <f t="shared" si="163"/>
        <v>0</v>
      </c>
      <c r="AB329" s="2">
        <v>0</v>
      </c>
      <c r="AC329" s="2">
        <v>0</v>
      </c>
      <c r="AD329" s="16">
        <f t="shared" si="158"/>
        <v>2914973.12</v>
      </c>
      <c r="AE329" s="2">
        <v>16660</v>
      </c>
      <c r="AF329" s="2">
        <f t="shared" si="164"/>
        <v>2931633.12</v>
      </c>
      <c r="AG329" s="38" t="s">
        <v>857</v>
      </c>
      <c r="AH329" s="38" t="s">
        <v>1760</v>
      </c>
      <c r="AI329" s="30">
        <f>138790.64+56881.15+18677.05+445571.52+116963.42+876227.92+172996.19+277947.65+139032.08</f>
        <v>2243087.62</v>
      </c>
      <c r="AJ329" s="30">
        <f>21226.8+8699.47+2856.49+68146.24+17888.52+134011.33+26458.23+42509.65+21263.73</f>
        <v>343060.45999999996</v>
      </c>
    </row>
    <row r="330" spans="1:36" s="179" customFormat="1" ht="236.25" x14ac:dyDescent="0.25">
      <c r="A330" s="6">
        <v>327</v>
      </c>
      <c r="B330" s="31">
        <v>119429</v>
      </c>
      <c r="C330" s="31">
        <v>472</v>
      </c>
      <c r="D330" s="9" t="s">
        <v>1639</v>
      </c>
      <c r="E330" s="24" t="s">
        <v>457</v>
      </c>
      <c r="F330" s="11" t="s">
        <v>671</v>
      </c>
      <c r="G330" s="27" t="s">
        <v>891</v>
      </c>
      <c r="H330" s="8" t="s">
        <v>151</v>
      </c>
      <c r="I330" s="120" t="s">
        <v>2800</v>
      </c>
      <c r="J330" s="25">
        <v>43304</v>
      </c>
      <c r="K330" s="25">
        <v>43669</v>
      </c>
      <c r="L330" s="26">
        <f t="shared" si="159"/>
        <v>85.000001381242228</v>
      </c>
      <c r="M330" s="11">
        <v>6</v>
      </c>
      <c r="N330" s="11" t="s">
        <v>298</v>
      </c>
      <c r="O330" s="11" t="s">
        <v>295</v>
      </c>
      <c r="P330" s="27" t="s">
        <v>174</v>
      </c>
      <c r="Q330" s="11" t="s">
        <v>460</v>
      </c>
      <c r="R330" s="2">
        <f t="shared" si="160"/>
        <v>215385.83</v>
      </c>
      <c r="S330" s="2">
        <v>215385.83</v>
      </c>
      <c r="T330" s="2">
        <v>0</v>
      </c>
      <c r="U330" s="2">
        <f t="shared" si="161"/>
        <v>32941.35</v>
      </c>
      <c r="V330" s="28">
        <v>32941.35</v>
      </c>
      <c r="W330" s="28">
        <v>0</v>
      </c>
      <c r="X330" s="2">
        <f t="shared" si="162"/>
        <v>5067.91</v>
      </c>
      <c r="Y330" s="2">
        <v>5067.91</v>
      </c>
      <c r="Z330" s="2">
        <v>0</v>
      </c>
      <c r="AA330" s="2">
        <f t="shared" si="163"/>
        <v>0</v>
      </c>
      <c r="AB330" s="2">
        <v>0</v>
      </c>
      <c r="AC330" s="2">
        <v>0</v>
      </c>
      <c r="AD330" s="16">
        <f t="shared" si="158"/>
        <v>253395.09</v>
      </c>
      <c r="AE330" s="2"/>
      <c r="AF330" s="2">
        <f t="shared" si="164"/>
        <v>253395.09</v>
      </c>
      <c r="AG330" s="21" t="s">
        <v>857</v>
      </c>
      <c r="AH330" s="29"/>
      <c r="AI330" s="30">
        <v>158423.03</v>
      </c>
      <c r="AJ330" s="30">
        <v>24229.39</v>
      </c>
    </row>
    <row r="331" spans="1:36" s="179" customFormat="1" ht="173.25" x14ac:dyDescent="0.25">
      <c r="A331" s="6">
        <v>328</v>
      </c>
      <c r="B331" s="31">
        <v>121622</v>
      </c>
      <c r="C331" s="11">
        <v>99</v>
      </c>
      <c r="D331" s="9" t="s">
        <v>1639</v>
      </c>
      <c r="E331" s="24" t="s">
        <v>277</v>
      </c>
      <c r="F331" s="11" t="s">
        <v>292</v>
      </c>
      <c r="G331" s="11" t="s">
        <v>296</v>
      </c>
      <c r="H331" s="8" t="s">
        <v>151</v>
      </c>
      <c r="I331" s="45" t="s">
        <v>291</v>
      </c>
      <c r="J331" s="25">
        <v>43188</v>
      </c>
      <c r="K331" s="25">
        <v>43737</v>
      </c>
      <c r="L331" s="26">
        <f t="shared" si="159"/>
        <v>84.999999426373932</v>
      </c>
      <c r="M331" s="11" t="s">
        <v>136</v>
      </c>
      <c r="N331" s="11" t="s">
        <v>298</v>
      </c>
      <c r="O331" s="11" t="s">
        <v>298</v>
      </c>
      <c r="P331" s="27" t="s">
        <v>174</v>
      </c>
      <c r="Q331" s="11" t="s">
        <v>34</v>
      </c>
      <c r="R331" s="2">
        <f t="shared" si="160"/>
        <v>444540.46</v>
      </c>
      <c r="S331" s="2">
        <v>444540.46</v>
      </c>
      <c r="T331" s="2">
        <v>0</v>
      </c>
      <c r="U331" s="2">
        <f t="shared" si="161"/>
        <v>67988.539999999994</v>
      </c>
      <c r="V331" s="28">
        <v>67988.539999999994</v>
      </c>
      <c r="W331" s="28">
        <v>0</v>
      </c>
      <c r="X331" s="2">
        <f t="shared" si="162"/>
        <v>10459.780000000001</v>
      </c>
      <c r="Y331" s="1">
        <v>10459.780000000001</v>
      </c>
      <c r="Z331" s="2">
        <v>0</v>
      </c>
      <c r="AA331" s="2">
        <f t="shared" si="163"/>
        <v>0</v>
      </c>
      <c r="AB331" s="2">
        <v>0</v>
      </c>
      <c r="AC331" s="2">
        <v>0</v>
      </c>
      <c r="AD331" s="16">
        <f t="shared" si="158"/>
        <v>522988.78</v>
      </c>
      <c r="AE331" s="2">
        <v>0</v>
      </c>
      <c r="AF331" s="2">
        <f t="shared" si="164"/>
        <v>522988.78</v>
      </c>
      <c r="AG331" s="21" t="s">
        <v>857</v>
      </c>
      <c r="AH331" s="29" t="s">
        <v>972</v>
      </c>
      <c r="AI331" s="30">
        <v>306121.42</v>
      </c>
      <c r="AJ331" s="30">
        <v>46818.559999999998</v>
      </c>
    </row>
    <row r="332" spans="1:36" s="179" customFormat="1" ht="189" x14ac:dyDescent="0.25">
      <c r="A332" s="6">
        <v>329</v>
      </c>
      <c r="B332" s="31">
        <v>121536</v>
      </c>
      <c r="C332" s="11">
        <v>102</v>
      </c>
      <c r="D332" s="9" t="s">
        <v>1639</v>
      </c>
      <c r="E332" s="24" t="s">
        <v>277</v>
      </c>
      <c r="F332" s="11" t="s">
        <v>1360</v>
      </c>
      <c r="G332" s="11" t="s">
        <v>293</v>
      </c>
      <c r="H332" s="8" t="s">
        <v>151</v>
      </c>
      <c r="I332" s="45" t="s">
        <v>299</v>
      </c>
      <c r="J332" s="25">
        <v>43186</v>
      </c>
      <c r="K332" s="25">
        <v>43643</v>
      </c>
      <c r="L332" s="26">
        <f t="shared" si="159"/>
        <v>85.000000246407055</v>
      </c>
      <c r="M332" s="11" t="s">
        <v>136</v>
      </c>
      <c r="N332" s="11" t="s">
        <v>298</v>
      </c>
      <c r="O332" s="11" t="s">
        <v>295</v>
      </c>
      <c r="P332" s="27" t="s">
        <v>174</v>
      </c>
      <c r="Q332" s="11" t="s">
        <v>34</v>
      </c>
      <c r="R332" s="2">
        <f t="shared" si="160"/>
        <v>344957.66</v>
      </c>
      <c r="S332" s="2">
        <v>344957.66</v>
      </c>
      <c r="T332" s="2">
        <v>0</v>
      </c>
      <c r="U332" s="2">
        <f t="shared" si="161"/>
        <v>52758.23</v>
      </c>
      <c r="V332" s="28">
        <v>52758.23</v>
      </c>
      <c r="W332" s="28">
        <v>0</v>
      </c>
      <c r="X332" s="2">
        <f t="shared" si="162"/>
        <v>8116.65</v>
      </c>
      <c r="Y332" s="2">
        <v>8116.65</v>
      </c>
      <c r="Z332" s="2">
        <v>0</v>
      </c>
      <c r="AA332" s="2">
        <f t="shared" si="163"/>
        <v>0</v>
      </c>
      <c r="AB332" s="2">
        <v>0</v>
      </c>
      <c r="AC332" s="2">
        <v>0</v>
      </c>
      <c r="AD332" s="16">
        <f t="shared" si="158"/>
        <v>405832.54</v>
      </c>
      <c r="AE332" s="2">
        <v>0</v>
      </c>
      <c r="AF332" s="2">
        <f t="shared" si="164"/>
        <v>405832.54</v>
      </c>
      <c r="AG332" s="21" t="s">
        <v>857</v>
      </c>
      <c r="AH332" s="29" t="s">
        <v>151</v>
      </c>
      <c r="AI332" s="30">
        <v>219496.65000000002</v>
      </c>
      <c r="AJ332" s="30">
        <v>33570.07</v>
      </c>
    </row>
    <row r="333" spans="1:36" s="179" customFormat="1" ht="267.75" x14ac:dyDescent="0.25">
      <c r="A333" s="6">
        <v>330</v>
      </c>
      <c r="B333" s="31">
        <v>135976</v>
      </c>
      <c r="C333" s="11">
        <v>806</v>
      </c>
      <c r="D333" s="9" t="s">
        <v>1639</v>
      </c>
      <c r="E333" s="24" t="s">
        <v>1441</v>
      </c>
      <c r="F333" s="11" t="s">
        <v>1465</v>
      </c>
      <c r="G333" s="11" t="s">
        <v>891</v>
      </c>
      <c r="H333" s="8" t="s">
        <v>151</v>
      </c>
      <c r="I333" s="45" t="s">
        <v>2801</v>
      </c>
      <c r="J333" s="25">
        <v>43959</v>
      </c>
      <c r="K333" s="25">
        <v>44628</v>
      </c>
      <c r="L333" s="26">
        <f t="shared" si="159"/>
        <v>85.000000866607152</v>
      </c>
      <c r="M333" s="39">
        <v>6</v>
      </c>
      <c r="N333" s="11" t="s">
        <v>298</v>
      </c>
      <c r="O333" s="11" t="s">
        <v>298</v>
      </c>
      <c r="P333" s="27" t="s">
        <v>174</v>
      </c>
      <c r="Q333" s="11" t="s">
        <v>1450</v>
      </c>
      <c r="R333" s="2">
        <f t="shared" si="160"/>
        <v>490418.3</v>
      </c>
      <c r="S333" s="2">
        <v>490418.3</v>
      </c>
      <c r="T333" s="2">
        <v>0</v>
      </c>
      <c r="U333" s="2">
        <f t="shared" si="161"/>
        <v>75005.149999999994</v>
      </c>
      <c r="V333" s="28">
        <v>75005.149999999994</v>
      </c>
      <c r="W333" s="28">
        <v>0</v>
      </c>
      <c r="X333" s="2">
        <f t="shared" si="162"/>
        <v>11539.25</v>
      </c>
      <c r="Y333" s="2">
        <v>11539.25</v>
      </c>
      <c r="Z333" s="2">
        <v>0</v>
      </c>
      <c r="AA333" s="2">
        <f t="shared" si="163"/>
        <v>0</v>
      </c>
      <c r="AB333" s="2">
        <v>0</v>
      </c>
      <c r="AC333" s="2">
        <v>0</v>
      </c>
      <c r="AD333" s="16">
        <f t="shared" si="158"/>
        <v>576962.69999999995</v>
      </c>
      <c r="AE333" s="2">
        <v>0</v>
      </c>
      <c r="AF333" s="2">
        <f t="shared" si="164"/>
        <v>576962.69999999995</v>
      </c>
      <c r="AG333" s="38" t="s">
        <v>857</v>
      </c>
      <c r="AH333" s="38" t="s">
        <v>1766</v>
      </c>
      <c r="AI333" s="30">
        <f>10931.85+12767+34626.66+4797.4+10676+102506.6+7942.4+11684.95+206923.15+60588.85</f>
        <v>463444.86</v>
      </c>
      <c r="AJ333" s="30">
        <f>1671.93+1952.6+5295.84+733.72+1632.8+15677.48+1214.72+1787.11+31647.07+9266.53</f>
        <v>70879.8</v>
      </c>
    </row>
    <row r="334" spans="1:36" s="179" customFormat="1" ht="267.75" x14ac:dyDescent="0.25">
      <c r="A334" s="6">
        <v>331</v>
      </c>
      <c r="B334" s="31">
        <v>136251</v>
      </c>
      <c r="C334" s="11">
        <v>822</v>
      </c>
      <c r="D334" s="9" t="s">
        <v>1639</v>
      </c>
      <c r="E334" s="24" t="s">
        <v>1441</v>
      </c>
      <c r="F334" s="11" t="s">
        <v>1578</v>
      </c>
      <c r="G334" s="11" t="s">
        <v>293</v>
      </c>
      <c r="H334" s="8" t="s">
        <v>151</v>
      </c>
      <c r="I334" s="45" t="s">
        <v>1579</v>
      </c>
      <c r="J334" s="25">
        <v>44020</v>
      </c>
      <c r="K334" s="25">
        <v>44689</v>
      </c>
      <c r="L334" s="26">
        <f t="shared" si="159"/>
        <v>85.000000000000014</v>
      </c>
      <c r="M334" s="39">
        <v>6</v>
      </c>
      <c r="N334" s="11" t="s">
        <v>298</v>
      </c>
      <c r="O334" s="11" t="s">
        <v>295</v>
      </c>
      <c r="P334" s="27" t="s">
        <v>174</v>
      </c>
      <c r="Q334" s="11" t="s">
        <v>1450</v>
      </c>
      <c r="R334" s="2">
        <f t="shared" si="160"/>
        <v>759150.98</v>
      </c>
      <c r="S334" s="2">
        <v>759150.98</v>
      </c>
      <c r="T334" s="2">
        <v>0</v>
      </c>
      <c r="U334" s="2">
        <f t="shared" si="161"/>
        <v>116105.44</v>
      </c>
      <c r="V334" s="28">
        <v>116105.44</v>
      </c>
      <c r="W334" s="28">
        <v>0</v>
      </c>
      <c r="X334" s="2">
        <f t="shared" si="162"/>
        <v>17862.38</v>
      </c>
      <c r="Y334" s="2">
        <v>17862.38</v>
      </c>
      <c r="Z334" s="2">
        <v>0</v>
      </c>
      <c r="AA334" s="2">
        <f t="shared" si="163"/>
        <v>0</v>
      </c>
      <c r="AB334" s="2">
        <v>0</v>
      </c>
      <c r="AC334" s="2">
        <v>0</v>
      </c>
      <c r="AD334" s="16">
        <f t="shared" si="158"/>
        <v>893118.79999999993</v>
      </c>
      <c r="AE334" s="2">
        <v>0</v>
      </c>
      <c r="AF334" s="2">
        <f t="shared" si="164"/>
        <v>893118.79999999993</v>
      </c>
      <c r="AG334" s="38" t="s">
        <v>857</v>
      </c>
      <c r="AH334" s="38" t="s">
        <v>1987</v>
      </c>
      <c r="AI334" s="30">
        <f>89311.88-3326.82-4204.74+56776.44+122243.22+121632.88+80974.15+89311.88+48653.15-31456.7-7674.66</f>
        <v>562240.68000000005</v>
      </c>
      <c r="AJ334" s="30">
        <f>3326.82+4204.74+18696.02+18602.67+26043.74+7441.07+7674.66</f>
        <v>85989.72</v>
      </c>
    </row>
    <row r="335" spans="1:36" s="179" customFormat="1" ht="141.75" x14ac:dyDescent="0.25">
      <c r="A335" s="6">
        <v>332</v>
      </c>
      <c r="B335" s="31">
        <v>119377</v>
      </c>
      <c r="C335" s="11">
        <v>463</v>
      </c>
      <c r="D335" s="9" t="s">
        <v>1639</v>
      </c>
      <c r="E335" s="11" t="s">
        <v>457</v>
      </c>
      <c r="F335" s="27" t="s">
        <v>764</v>
      </c>
      <c r="G335" s="11" t="s">
        <v>762</v>
      </c>
      <c r="H335" s="8" t="s">
        <v>151</v>
      </c>
      <c r="I335" s="32" t="s">
        <v>2802</v>
      </c>
      <c r="J335" s="25">
        <v>43332</v>
      </c>
      <c r="K335" s="25">
        <v>43819</v>
      </c>
      <c r="L335" s="26">
        <f t="shared" ref="L335:L343" si="165">R335/AD335*100</f>
        <v>85.000001900439869</v>
      </c>
      <c r="M335" s="11">
        <v>6</v>
      </c>
      <c r="N335" s="11" t="s">
        <v>763</v>
      </c>
      <c r="O335" s="11" t="s">
        <v>763</v>
      </c>
      <c r="P335" s="11" t="s">
        <v>174</v>
      </c>
      <c r="Q335" s="27" t="s">
        <v>34</v>
      </c>
      <c r="R335" s="1">
        <f t="shared" ref="R335:R343" si="166">S335+T335</f>
        <v>313085.42</v>
      </c>
      <c r="S335" s="2">
        <v>313085.42</v>
      </c>
      <c r="T335" s="2">
        <v>0</v>
      </c>
      <c r="U335" s="1">
        <f t="shared" ref="U335:U343" si="167">V335+W335</f>
        <v>47883.64</v>
      </c>
      <c r="V335" s="28">
        <v>47883.64</v>
      </c>
      <c r="W335" s="28">
        <v>0</v>
      </c>
      <c r="X335" s="30">
        <f t="shared" ref="X335:X343" si="168">Y335+Z335</f>
        <v>7366.72</v>
      </c>
      <c r="Y335" s="30">
        <v>7366.72</v>
      </c>
      <c r="Z335" s="30">
        <v>0</v>
      </c>
      <c r="AA335" s="2">
        <f t="shared" ref="AA335:AA343" si="169">AB335+AC335</f>
        <v>0</v>
      </c>
      <c r="AB335" s="37">
        <v>0</v>
      </c>
      <c r="AC335" s="37">
        <v>0</v>
      </c>
      <c r="AD335" s="16">
        <f t="shared" si="158"/>
        <v>368335.77999999997</v>
      </c>
      <c r="AE335" s="51">
        <v>4938.5</v>
      </c>
      <c r="AF335" s="2">
        <f t="shared" ref="AF335:AF339" si="170">AD335+AE335</f>
        <v>373274.27999999997</v>
      </c>
      <c r="AG335" s="38" t="s">
        <v>857</v>
      </c>
      <c r="AH335" s="35" t="s">
        <v>151</v>
      </c>
      <c r="AI335" s="30">
        <v>133874.00999999998</v>
      </c>
      <c r="AJ335" s="30">
        <v>20474.830000000002</v>
      </c>
    </row>
    <row r="336" spans="1:36" s="179" customFormat="1" ht="157.5" x14ac:dyDescent="0.25">
      <c r="A336" s="6">
        <v>333</v>
      </c>
      <c r="B336" s="31">
        <v>126124</v>
      </c>
      <c r="C336" s="11">
        <v>532</v>
      </c>
      <c r="D336" s="9" t="s">
        <v>1639</v>
      </c>
      <c r="E336" s="11" t="s">
        <v>899</v>
      </c>
      <c r="F336" s="27" t="s">
        <v>948</v>
      </c>
      <c r="G336" s="11" t="s">
        <v>762</v>
      </c>
      <c r="H336" s="8" t="s">
        <v>151</v>
      </c>
      <c r="I336" s="32" t="s">
        <v>949</v>
      </c>
      <c r="J336" s="25">
        <v>43462</v>
      </c>
      <c r="K336" s="25">
        <v>44528</v>
      </c>
      <c r="L336" s="26">
        <f t="shared" si="165"/>
        <v>84.999999694403598</v>
      </c>
      <c r="M336" s="11">
        <v>6</v>
      </c>
      <c r="N336" s="11" t="s">
        <v>763</v>
      </c>
      <c r="O336" s="11" t="s">
        <v>763</v>
      </c>
      <c r="P336" s="11" t="s">
        <v>174</v>
      </c>
      <c r="Q336" s="27" t="s">
        <v>34</v>
      </c>
      <c r="R336" s="1">
        <f t="shared" si="166"/>
        <v>2086084.74</v>
      </c>
      <c r="S336" s="2">
        <v>2086084.74</v>
      </c>
      <c r="T336" s="2">
        <v>0</v>
      </c>
      <c r="U336" s="1">
        <f t="shared" si="167"/>
        <v>319048.28000000003</v>
      </c>
      <c r="V336" s="28">
        <v>319048.28000000003</v>
      </c>
      <c r="W336" s="28">
        <v>0</v>
      </c>
      <c r="X336" s="30">
        <f t="shared" si="168"/>
        <v>49084.33</v>
      </c>
      <c r="Y336" s="30">
        <v>49084.33</v>
      </c>
      <c r="Z336" s="30">
        <v>0</v>
      </c>
      <c r="AA336" s="2">
        <f t="shared" si="169"/>
        <v>0</v>
      </c>
      <c r="AB336" s="37">
        <v>0</v>
      </c>
      <c r="AC336" s="37">
        <v>0</v>
      </c>
      <c r="AD336" s="16">
        <f t="shared" si="158"/>
        <v>2454217.35</v>
      </c>
      <c r="AE336" s="51">
        <v>0</v>
      </c>
      <c r="AF336" s="2">
        <f t="shared" si="170"/>
        <v>2454217.35</v>
      </c>
      <c r="AG336" s="38" t="s">
        <v>857</v>
      </c>
      <c r="AH336" s="38" t="s">
        <v>1745</v>
      </c>
      <c r="AI336" s="30">
        <f>108981.2+420032.45+152281.32+363688.87+137544.14+237753.81+391498.77+425</f>
        <v>1812205.56</v>
      </c>
      <c r="AJ336" s="30">
        <f>16667.72+64240.27+23290.09+55623.01+21036.17+36362.34+59876.29+65</f>
        <v>277160.89</v>
      </c>
    </row>
    <row r="337" spans="1:36" s="179" customFormat="1" ht="171.75" customHeight="1" x14ac:dyDescent="0.25">
      <c r="A337" s="6">
        <v>334</v>
      </c>
      <c r="B337" s="11">
        <v>129237</v>
      </c>
      <c r="C337" s="11">
        <v>670</v>
      </c>
      <c r="D337" s="9" t="s">
        <v>1639</v>
      </c>
      <c r="E337" s="24" t="s">
        <v>1071</v>
      </c>
      <c r="F337" s="11" t="s">
        <v>1237</v>
      </c>
      <c r="G337" s="11" t="s">
        <v>1238</v>
      </c>
      <c r="H337" s="8" t="s">
        <v>151</v>
      </c>
      <c r="I337" s="12" t="s">
        <v>1239</v>
      </c>
      <c r="J337" s="25">
        <v>43697</v>
      </c>
      <c r="K337" s="25">
        <v>44946</v>
      </c>
      <c r="L337" s="26">
        <f t="shared" si="165"/>
        <v>85</v>
      </c>
      <c r="M337" s="11">
        <v>6</v>
      </c>
      <c r="N337" s="11" t="s">
        <v>763</v>
      </c>
      <c r="O337" s="11" t="s">
        <v>1240</v>
      </c>
      <c r="P337" s="27" t="s">
        <v>174</v>
      </c>
      <c r="Q337" s="11" t="s">
        <v>34</v>
      </c>
      <c r="R337" s="1">
        <f t="shared" si="166"/>
        <v>2465000</v>
      </c>
      <c r="S337" s="2">
        <v>2465000</v>
      </c>
      <c r="T337" s="2">
        <v>0</v>
      </c>
      <c r="U337" s="1">
        <f t="shared" si="167"/>
        <v>377000</v>
      </c>
      <c r="V337" s="28">
        <v>377000</v>
      </c>
      <c r="W337" s="28">
        <v>0</v>
      </c>
      <c r="X337" s="1">
        <f t="shared" si="168"/>
        <v>58000</v>
      </c>
      <c r="Y337" s="2">
        <v>58000</v>
      </c>
      <c r="Z337" s="2">
        <v>0</v>
      </c>
      <c r="AA337" s="2">
        <f t="shared" si="169"/>
        <v>0</v>
      </c>
      <c r="AB337" s="2">
        <v>0</v>
      </c>
      <c r="AC337" s="2">
        <v>0</v>
      </c>
      <c r="AD337" s="16">
        <f t="shared" si="158"/>
        <v>2900000</v>
      </c>
      <c r="AE337" s="2">
        <v>0</v>
      </c>
      <c r="AF337" s="2">
        <f t="shared" si="170"/>
        <v>2900000</v>
      </c>
      <c r="AG337" s="38" t="s">
        <v>486</v>
      </c>
      <c r="AH337" s="29" t="s">
        <v>3188</v>
      </c>
      <c r="AI337" s="30">
        <f>378814.52-15254.59+264996.14+310640.81+340167.45+253198.17+463751.93-14909.5+161579.54-13153.66+32190.99+245620.17</f>
        <v>2407641.9699999997</v>
      </c>
      <c r="AJ337" s="30">
        <f>36524.57+15254.59+81552.25+52025.61+4681.95+70926.76+14909.5+24712.16+13153.66+4923.33+5210.27</f>
        <v>323874.65000000002</v>
      </c>
    </row>
    <row r="338" spans="1:36" s="179" customFormat="1" ht="171.75" customHeight="1" x14ac:dyDescent="0.25">
      <c r="A338" s="6">
        <v>335</v>
      </c>
      <c r="B338" s="11">
        <v>135083</v>
      </c>
      <c r="C338" s="11">
        <v>787</v>
      </c>
      <c r="D338" s="9" t="s">
        <v>1639</v>
      </c>
      <c r="E338" s="24" t="s">
        <v>1441</v>
      </c>
      <c r="F338" s="11" t="s">
        <v>1502</v>
      </c>
      <c r="G338" s="11" t="s">
        <v>762</v>
      </c>
      <c r="H338" s="8" t="s">
        <v>151</v>
      </c>
      <c r="I338" s="12" t="s">
        <v>2803</v>
      </c>
      <c r="J338" s="25">
        <v>43973</v>
      </c>
      <c r="K338" s="25">
        <v>44917</v>
      </c>
      <c r="L338" s="26">
        <f t="shared" si="165"/>
        <v>85.000000133164178</v>
      </c>
      <c r="M338" s="11">
        <v>6</v>
      </c>
      <c r="N338" s="11" t="s">
        <v>763</v>
      </c>
      <c r="O338" s="11" t="s">
        <v>763</v>
      </c>
      <c r="P338" s="11" t="s">
        <v>174</v>
      </c>
      <c r="Q338" s="11" t="s">
        <v>34</v>
      </c>
      <c r="R338" s="1">
        <f t="shared" si="166"/>
        <v>2234084.3199999998</v>
      </c>
      <c r="S338" s="2">
        <v>2234084.3199999998</v>
      </c>
      <c r="T338" s="2">
        <v>0</v>
      </c>
      <c r="U338" s="1">
        <f t="shared" si="167"/>
        <v>341683.48</v>
      </c>
      <c r="V338" s="28">
        <v>341683.48</v>
      </c>
      <c r="W338" s="28">
        <v>0</v>
      </c>
      <c r="X338" s="1">
        <f t="shared" si="168"/>
        <v>52566.69</v>
      </c>
      <c r="Y338" s="2">
        <v>52566.69</v>
      </c>
      <c r="Z338" s="2">
        <v>0</v>
      </c>
      <c r="AA338" s="2">
        <f t="shared" si="169"/>
        <v>0</v>
      </c>
      <c r="AB338" s="2">
        <v>0</v>
      </c>
      <c r="AC338" s="2">
        <v>0</v>
      </c>
      <c r="AD338" s="16">
        <f t="shared" si="158"/>
        <v>2628334.4899999998</v>
      </c>
      <c r="AE338" s="2">
        <v>0</v>
      </c>
      <c r="AF338" s="2">
        <f t="shared" si="170"/>
        <v>2628334.4899999998</v>
      </c>
      <c r="AG338" s="38" t="s">
        <v>486</v>
      </c>
      <c r="AH338" s="29" t="s">
        <v>2055</v>
      </c>
      <c r="AI338" s="30">
        <f>425+46534.06+55068.9+44200+269994.64+323680+334806.5+530506.46</f>
        <v>1605215.56</v>
      </c>
      <c r="AJ338" s="30">
        <f>65+7116.97+8422.3+6760+41293.3+49504+51205.7+81136.28</f>
        <v>245503.55000000002</v>
      </c>
    </row>
    <row r="339" spans="1:36" s="179" customFormat="1" ht="171.75" customHeight="1" x14ac:dyDescent="0.25">
      <c r="A339" s="6">
        <v>336</v>
      </c>
      <c r="B339" s="11">
        <v>135769</v>
      </c>
      <c r="C339" s="11">
        <v>845</v>
      </c>
      <c r="D339" s="9" t="s">
        <v>1639</v>
      </c>
      <c r="E339" s="24" t="s">
        <v>1441</v>
      </c>
      <c r="F339" s="11" t="s">
        <v>1554</v>
      </c>
      <c r="G339" s="11" t="s">
        <v>1238</v>
      </c>
      <c r="H339" s="8" t="s">
        <v>151</v>
      </c>
      <c r="I339" s="12" t="s">
        <v>2804</v>
      </c>
      <c r="J339" s="25">
        <v>44011</v>
      </c>
      <c r="K339" s="25">
        <v>44924</v>
      </c>
      <c r="L339" s="26">
        <f t="shared" si="165"/>
        <v>85.000000109361991</v>
      </c>
      <c r="M339" s="11">
        <v>6</v>
      </c>
      <c r="N339" s="11" t="s">
        <v>763</v>
      </c>
      <c r="O339" s="11" t="s">
        <v>1240</v>
      </c>
      <c r="P339" s="11" t="s">
        <v>174</v>
      </c>
      <c r="Q339" s="11" t="s">
        <v>34</v>
      </c>
      <c r="R339" s="1">
        <f t="shared" si="166"/>
        <v>2331705.91</v>
      </c>
      <c r="S339" s="2">
        <v>2331705.91</v>
      </c>
      <c r="T339" s="2">
        <v>0</v>
      </c>
      <c r="U339" s="1">
        <f t="shared" si="167"/>
        <v>356613.86</v>
      </c>
      <c r="V339" s="28">
        <v>356613.86</v>
      </c>
      <c r="W339" s="28">
        <v>0</v>
      </c>
      <c r="X339" s="1">
        <f t="shared" si="168"/>
        <v>54863.65</v>
      </c>
      <c r="Y339" s="2">
        <v>54863.65</v>
      </c>
      <c r="Z339" s="2">
        <v>0</v>
      </c>
      <c r="AA339" s="2">
        <f t="shared" si="169"/>
        <v>0</v>
      </c>
      <c r="AB339" s="2">
        <v>0</v>
      </c>
      <c r="AC339" s="2">
        <v>0</v>
      </c>
      <c r="AD339" s="16">
        <f t="shared" si="158"/>
        <v>2743183.42</v>
      </c>
      <c r="AE339" s="2">
        <v>0</v>
      </c>
      <c r="AF339" s="2">
        <f t="shared" si="170"/>
        <v>2743183.42</v>
      </c>
      <c r="AG339" s="38" t="s">
        <v>486</v>
      </c>
      <c r="AH339" s="29" t="s">
        <v>2316</v>
      </c>
      <c r="AI339" s="30">
        <f>274300-21766.39-7507.24+560725.02+22064.57+416738+27406.55+107724.75+257522.09</f>
        <v>1637207.35</v>
      </c>
      <c r="AJ339" s="30">
        <f>21766.39+7507.24+85757.95+11575.58+63736.4+4191.59+16475.55+39385.73</f>
        <v>250396.43</v>
      </c>
    </row>
    <row r="340" spans="1:36" s="179" customFormat="1" ht="171.75" customHeight="1" x14ac:dyDescent="0.25">
      <c r="A340" s="6">
        <v>337</v>
      </c>
      <c r="B340" s="11">
        <v>151935</v>
      </c>
      <c r="C340" s="11">
        <v>1107</v>
      </c>
      <c r="D340" s="9" t="s">
        <v>1640</v>
      </c>
      <c r="E340" s="24" t="s">
        <v>1807</v>
      </c>
      <c r="F340" s="11" t="s">
        <v>1826</v>
      </c>
      <c r="G340" s="11" t="s">
        <v>1825</v>
      </c>
      <c r="H340" s="8" t="s">
        <v>151</v>
      </c>
      <c r="I340" s="12" t="s">
        <v>1827</v>
      </c>
      <c r="J340" s="25">
        <v>44481</v>
      </c>
      <c r="K340" s="25">
        <v>44846</v>
      </c>
      <c r="L340" s="26">
        <f t="shared" si="165"/>
        <v>85.000000143522072</v>
      </c>
      <c r="M340" s="11">
        <v>6</v>
      </c>
      <c r="N340" s="11" t="s">
        <v>763</v>
      </c>
      <c r="O340" s="11" t="s">
        <v>763</v>
      </c>
      <c r="P340" s="11" t="s">
        <v>174</v>
      </c>
      <c r="Q340" s="27" t="s">
        <v>34</v>
      </c>
      <c r="R340" s="1">
        <f t="shared" si="166"/>
        <v>296121.7</v>
      </c>
      <c r="S340" s="2">
        <v>296121.7</v>
      </c>
      <c r="T340" s="2">
        <v>0</v>
      </c>
      <c r="U340" s="1">
        <f t="shared" si="167"/>
        <v>45289.2</v>
      </c>
      <c r="V340" s="28">
        <v>45289.2</v>
      </c>
      <c r="W340" s="28">
        <v>0</v>
      </c>
      <c r="X340" s="1">
        <f t="shared" si="168"/>
        <v>6967.57</v>
      </c>
      <c r="Y340" s="2">
        <v>6967.57</v>
      </c>
      <c r="Z340" s="2">
        <v>0</v>
      </c>
      <c r="AA340" s="2">
        <f t="shared" si="169"/>
        <v>0</v>
      </c>
      <c r="AB340" s="2">
        <v>0</v>
      </c>
      <c r="AC340" s="2">
        <v>0</v>
      </c>
      <c r="AD340" s="16">
        <f t="shared" si="158"/>
        <v>348378.47000000003</v>
      </c>
      <c r="AE340" s="2">
        <v>0</v>
      </c>
      <c r="AF340" s="2">
        <f>AD340+AE340</f>
        <v>348378.47000000003</v>
      </c>
      <c r="AG340" s="38" t="s">
        <v>486</v>
      </c>
      <c r="AH340" s="29" t="s">
        <v>151</v>
      </c>
      <c r="AI340" s="30">
        <f>5209.23+116322.5</f>
        <v>121531.73</v>
      </c>
      <c r="AJ340" s="30">
        <f>796.7+17790.5</f>
        <v>18587.2</v>
      </c>
    </row>
    <row r="341" spans="1:36" s="179" customFormat="1" ht="171.75" customHeight="1" x14ac:dyDescent="0.25">
      <c r="A341" s="6">
        <v>338</v>
      </c>
      <c r="B341" s="11">
        <v>152093</v>
      </c>
      <c r="C341" s="11">
        <v>1132</v>
      </c>
      <c r="D341" s="9" t="s">
        <v>1640</v>
      </c>
      <c r="E341" s="24" t="s">
        <v>1807</v>
      </c>
      <c r="F341" s="11" t="s">
        <v>1949</v>
      </c>
      <c r="G341" s="11" t="s">
        <v>1238</v>
      </c>
      <c r="H341" s="8" t="s">
        <v>151</v>
      </c>
      <c r="I341" s="12" t="s">
        <v>2805</v>
      </c>
      <c r="J341" s="25">
        <v>44546</v>
      </c>
      <c r="K341" s="25">
        <v>44911</v>
      </c>
      <c r="L341" s="26">
        <f t="shared" si="165"/>
        <v>85.000000000000014</v>
      </c>
      <c r="M341" s="11">
        <v>6</v>
      </c>
      <c r="N341" s="11" t="s">
        <v>763</v>
      </c>
      <c r="O341" s="11" t="s">
        <v>1240</v>
      </c>
      <c r="P341" s="11" t="s">
        <v>174</v>
      </c>
      <c r="Q341" s="11" t="s">
        <v>34</v>
      </c>
      <c r="R341" s="1">
        <f t="shared" si="166"/>
        <v>352608.9</v>
      </c>
      <c r="S341" s="2">
        <v>352608.9</v>
      </c>
      <c r="T341" s="2">
        <v>0</v>
      </c>
      <c r="U341" s="1">
        <f t="shared" si="167"/>
        <v>53928.42</v>
      </c>
      <c r="V341" s="28">
        <v>53928.42</v>
      </c>
      <c r="W341" s="28">
        <v>0</v>
      </c>
      <c r="X341" s="1">
        <f t="shared" si="168"/>
        <v>8296.68</v>
      </c>
      <c r="Y341" s="2">
        <v>8296.68</v>
      </c>
      <c r="Z341" s="2">
        <v>0</v>
      </c>
      <c r="AA341" s="2">
        <f t="shared" si="169"/>
        <v>0</v>
      </c>
      <c r="AB341" s="2">
        <v>0</v>
      </c>
      <c r="AC341" s="2">
        <v>0</v>
      </c>
      <c r="AD341" s="16">
        <f t="shared" si="158"/>
        <v>414834</v>
      </c>
      <c r="AE341" s="2">
        <v>0</v>
      </c>
      <c r="AF341" s="2">
        <f>AD341+AE341</f>
        <v>414834</v>
      </c>
      <c r="AG341" s="38" t="s">
        <v>486</v>
      </c>
      <c r="AH341" s="29" t="s">
        <v>151</v>
      </c>
      <c r="AI341" s="30">
        <f>41483.4+121380+51586.5</f>
        <v>214449.9</v>
      </c>
      <c r="AJ341" s="30">
        <f>18564+7889.7</f>
        <v>26453.7</v>
      </c>
    </row>
    <row r="342" spans="1:36" s="179" customFormat="1" ht="171.75" customHeight="1" x14ac:dyDescent="0.25">
      <c r="A342" s="6">
        <v>339</v>
      </c>
      <c r="B342" s="11">
        <v>154673</v>
      </c>
      <c r="C342" s="11">
        <v>1239</v>
      </c>
      <c r="D342" s="9" t="s">
        <v>1639</v>
      </c>
      <c r="E342" s="24" t="s">
        <v>2024</v>
      </c>
      <c r="F342" s="11" t="s">
        <v>2213</v>
      </c>
      <c r="G342" s="11" t="s">
        <v>1238</v>
      </c>
      <c r="H342" s="8" t="s">
        <v>151</v>
      </c>
      <c r="I342" s="12" t="s">
        <v>2806</v>
      </c>
      <c r="J342" s="25">
        <v>44694</v>
      </c>
      <c r="K342" s="25">
        <v>45120</v>
      </c>
      <c r="L342" s="26">
        <f t="shared" si="165"/>
        <v>85</v>
      </c>
      <c r="M342" s="11">
        <v>6</v>
      </c>
      <c r="N342" s="11" t="s">
        <v>763</v>
      </c>
      <c r="O342" s="11" t="s">
        <v>1240</v>
      </c>
      <c r="P342" s="11" t="s">
        <v>174</v>
      </c>
      <c r="Q342" s="11" t="s">
        <v>34</v>
      </c>
      <c r="R342" s="1">
        <f t="shared" si="166"/>
        <v>361105.5</v>
      </c>
      <c r="S342" s="2">
        <v>361105.5</v>
      </c>
      <c r="T342" s="2">
        <v>0</v>
      </c>
      <c r="U342" s="1">
        <f t="shared" si="167"/>
        <v>55227.9</v>
      </c>
      <c r="V342" s="28">
        <v>55227.9</v>
      </c>
      <c r="W342" s="28">
        <v>0</v>
      </c>
      <c r="X342" s="1">
        <f t="shared" si="168"/>
        <v>8496.6</v>
      </c>
      <c r="Y342" s="2">
        <v>8496.6</v>
      </c>
      <c r="Z342" s="2">
        <v>0</v>
      </c>
      <c r="AA342" s="2">
        <f t="shared" si="169"/>
        <v>0</v>
      </c>
      <c r="AB342" s="2">
        <v>0</v>
      </c>
      <c r="AC342" s="2">
        <v>0</v>
      </c>
      <c r="AD342" s="16">
        <f t="shared" si="158"/>
        <v>424830</v>
      </c>
      <c r="AE342" s="2">
        <v>0</v>
      </c>
      <c r="AF342" s="2">
        <f>AD342+AE342</f>
        <v>424830</v>
      </c>
      <c r="AG342" s="38" t="s">
        <v>486</v>
      </c>
      <c r="AH342" s="29" t="s">
        <v>151</v>
      </c>
      <c r="AI342" s="30">
        <v>42483</v>
      </c>
      <c r="AJ342" s="30">
        <v>0</v>
      </c>
    </row>
    <row r="343" spans="1:36" s="179" customFormat="1" ht="171.75" customHeight="1" x14ac:dyDescent="0.25">
      <c r="A343" s="6">
        <v>340</v>
      </c>
      <c r="B343" s="11">
        <v>154682</v>
      </c>
      <c r="C343" s="11">
        <v>1251</v>
      </c>
      <c r="D343" s="9" t="s">
        <v>1639</v>
      </c>
      <c r="E343" s="24" t="s">
        <v>2024</v>
      </c>
      <c r="F343" s="11" t="s">
        <v>2234</v>
      </c>
      <c r="G343" s="11" t="s">
        <v>762</v>
      </c>
      <c r="H343" s="8" t="s">
        <v>151</v>
      </c>
      <c r="I343" s="12" t="s">
        <v>2807</v>
      </c>
      <c r="J343" s="25">
        <v>44705</v>
      </c>
      <c r="K343" s="25">
        <v>45070</v>
      </c>
      <c r="L343" s="26">
        <f t="shared" si="165"/>
        <v>85</v>
      </c>
      <c r="M343" s="11">
        <v>6</v>
      </c>
      <c r="N343" s="11" t="s">
        <v>763</v>
      </c>
      <c r="O343" s="11" t="s">
        <v>1240</v>
      </c>
      <c r="P343" s="11" t="s">
        <v>174</v>
      </c>
      <c r="Q343" s="11" t="s">
        <v>34</v>
      </c>
      <c r="R343" s="1">
        <f t="shared" si="166"/>
        <v>441544.4</v>
      </c>
      <c r="S343" s="2">
        <v>441544.4</v>
      </c>
      <c r="T343" s="2">
        <v>0</v>
      </c>
      <c r="U343" s="1">
        <f t="shared" si="167"/>
        <v>67530.320000000007</v>
      </c>
      <c r="V343" s="28">
        <v>67530.320000000007</v>
      </c>
      <c r="W343" s="28">
        <v>0</v>
      </c>
      <c r="X343" s="1">
        <f t="shared" si="168"/>
        <v>10389.280000000001</v>
      </c>
      <c r="Y343" s="2">
        <v>10389.280000000001</v>
      </c>
      <c r="Z343" s="2">
        <v>0</v>
      </c>
      <c r="AA343" s="2">
        <f t="shared" si="169"/>
        <v>0</v>
      </c>
      <c r="AB343" s="2">
        <v>0</v>
      </c>
      <c r="AC343" s="2">
        <v>0</v>
      </c>
      <c r="AD343" s="16">
        <f t="shared" si="158"/>
        <v>519464.00000000006</v>
      </c>
      <c r="AE343" s="2">
        <v>0</v>
      </c>
      <c r="AF343" s="2">
        <f>AD343+AE343</f>
        <v>519464.00000000006</v>
      </c>
      <c r="AG343" s="38" t="s">
        <v>486</v>
      </c>
      <c r="AH343" s="29" t="s">
        <v>151</v>
      </c>
      <c r="AI343" s="30">
        <v>0</v>
      </c>
      <c r="AJ343" s="30">
        <v>0</v>
      </c>
    </row>
    <row r="344" spans="1:36" s="179" customFormat="1" ht="150.75" customHeight="1" x14ac:dyDescent="0.25">
      <c r="A344" s="6">
        <v>341</v>
      </c>
      <c r="B344" s="11">
        <v>118759</v>
      </c>
      <c r="C344" s="11">
        <v>439</v>
      </c>
      <c r="D344" s="32" t="s">
        <v>1640</v>
      </c>
      <c r="E344" s="32" t="s">
        <v>507</v>
      </c>
      <c r="F344" s="27" t="s">
        <v>657</v>
      </c>
      <c r="G344" s="11" t="s">
        <v>658</v>
      </c>
      <c r="H344" s="11" t="s">
        <v>659</v>
      </c>
      <c r="I344" s="32" t="s">
        <v>2808</v>
      </c>
      <c r="J344" s="25">
        <v>43304</v>
      </c>
      <c r="K344" s="25">
        <v>44067</v>
      </c>
      <c r="L344" s="26">
        <f t="shared" ref="L344:L351" si="171">R344/AD344*100</f>
        <v>84.213980856539493</v>
      </c>
      <c r="M344" s="27">
        <v>7</v>
      </c>
      <c r="N344" s="27" t="s">
        <v>660</v>
      </c>
      <c r="O344" s="27" t="s">
        <v>660</v>
      </c>
      <c r="P344" s="27" t="s">
        <v>174</v>
      </c>
      <c r="Q344" s="27" t="s">
        <v>34</v>
      </c>
      <c r="R344" s="1">
        <f t="shared" ref="R344:R351" si="172">S344+T344</f>
        <v>288260.65000000002</v>
      </c>
      <c r="S344" s="121">
        <v>288260.65000000002</v>
      </c>
      <c r="T344" s="57">
        <v>0</v>
      </c>
      <c r="U344" s="1">
        <v>47188.93</v>
      </c>
      <c r="V344" s="89">
        <v>47188.93</v>
      </c>
      <c r="W344" s="89" t="s">
        <v>663</v>
      </c>
      <c r="X344" s="1">
        <v>6845.9</v>
      </c>
      <c r="Y344" s="57">
        <v>6845.9</v>
      </c>
      <c r="Z344" s="57" t="s">
        <v>663</v>
      </c>
      <c r="AA344" s="2">
        <f t="shared" ref="AA344:AA351" si="173">AB344+AC344</f>
        <v>0</v>
      </c>
      <c r="AB344" s="2">
        <v>0</v>
      </c>
      <c r="AC344" s="2">
        <v>0</v>
      </c>
      <c r="AD344" s="16">
        <f t="shared" si="158"/>
        <v>342295.48000000004</v>
      </c>
      <c r="AE344" s="35"/>
      <c r="AF344" s="2">
        <f t="shared" ref="AF344:AF351" si="174">AD344+AE344</f>
        <v>342295.48000000004</v>
      </c>
      <c r="AG344" s="38" t="s">
        <v>857</v>
      </c>
      <c r="AH344" s="122" t="s">
        <v>1552</v>
      </c>
      <c r="AI344" s="30">
        <f>183263.95+2590.63+1665.17+3686.23</f>
        <v>191205.98000000004</v>
      </c>
      <c r="AJ344" s="30">
        <f>26943.68+2506.84+827.67+457.17+293.85+814.14</f>
        <v>31843.349999999995</v>
      </c>
    </row>
    <row r="345" spans="1:36" s="179" customFormat="1" ht="139.5" customHeight="1" x14ac:dyDescent="0.25">
      <c r="A345" s="6">
        <v>342</v>
      </c>
      <c r="B345" s="31">
        <v>119841</v>
      </c>
      <c r="C345" s="11">
        <v>477</v>
      </c>
      <c r="D345" s="9" t="s">
        <v>1639</v>
      </c>
      <c r="E345" s="32" t="s">
        <v>457</v>
      </c>
      <c r="F345" s="11" t="s">
        <v>672</v>
      </c>
      <c r="G345" s="11" t="s">
        <v>658</v>
      </c>
      <c r="H345" s="11" t="s">
        <v>659</v>
      </c>
      <c r="I345" s="32" t="s">
        <v>2809</v>
      </c>
      <c r="J345" s="25">
        <v>43304</v>
      </c>
      <c r="K345" s="25">
        <v>44035</v>
      </c>
      <c r="L345" s="26">
        <f t="shared" si="171"/>
        <v>84.228550955221309</v>
      </c>
      <c r="M345" s="27">
        <v>7</v>
      </c>
      <c r="N345" s="27" t="s">
        <v>660</v>
      </c>
      <c r="O345" s="27" t="s">
        <v>660</v>
      </c>
      <c r="P345" s="27" t="s">
        <v>174</v>
      </c>
      <c r="Q345" s="11" t="s">
        <v>34</v>
      </c>
      <c r="R345" s="1">
        <f t="shared" si="172"/>
        <v>481603.39</v>
      </c>
      <c r="S345" s="30">
        <v>481603.39</v>
      </c>
      <c r="T345" s="57">
        <v>0</v>
      </c>
      <c r="U345" s="1">
        <f t="shared" ref="U345:U351" si="175">V345+W345</f>
        <v>78742.570000000007</v>
      </c>
      <c r="V345" s="42">
        <v>78742.570000000007</v>
      </c>
      <c r="W345" s="89">
        <v>0</v>
      </c>
      <c r="X345" s="1">
        <f t="shared" ref="X345:X351" si="176">Y345+Z345</f>
        <v>6246.23</v>
      </c>
      <c r="Y345" s="30">
        <v>6246.23</v>
      </c>
      <c r="Z345" s="57">
        <v>0</v>
      </c>
      <c r="AA345" s="2">
        <f t="shared" si="173"/>
        <v>5189.45</v>
      </c>
      <c r="AB345" s="37">
        <v>5189.45</v>
      </c>
      <c r="AC345" s="37">
        <v>0</v>
      </c>
      <c r="AD345" s="16">
        <f t="shared" si="158"/>
        <v>571781.6399999999</v>
      </c>
      <c r="AE345" s="35"/>
      <c r="AF345" s="2">
        <f t="shared" si="174"/>
        <v>571781.6399999999</v>
      </c>
      <c r="AG345" s="38" t="s">
        <v>857</v>
      </c>
      <c r="AH345" s="29" t="s">
        <v>1542</v>
      </c>
      <c r="AI345" s="30">
        <f>364128.16+44922.39+5304.55+18795.8</f>
        <v>433150.89999999997</v>
      </c>
      <c r="AJ345" s="30">
        <f>57655.87+9344.13+936.09+3322.23</f>
        <v>71258.319999999992</v>
      </c>
    </row>
    <row r="346" spans="1:36" s="179" customFormat="1" ht="288.75" customHeight="1" x14ac:dyDescent="0.25">
      <c r="A346" s="6">
        <v>343</v>
      </c>
      <c r="B346" s="31">
        <v>126267</v>
      </c>
      <c r="C346" s="11">
        <v>540</v>
      </c>
      <c r="D346" s="9" t="s">
        <v>1639</v>
      </c>
      <c r="E346" s="11" t="s">
        <v>899</v>
      </c>
      <c r="F346" s="11" t="s">
        <v>1017</v>
      </c>
      <c r="G346" s="11" t="s">
        <v>1018</v>
      </c>
      <c r="H346" s="8" t="s">
        <v>151</v>
      </c>
      <c r="I346" s="32" t="s">
        <v>2810</v>
      </c>
      <c r="J346" s="25">
        <v>43544</v>
      </c>
      <c r="K346" s="25">
        <v>44915</v>
      </c>
      <c r="L346" s="26">
        <f t="shared" si="171"/>
        <v>85.000000177713346</v>
      </c>
      <c r="M346" s="27">
        <v>7</v>
      </c>
      <c r="N346" s="27" t="s">
        <v>660</v>
      </c>
      <c r="O346" s="27" t="s">
        <v>660</v>
      </c>
      <c r="P346" s="27" t="s">
        <v>174</v>
      </c>
      <c r="Q346" s="11" t="s">
        <v>34</v>
      </c>
      <c r="R346" s="1">
        <f t="shared" si="172"/>
        <v>2630640.84</v>
      </c>
      <c r="S346" s="30">
        <v>2630640.84</v>
      </c>
      <c r="T346" s="57">
        <v>0</v>
      </c>
      <c r="U346" s="1">
        <f t="shared" si="175"/>
        <v>402333.3</v>
      </c>
      <c r="V346" s="42">
        <v>402333.3</v>
      </c>
      <c r="W346" s="89">
        <v>0</v>
      </c>
      <c r="X346" s="1">
        <f t="shared" si="176"/>
        <v>61897.43</v>
      </c>
      <c r="Y346" s="30">
        <v>61897.43</v>
      </c>
      <c r="Z346" s="57">
        <v>0</v>
      </c>
      <c r="AA346" s="2">
        <f t="shared" si="173"/>
        <v>0</v>
      </c>
      <c r="AB346" s="37">
        <v>0</v>
      </c>
      <c r="AC346" s="37">
        <v>0</v>
      </c>
      <c r="AD346" s="16">
        <f t="shared" si="158"/>
        <v>3094871.57</v>
      </c>
      <c r="AE346" s="2">
        <v>7140</v>
      </c>
      <c r="AF346" s="2">
        <f t="shared" si="174"/>
        <v>3102011.57</v>
      </c>
      <c r="AG346" s="38" t="s">
        <v>486</v>
      </c>
      <c r="AH346" s="29" t="s">
        <v>2156</v>
      </c>
      <c r="AI346" s="118">
        <f>370146.45+51053.55+52313.69+29908.99+27857.94+32148.74+708393.34+31940.49+36538.99+141457.33</f>
        <v>1481759.51</v>
      </c>
      <c r="AJ346" s="30">
        <f>56610.59+7808.19+8000.91+4574.32+4260.63+4916.87+108342.52+4885.02+5588.32+21634.65</f>
        <v>226622.02000000002</v>
      </c>
    </row>
    <row r="347" spans="1:36" s="179" customFormat="1" ht="262.5" customHeight="1" x14ac:dyDescent="0.25">
      <c r="A347" s="6">
        <v>344</v>
      </c>
      <c r="B347" s="31">
        <v>126475</v>
      </c>
      <c r="C347" s="11">
        <v>563</v>
      </c>
      <c r="D347" s="9" t="s">
        <v>1639</v>
      </c>
      <c r="E347" s="11" t="s">
        <v>899</v>
      </c>
      <c r="F347" s="11" t="s">
        <v>1019</v>
      </c>
      <c r="G347" s="11" t="s">
        <v>658</v>
      </c>
      <c r="H347" s="11" t="s">
        <v>659</v>
      </c>
      <c r="I347" s="32" t="s">
        <v>2811</v>
      </c>
      <c r="J347" s="25">
        <v>43546</v>
      </c>
      <c r="K347" s="25">
        <v>44917</v>
      </c>
      <c r="L347" s="26">
        <f t="shared" si="171"/>
        <v>84.852695228027258</v>
      </c>
      <c r="M347" s="27">
        <v>7</v>
      </c>
      <c r="N347" s="27" t="s">
        <v>660</v>
      </c>
      <c r="O347" s="27" t="s">
        <v>660</v>
      </c>
      <c r="P347" s="27" t="s">
        <v>174</v>
      </c>
      <c r="Q347" s="11" t="s">
        <v>34</v>
      </c>
      <c r="R347" s="1">
        <f t="shared" si="172"/>
        <v>3141080.5</v>
      </c>
      <c r="S347" s="30">
        <v>3141080.5</v>
      </c>
      <c r="T347" s="57">
        <v>0</v>
      </c>
      <c r="U347" s="1">
        <f t="shared" si="175"/>
        <v>486687.43</v>
      </c>
      <c r="V347" s="42">
        <v>486687.43</v>
      </c>
      <c r="W347" s="89">
        <v>0</v>
      </c>
      <c r="X347" s="1">
        <f t="shared" si="176"/>
        <v>67620.820000000007</v>
      </c>
      <c r="Y347" s="30">
        <v>67620.820000000007</v>
      </c>
      <c r="Z347" s="57">
        <v>0</v>
      </c>
      <c r="AA347" s="2">
        <f t="shared" si="173"/>
        <v>6415.29</v>
      </c>
      <c r="AB347" s="37">
        <v>6415.29</v>
      </c>
      <c r="AC347" s="37">
        <v>0</v>
      </c>
      <c r="AD347" s="16">
        <f t="shared" si="158"/>
        <v>3701804.04</v>
      </c>
      <c r="AE347" s="35">
        <v>0</v>
      </c>
      <c r="AF347" s="2">
        <f t="shared" si="174"/>
        <v>3701804.04</v>
      </c>
      <c r="AG347" s="38" t="s">
        <v>486</v>
      </c>
      <c r="AH347" s="29" t="s">
        <v>3111</v>
      </c>
      <c r="AI347" s="118">
        <f>237041.31+26332.56+366510.56+21875.84+506442.81-2889.74+19264.93+477683.17+18319.98-66.42+467774.13+453723.86+21838.26+19017.05+22582.61+20515.04+22702.65</f>
        <v>2698668.5999999992</v>
      </c>
      <c r="AJ347" s="30">
        <f>37803.32+56054.55+3860.43+77455.96+2889.74+73057.43+3232.92+66.42+71541.91+73093.23+2908.49+3985.15+3620.29+3472.17</f>
        <v>413042.01</v>
      </c>
    </row>
    <row r="348" spans="1:36" s="179" customFormat="1" ht="262.5" customHeight="1" x14ac:dyDescent="0.25">
      <c r="A348" s="6">
        <v>345</v>
      </c>
      <c r="B348" s="31">
        <v>129622</v>
      </c>
      <c r="C348" s="11">
        <v>660</v>
      </c>
      <c r="D348" s="9" t="s">
        <v>1639</v>
      </c>
      <c r="E348" s="11" t="s">
        <v>1071</v>
      </c>
      <c r="F348" s="11" t="s">
        <v>1158</v>
      </c>
      <c r="G348" s="11" t="s">
        <v>1159</v>
      </c>
      <c r="H348" s="8" t="s">
        <v>151</v>
      </c>
      <c r="I348" s="32" t="s">
        <v>1258</v>
      </c>
      <c r="J348" s="25">
        <v>43658</v>
      </c>
      <c r="K348" s="25">
        <v>44542</v>
      </c>
      <c r="L348" s="26">
        <f t="shared" si="171"/>
        <v>85.000000125030468</v>
      </c>
      <c r="M348" s="27">
        <v>7</v>
      </c>
      <c r="N348" s="27" t="s">
        <v>660</v>
      </c>
      <c r="O348" s="27" t="s">
        <v>1159</v>
      </c>
      <c r="P348" s="27" t="s">
        <v>174</v>
      </c>
      <c r="Q348" s="11" t="s">
        <v>34</v>
      </c>
      <c r="R348" s="1">
        <f t="shared" si="172"/>
        <v>3399171.34</v>
      </c>
      <c r="S348" s="30">
        <v>3399171.34</v>
      </c>
      <c r="T348" s="57">
        <v>0</v>
      </c>
      <c r="U348" s="1">
        <f t="shared" si="175"/>
        <v>519873.26</v>
      </c>
      <c r="V348" s="42">
        <v>519873.26</v>
      </c>
      <c r="W348" s="89">
        <v>0</v>
      </c>
      <c r="X348" s="1">
        <f t="shared" si="176"/>
        <v>79980.5</v>
      </c>
      <c r="Y348" s="30">
        <v>79980.5</v>
      </c>
      <c r="Z348" s="57">
        <v>0</v>
      </c>
      <c r="AA348" s="2">
        <f t="shared" si="173"/>
        <v>0</v>
      </c>
      <c r="AB348" s="37">
        <v>0</v>
      </c>
      <c r="AC348" s="37">
        <v>0</v>
      </c>
      <c r="AD348" s="16">
        <f t="shared" si="158"/>
        <v>3999025.0999999996</v>
      </c>
      <c r="AE348" s="123">
        <v>0</v>
      </c>
      <c r="AF348" s="2">
        <f t="shared" si="174"/>
        <v>3999025.0999999996</v>
      </c>
      <c r="AG348" s="38" t="s">
        <v>857</v>
      </c>
      <c r="AH348" s="29" t="s">
        <v>151</v>
      </c>
      <c r="AI348" s="118">
        <f>343094.2-3035.63-16936.36+315374.33-32128.75+325893.07+273927.11+376480.47+329014.87-11990.79-18859.37-21651.74+387786.37+278117.08-113646.05</f>
        <v>2411438.81</v>
      </c>
      <c r="AJ348" s="30">
        <f>4707.04+14150.24+4556.89+6032.52+3035.63+16936.36+32128.75+99719.83+50066.77+11990.79+18859.37+21651.74+51882.92+33089.42</f>
        <v>368808.26999999996</v>
      </c>
    </row>
    <row r="349" spans="1:36" s="179" customFormat="1" ht="187.5" customHeight="1" x14ac:dyDescent="0.25">
      <c r="A349" s="6">
        <v>346</v>
      </c>
      <c r="B349" s="31">
        <v>135967</v>
      </c>
      <c r="C349" s="11">
        <v>770</v>
      </c>
      <c r="D349" s="9" t="s">
        <v>1639</v>
      </c>
      <c r="E349" s="24" t="s">
        <v>1441</v>
      </c>
      <c r="F349" s="11" t="s">
        <v>1446</v>
      </c>
      <c r="G349" s="11" t="s">
        <v>1018</v>
      </c>
      <c r="H349" s="8" t="s">
        <v>151</v>
      </c>
      <c r="I349" s="12" t="s">
        <v>2812</v>
      </c>
      <c r="J349" s="25">
        <v>43949</v>
      </c>
      <c r="K349" s="25">
        <v>44923</v>
      </c>
      <c r="L349" s="26">
        <f t="shared" si="171"/>
        <v>85</v>
      </c>
      <c r="M349" s="27">
        <v>7</v>
      </c>
      <c r="N349" s="27" t="s">
        <v>660</v>
      </c>
      <c r="O349" s="27" t="s">
        <v>1018</v>
      </c>
      <c r="P349" s="27" t="s">
        <v>174</v>
      </c>
      <c r="Q349" s="11" t="s">
        <v>34</v>
      </c>
      <c r="R349" s="1">
        <f t="shared" si="172"/>
        <v>848725</v>
      </c>
      <c r="S349" s="30">
        <v>848725</v>
      </c>
      <c r="T349" s="57">
        <v>0</v>
      </c>
      <c r="U349" s="1">
        <f t="shared" si="175"/>
        <v>129805</v>
      </c>
      <c r="V349" s="42">
        <v>129805</v>
      </c>
      <c r="W349" s="89">
        <v>0</v>
      </c>
      <c r="X349" s="1">
        <f t="shared" si="176"/>
        <v>19970</v>
      </c>
      <c r="Y349" s="30">
        <v>19970</v>
      </c>
      <c r="Z349" s="57">
        <v>0</v>
      </c>
      <c r="AA349" s="2">
        <f t="shared" si="173"/>
        <v>0</v>
      </c>
      <c r="AB349" s="37">
        <v>0</v>
      </c>
      <c r="AC349" s="37">
        <v>0</v>
      </c>
      <c r="AD349" s="16">
        <f t="shared" si="158"/>
        <v>998500</v>
      </c>
      <c r="AE349" s="123">
        <v>0</v>
      </c>
      <c r="AF349" s="2">
        <f t="shared" si="174"/>
        <v>998500</v>
      </c>
      <c r="AG349" s="38" t="s">
        <v>486</v>
      </c>
      <c r="AH349" s="29" t="s">
        <v>2480</v>
      </c>
      <c r="AI349" s="118">
        <f>23413.25+1502.08</f>
        <v>24915.33</v>
      </c>
      <c r="AJ349" s="30">
        <f>3580.85+229.73</f>
        <v>3810.58</v>
      </c>
    </row>
    <row r="350" spans="1:36" s="179" customFormat="1" ht="141.75" x14ac:dyDescent="0.25">
      <c r="A350" s="6">
        <v>347</v>
      </c>
      <c r="B350" s="31">
        <v>136083</v>
      </c>
      <c r="C350" s="11">
        <v>836</v>
      </c>
      <c r="D350" s="9" t="s">
        <v>1639</v>
      </c>
      <c r="E350" s="24" t="s">
        <v>1441</v>
      </c>
      <c r="F350" s="11" t="s">
        <v>1570</v>
      </c>
      <c r="G350" s="11" t="s">
        <v>658</v>
      </c>
      <c r="H350" s="8" t="s">
        <v>151</v>
      </c>
      <c r="I350" s="12" t="s">
        <v>2813</v>
      </c>
      <c r="J350" s="25">
        <v>44018</v>
      </c>
      <c r="K350" s="25">
        <v>44871</v>
      </c>
      <c r="L350" s="26">
        <f t="shared" si="171"/>
        <v>84.999999799611231</v>
      </c>
      <c r="M350" s="27">
        <v>7</v>
      </c>
      <c r="N350" s="27" t="s">
        <v>660</v>
      </c>
      <c r="O350" s="27" t="s">
        <v>1571</v>
      </c>
      <c r="P350" s="27" t="s">
        <v>174</v>
      </c>
      <c r="Q350" s="11" t="s">
        <v>34</v>
      </c>
      <c r="R350" s="1">
        <f t="shared" si="172"/>
        <v>2545052.79</v>
      </c>
      <c r="S350" s="30">
        <v>2545052.79</v>
      </c>
      <c r="T350" s="57">
        <v>0</v>
      </c>
      <c r="U350" s="1">
        <f t="shared" si="175"/>
        <v>389243.37</v>
      </c>
      <c r="V350" s="42">
        <v>389243.37</v>
      </c>
      <c r="W350" s="89">
        <v>0</v>
      </c>
      <c r="X350" s="1">
        <f t="shared" si="176"/>
        <v>59883.6</v>
      </c>
      <c r="Y350" s="30">
        <v>59883.6</v>
      </c>
      <c r="Z350" s="57">
        <v>0</v>
      </c>
      <c r="AA350" s="2">
        <f t="shared" si="173"/>
        <v>0</v>
      </c>
      <c r="AB350" s="37">
        <v>0</v>
      </c>
      <c r="AC350" s="37">
        <v>0</v>
      </c>
      <c r="AD350" s="16">
        <f t="shared" si="158"/>
        <v>2994179.7600000002</v>
      </c>
      <c r="AE350" s="123">
        <v>0</v>
      </c>
      <c r="AF350" s="2">
        <f t="shared" si="174"/>
        <v>2994179.7600000002</v>
      </c>
      <c r="AG350" s="38" t="s">
        <v>486</v>
      </c>
      <c r="AH350" s="29" t="s">
        <v>151</v>
      </c>
      <c r="AI350" s="118">
        <f>58043.12+42755.85+22887.1+299417.97+96414.24+299417.97+34444.82</f>
        <v>853381.07</v>
      </c>
      <c r="AJ350" s="118">
        <f>8877.18+6539.13+3500.38+60539.04+51061.36</f>
        <v>130517.09000000001</v>
      </c>
    </row>
    <row r="351" spans="1:36" s="179" customFormat="1" ht="267.75" x14ac:dyDescent="0.25">
      <c r="A351" s="6">
        <v>348</v>
      </c>
      <c r="B351" s="31">
        <v>136328</v>
      </c>
      <c r="C351" s="11">
        <v>844</v>
      </c>
      <c r="D351" s="9" t="s">
        <v>1639</v>
      </c>
      <c r="E351" s="24" t="s">
        <v>1441</v>
      </c>
      <c r="F351" s="11" t="s">
        <v>1580</v>
      </c>
      <c r="G351" s="11" t="s">
        <v>1159</v>
      </c>
      <c r="H351" s="8" t="s">
        <v>151</v>
      </c>
      <c r="I351" s="12" t="s">
        <v>2814</v>
      </c>
      <c r="J351" s="25">
        <v>44020</v>
      </c>
      <c r="K351" s="25">
        <v>44873</v>
      </c>
      <c r="L351" s="26">
        <f t="shared" si="171"/>
        <v>85.000000347346798</v>
      </c>
      <c r="M351" s="27">
        <v>7</v>
      </c>
      <c r="N351" s="27" t="s">
        <v>660</v>
      </c>
      <c r="O351" s="27" t="s">
        <v>1581</v>
      </c>
      <c r="P351" s="27" t="s">
        <v>174</v>
      </c>
      <c r="Q351" s="11" t="s">
        <v>34</v>
      </c>
      <c r="R351" s="1">
        <f t="shared" si="172"/>
        <v>2447121.96</v>
      </c>
      <c r="S351" s="30">
        <v>2447121.96</v>
      </c>
      <c r="T351" s="57">
        <v>0</v>
      </c>
      <c r="U351" s="1">
        <f t="shared" si="175"/>
        <v>374265.7</v>
      </c>
      <c r="V351" s="42">
        <v>374265.7</v>
      </c>
      <c r="W351" s="89">
        <v>0</v>
      </c>
      <c r="X351" s="1">
        <f t="shared" si="176"/>
        <v>57579.34</v>
      </c>
      <c r="Y351" s="30">
        <v>57579.34</v>
      </c>
      <c r="Z351" s="57">
        <v>0</v>
      </c>
      <c r="AA351" s="2">
        <f t="shared" si="173"/>
        <v>0</v>
      </c>
      <c r="AB351" s="37">
        <v>0</v>
      </c>
      <c r="AC351" s="37">
        <v>0</v>
      </c>
      <c r="AD351" s="16">
        <f t="shared" si="158"/>
        <v>2878967</v>
      </c>
      <c r="AE351" s="123">
        <v>0</v>
      </c>
      <c r="AF351" s="2">
        <f t="shared" si="174"/>
        <v>2878967</v>
      </c>
      <c r="AG351" s="38" t="s">
        <v>486</v>
      </c>
      <c r="AH351" s="29" t="s">
        <v>2125</v>
      </c>
      <c r="AI351" s="118">
        <f>265023-6347.44-21588.71+278069.69-6134.44-31408.74+287307.12+1478543.95-4801.82</f>
        <v>2238662.61</v>
      </c>
      <c r="AJ351" s="118">
        <f>6347.44+21588.71+6828.38+6134.44+31408.74+656+226130.24+4801.82</f>
        <v>303895.77</v>
      </c>
    </row>
    <row r="352" spans="1:36" s="179" customFormat="1" ht="252" x14ac:dyDescent="0.25">
      <c r="A352" s="6">
        <v>349</v>
      </c>
      <c r="B352" s="31">
        <v>117764</v>
      </c>
      <c r="C352" s="11">
        <v>416</v>
      </c>
      <c r="D352" s="32" t="s">
        <v>1640</v>
      </c>
      <c r="E352" s="32" t="s">
        <v>507</v>
      </c>
      <c r="F352" s="11" t="s">
        <v>739</v>
      </c>
      <c r="G352" s="11" t="s">
        <v>740</v>
      </c>
      <c r="H352" s="8" t="s">
        <v>151</v>
      </c>
      <c r="I352" s="124" t="s">
        <v>1260</v>
      </c>
      <c r="J352" s="25">
        <v>43326</v>
      </c>
      <c r="K352" s="25">
        <v>43813</v>
      </c>
      <c r="L352" s="26">
        <f t="shared" ref="L352:L361" si="177">R352/AD352*100</f>
        <v>85.000000298812211</v>
      </c>
      <c r="M352" s="11">
        <v>1</v>
      </c>
      <c r="N352" s="11" t="s">
        <v>411</v>
      </c>
      <c r="O352" s="11" t="s">
        <v>411</v>
      </c>
      <c r="P352" s="11" t="s">
        <v>174</v>
      </c>
      <c r="Q352" s="27" t="s">
        <v>34</v>
      </c>
      <c r="R352" s="1">
        <f t="shared" ref="R352:R361" si="178">S352+T352</f>
        <v>284459.59000000003</v>
      </c>
      <c r="S352" s="30">
        <v>284459.59000000003</v>
      </c>
      <c r="T352" s="57">
        <v>0</v>
      </c>
      <c r="U352" s="1">
        <f t="shared" ref="U352:U361" si="179">V352+W352</f>
        <v>43505.58</v>
      </c>
      <c r="V352" s="42">
        <v>43505.58</v>
      </c>
      <c r="W352" s="89">
        <v>0</v>
      </c>
      <c r="X352" s="30">
        <f t="shared" ref="X352:X361" si="180">Y352+Z352</f>
        <v>6693.17</v>
      </c>
      <c r="Y352" s="30">
        <v>6693.17</v>
      </c>
      <c r="Z352" s="57">
        <v>0</v>
      </c>
      <c r="AA352" s="2">
        <f t="shared" ref="AA352:AA361" si="181">AB352+AC352</f>
        <v>0</v>
      </c>
      <c r="AB352" s="41">
        <v>0</v>
      </c>
      <c r="AC352" s="41">
        <v>0</v>
      </c>
      <c r="AD352" s="16">
        <f t="shared" si="158"/>
        <v>334658.34000000003</v>
      </c>
      <c r="AE352" s="38">
        <v>0</v>
      </c>
      <c r="AF352" s="2">
        <f t="shared" ref="AF352:AF361" si="182">AD352+AE352</f>
        <v>334658.34000000003</v>
      </c>
      <c r="AG352" s="21" t="s">
        <v>857</v>
      </c>
      <c r="AH352" s="38" t="s">
        <v>151</v>
      </c>
      <c r="AI352" s="2">
        <v>113379.81</v>
      </c>
      <c r="AJ352" s="2">
        <v>17340.43</v>
      </c>
    </row>
    <row r="353" spans="1:36" s="179" customFormat="1" ht="141.75" x14ac:dyDescent="0.25">
      <c r="A353" s="6">
        <v>350</v>
      </c>
      <c r="B353" s="31">
        <v>128093</v>
      </c>
      <c r="C353" s="11">
        <v>626</v>
      </c>
      <c r="D353" s="9" t="s">
        <v>1639</v>
      </c>
      <c r="E353" s="32" t="s">
        <v>1071</v>
      </c>
      <c r="F353" s="11" t="s">
        <v>1176</v>
      </c>
      <c r="G353" s="11" t="s">
        <v>1177</v>
      </c>
      <c r="H353" s="8" t="s">
        <v>151</v>
      </c>
      <c r="I353" s="32" t="s">
        <v>2815</v>
      </c>
      <c r="J353" s="25">
        <v>43670</v>
      </c>
      <c r="K353" s="25">
        <v>44401</v>
      </c>
      <c r="L353" s="26">
        <f t="shared" si="177"/>
        <v>85.000000000000014</v>
      </c>
      <c r="M353" s="11">
        <v>1</v>
      </c>
      <c r="N353" s="11" t="s">
        <v>411</v>
      </c>
      <c r="O353" s="11" t="s">
        <v>411</v>
      </c>
      <c r="P353" s="11" t="s">
        <v>174</v>
      </c>
      <c r="Q353" s="27" t="s">
        <v>34</v>
      </c>
      <c r="R353" s="1">
        <f t="shared" si="178"/>
        <v>2360805.2999999998</v>
      </c>
      <c r="S353" s="30">
        <v>2360805.2999999998</v>
      </c>
      <c r="T353" s="57">
        <v>0</v>
      </c>
      <c r="U353" s="1">
        <f t="shared" si="179"/>
        <v>361064.38</v>
      </c>
      <c r="V353" s="42">
        <v>361064.38</v>
      </c>
      <c r="W353" s="89">
        <v>0</v>
      </c>
      <c r="X353" s="30">
        <f t="shared" si="180"/>
        <v>55548.32</v>
      </c>
      <c r="Y353" s="30">
        <v>55548.32</v>
      </c>
      <c r="Z353" s="57">
        <v>0</v>
      </c>
      <c r="AA353" s="2">
        <f t="shared" si="181"/>
        <v>0</v>
      </c>
      <c r="AB353" s="57">
        <v>0</v>
      </c>
      <c r="AC353" s="57">
        <v>0</v>
      </c>
      <c r="AD353" s="16">
        <f t="shared" si="158"/>
        <v>2777417.9999999995</v>
      </c>
      <c r="AE353" s="38">
        <v>0</v>
      </c>
      <c r="AF353" s="2">
        <f t="shared" si="182"/>
        <v>2777417.9999999995</v>
      </c>
      <c r="AG353" s="21" t="s">
        <v>857</v>
      </c>
      <c r="AH353" s="38"/>
      <c r="AI353" s="2">
        <f>322900.1+67975.35+61200.54+167474.18+120525.39+40857.99+61301.45+1126778.54+128509.74</f>
        <v>2097523.2800000003</v>
      </c>
      <c r="AJ353" s="2">
        <f>49384.72+10396.23+9360.09+25613.7+18433.3+6248.87+9375.51+172330.88+19654.43</f>
        <v>320797.73</v>
      </c>
    </row>
    <row r="354" spans="1:36" s="179" customFormat="1" ht="252" x14ac:dyDescent="0.25">
      <c r="A354" s="6">
        <v>351</v>
      </c>
      <c r="B354" s="31">
        <v>136121</v>
      </c>
      <c r="C354" s="11">
        <v>778</v>
      </c>
      <c r="D354" s="9" t="s">
        <v>1639</v>
      </c>
      <c r="E354" s="24" t="s">
        <v>1441</v>
      </c>
      <c r="F354" s="11" t="s">
        <v>1506</v>
      </c>
      <c r="G354" s="11" t="s">
        <v>1505</v>
      </c>
      <c r="H354" s="8" t="s">
        <v>151</v>
      </c>
      <c r="I354" s="32" t="s">
        <v>2816</v>
      </c>
      <c r="J354" s="25">
        <v>43973</v>
      </c>
      <c r="K354" s="25">
        <v>44887</v>
      </c>
      <c r="L354" s="26">
        <f t="shared" si="177"/>
        <v>85.000000076716475</v>
      </c>
      <c r="M354" s="11">
        <v>1</v>
      </c>
      <c r="N354" s="11" t="s">
        <v>411</v>
      </c>
      <c r="O354" s="11" t="s">
        <v>1507</v>
      </c>
      <c r="P354" s="27" t="s">
        <v>174</v>
      </c>
      <c r="Q354" s="11" t="s">
        <v>34</v>
      </c>
      <c r="R354" s="1">
        <f t="shared" si="178"/>
        <v>3323927.74</v>
      </c>
      <c r="S354" s="30">
        <v>3323927.74</v>
      </c>
      <c r="T354" s="57">
        <v>0</v>
      </c>
      <c r="U354" s="1">
        <f t="shared" si="179"/>
        <v>508365.42</v>
      </c>
      <c r="V354" s="42">
        <v>508365.42</v>
      </c>
      <c r="W354" s="89">
        <v>0</v>
      </c>
      <c r="X354" s="30">
        <f t="shared" si="180"/>
        <v>78210.06</v>
      </c>
      <c r="Y354" s="30">
        <v>78210.06</v>
      </c>
      <c r="Z354" s="57">
        <v>0</v>
      </c>
      <c r="AA354" s="2">
        <f t="shared" si="181"/>
        <v>0</v>
      </c>
      <c r="AB354" s="57">
        <v>0</v>
      </c>
      <c r="AC354" s="57">
        <v>0</v>
      </c>
      <c r="AD354" s="16">
        <f t="shared" si="158"/>
        <v>3910503.22</v>
      </c>
      <c r="AE354" s="38">
        <v>0</v>
      </c>
      <c r="AF354" s="2">
        <f t="shared" si="182"/>
        <v>3910503.22</v>
      </c>
      <c r="AG354" s="38" t="s">
        <v>486</v>
      </c>
      <c r="AH354" s="38"/>
      <c r="AI354" s="2">
        <f>30250.4+23570.5+87729.35+88902.35+31683.75+39000.55+465310.03+1372386.75</f>
        <v>2138833.6800000002</v>
      </c>
      <c r="AJ354" s="2">
        <f>4626.53+3604.9+13417.43+13596.83+4845.75+5964.79+71165.06+209894.44</f>
        <v>327115.73</v>
      </c>
    </row>
    <row r="355" spans="1:36" s="179" customFormat="1" ht="204.75" x14ac:dyDescent="0.25">
      <c r="A355" s="6">
        <v>352</v>
      </c>
      <c r="B355" s="31">
        <v>136253</v>
      </c>
      <c r="C355" s="11">
        <v>786</v>
      </c>
      <c r="D355" s="9" t="s">
        <v>1639</v>
      </c>
      <c r="E355" s="24" t="s">
        <v>1441</v>
      </c>
      <c r="F355" s="11" t="s">
        <v>1514</v>
      </c>
      <c r="G355" s="11" t="s">
        <v>1515</v>
      </c>
      <c r="H355" s="8" t="s">
        <v>151</v>
      </c>
      <c r="I355" s="32" t="s">
        <v>2817</v>
      </c>
      <c r="J355" s="25">
        <v>43977</v>
      </c>
      <c r="K355" s="25">
        <v>45133</v>
      </c>
      <c r="L355" s="26">
        <f t="shared" si="177"/>
        <v>85.000000077356688</v>
      </c>
      <c r="M355" s="11">
        <v>1</v>
      </c>
      <c r="N355" s="11" t="s">
        <v>411</v>
      </c>
      <c r="O355" s="11" t="s">
        <v>1516</v>
      </c>
      <c r="P355" s="27" t="s">
        <v>174</v>
      </c>
      <c r="Q355" s="11" t="s">
        <v>34</v>
      </c>
      <c r="R355" s="1">
        <f t="shared" si="178"/>
        <v>3296418.51</v>
      </c>
      <c r="S355" s="30">
        <v>3296418.51</v>
      </c>
      <c r="T355" s="57">
        <v>0</v>
      </c>
      <c r="U355" s="1">
        <f t="shared" si="179"/>
        <v>504158.13</v>
      </c>
      <c r="V355" s="42">
        <v>504158.13</v>
      </c>
      <c r="W355" s="89">
        <v>0</v>
      </c>
      <c r="X355" s="30">
        <f t="shared" si="180"/>
        <v>77562.78</v>
      </c>
      <c r="Y355" s="30">
        <v>77562.78</v>
      </c>
      <c r="Z355" s="57">
        <v>0</v>
      </c>
      <c r="AA355" s="2">
        <f t="shared" si="181"/>
        <v>0</v>
      </c>
      <c r="AB355" s="57">
        <v>0</v>
      </c>
      <c r="AC355" s="57">
        <v>0</v>
      </c>
      <c r="AD355" s="16">
        <f t="shared" si="158"/>
        <v>3878139.4199999995</v>
      </c>
      <c r="AE355" s="125">
        <v>0</v>
      </c>
      <c r="AF355" s="2">
        <f t="shared" si="182"/>
        <v>3878139.4199999995</v>
      </c>
      <c r="AG355" s="38" t="s">
        <v>486</v>
      </c>
      <c r="AH355" s="38" t="s">
        <v>2479</v>
      </c>
      <c r="AI355" s="2">
        <f>46849.45+76037.6+46900.45+113032.15+305275.8</f>
        <v>588095.44999999995</v>
      </c>
      <c r="AJ355" s="2">
        <f>7165.21+11629.28+7173.01+17287.27+46689.24</f>
        <v>89944.010000000009</v>
      </c>
    </row>
    <row r="356" spans="1:36" s="179" customFormat="1" ht="88.5" customHeight="1" x14ac:dyDescent="0.25">
      <c r="A356" s="6">
        <v>353</v>
      </c>
      <c r="B356" s="31">
        <v>135768</v>
      </c>
      <c r="C356" s="11">
        <v>782</v>
      </c>
      <c r="D356" s="9" t="s">
        <v>1639</v>
      </c>
      <c r="E356" s="24" t="s">
        <v>1441</v>
      </c>
      <c r="F356" s="11" t="s">
        <v>1525</v>
      </c>
      <c r="G356" s="11" t="s">
        <v>740</v>
      </c>
      <c r="H356" s="8" t="s">
        <v>151</v>
      </c>
      <c r="I356" s="32" t="s">
        <v>2818</v>
      </c>
      <c r="J356" s="25">
        <v>43998</v>
      </c>
      <c r="K356" s="25">
        <v>44728</v>
      </c>
      <c r="L356" s="26">
        <f t="shared" si="177"/>
        <v>85.000000630128795</v>
      </c>
      <c r="M356" s="11">
        <v>1</v>
      </c>
      <c r="N356" s="11" t="s">
        <v>411</v>
      </c>
      <c r="O356" s="11" t="s">
        <v>1526</v>
      </c>
      <c r="P356" s="27" t="s">
        <v>174</v>
      </c>
      <c r="Q356" s="11" t="s">
        <v>34</v>
      </c>
      <c r="R356" s="1">
        <f t="shared" si="178"/>
        <v>1011697.93</v>
      </c>
      <c r="S356" s="30">
        <v>1011697.93</v>
      </c>
      <c r="T356" s="57">
        <v>0</v>
      </c>
      <c r="U356" s="1">
        <f t="shared" si="179"/>
        <v>154730.26000000004</v>
      </c>
      <c r="V356" s="42">
        <v>154730.26000000004</v>
      </c>
      <c r="W356" s="89">
        <v>0</v>
      </c>
      <c r="X356" s="30">
        <f t="shared" si="180"/>
        <v>23804.66</v>
      </c>
      <c r="Y356" s="30">
        <v>23804.66</v>
      </c>
      <c r="Z356" s="57">
        <v>0</v>
      </c>
      <c r="AA356" s="2">
        <f t="shared" si="181"/>
        <v>0</v>
      </c>
      <c r="AB356" s="57">
        <v>0</v>
      </c>
      <c r="AC356" s="57">
        <v>0</v>
      </c>
      <c r="AD356" s="16">
        <f t="shared" si="158"/>
        <v>1190232.8500000001</v>
      </c>
      <c r="AE356" s="125">
        <v>0</v>
      </c>
      <c r="AF356" s="2">
        <f t="shared" si="182"/>
        <v>1190232.8500000001</v>
      </c>
      <c r="AG356" s="38" t="s">
        <v>857</v>
      </c>
      <c r="AH356" s="38" t="s">
        <v>1758</v>
      </c>
      <c r="AI356" s="2">
        <f>67626-4071.15+95859.03+134220.99+310066.71+115621.04</f>
        <v>719322.62000000011</v>
      </c>
      <c r="AJ356" s="2">
        <f>4071.15+20309.79+20527.92+47421.97+17683.22</f>
        <v>110014.05</v>
      </c>
    </row>
    <row r="357" spans="1:36" s="179" customFormat="1" ht="106.5" customHeight="1" x14ac:dyDescent="0.25">
      <c r="A357" s="6">
        <v>354</v>
      </c>
      <c r="B357" s="31">
        <v>136101</v>
      </c>
      <c r="C357" s="11">
        <v>777</v>
      </c>
      <c r="D357" s="9" t="s">
        <v>1639</v>
      </c>
      <c r="E357" s="24" t="s">
        <v>1441</v>
      </c>
      <c r="F357" s="11" t="s">
        <v>1527</v>
      </c>
      <c r="G357" s="11" t="s">
        <v>1528</v>
      </c>
      <c r="H357" s="8" t="s">
        <v>151</v>
      </c>
      <c r="I357" s="32" t="s">
        <v>2819</v>
      </c>
      <c r="J357" s="25">
        <v>43998</v>
      </c>
      <c r="K357" s="25">
        <v>44911</v>
      </c>
      <c r="L357" s="26">
        <f t="shared" si="177"/>
        <v>85.000000076954905</v>
      </c>
      <c r="M357" s="11">
        <v>1</v>
      </c>
      <c r="N357" s="11" t="s">
        <v>411</v>
      </c>
      <c r="O357" s="11" t="s">
        <v>1528</v>
      </c>
      <c r="P357" s="27" t="s">
        <v>174</v>
      </c>
      <c r="Q357" s="11" t="s">
        <v>34</v>
      </c>
      <c r="R357" s="1">
        <f t="shared" si="178"/>
        <v>3313628.46</v>
      </c>
      <c r="S357" s="30">
        <v>3313628.46</v>
      </c>
      <c r="T357" s="57">
        <v>0</v>
      </c>
      <c r="U357" s="1">
        <f t="shared" si="179"/>
        <v>506790.24</v>
      </c>
      <c r="V357" s="42">
        <v>506790.24</v>
      </c>
      <c r="W357" s="89">
        <v>0</v>
      </c>
      <c r="X357" s="30">
        <f t="shared" si="180"/>
        <v>77967.72</v>
      </c>
      <c r="Y357" s="30">
        <v>77967.72</v>
      </c>
      <c r="Z357" s="57">
        <v>0</v>
      </c>
      <c r="AA357" s="2">
        <f t="shared" si="181"/>
        <v>0</v>
      </c>
      <c r="AB357" s="57">
        <v>0</v>
      </c>
      <c r="AC357" s="57">
        <v>0</v>
      </c>
      <c r="AD357" s="16">
        <f t="shared" si="158"/>
        <v>3898386.4200000004</v>
      </c>
      <c r="AE357" s="125">
        <v>0</v>
      </c>
      <c r="AF357" s="2">
        <f t="shared" si="182"/>
        <v>3898386.4200000004</v>
      </c>
      <c r="AG357" s="38" t="s">
        <v>486</v>
      </c>
      <c r="AH357" s="38"/>
      <c r="AI357" s="2">
        <f>61251+21093.6+105678.8+141468.39+444812.31+243407.36+1108891.27</f>
        <v>2126602.73</v>
      </c>
      <c r="AJ357" s="2">
        <f>9367.8+3226.08+16162.64+21636.34+68030.12+37227.01+169595.14</f>
        <v>325245.13</v>
      </c>
    </row>
    <row r="358" spans="1:36" s="179" customFormat="1" ht="106.5" customHeight="1" x14ac:dyDescent="0.25">
      <c r="A358" s="6">
        <v>355</v>
      </c>
      <c r="B358" s="31">
        <v>155184</v>
      </c>
      <c r="C358" s="11">
        <v>1238</v>
      </c>
      <c r="D358" s="9" t="s">
        <v>1639</v>
      </c>
      <c r="E358" s="24" t="s">
        <v>2024</v>
      </c>
      <c r="F358" s="11" t="s">
        <v>2112</v>
      </c>
      <c r="G358" s="11" t="s">
        <v>1177</v>
      </c>
      <c r="H358" s="8" t="s">
        <v>151</v>
      </c>
      <c r="I358" s="32" t="s">
        <v>2113</v>
      </c>
      <c r="J358" s="25">
        <v>44655</v>
      </c>
      <c r="K358" s="25">
        <v>45142</v>
      </c>
      <c r="L358" s="26">
        <f t="shared" si="177"/>
        <v>85.000000075041726</v>
      </c>
      <c r="M358" s="11">
        <v>1</v>
      </c>
      <c r="N358" s="11" t="s">
        <v>411</v>
      </c>
      <c r="O358" s="11" t="s">
        <v>411</v>
      </c>
      <c r="P358" s="27" t="s">
        <v>174</v>
      </c>
      <c r="Q358" s="11" t="s">
        <v>34</v>
      </c>
      <c r="R358" s="1">
        <f t="shared" si="178"/>
        <v>3398109.62</v>
      </c>
      <c r="S358" s="30">
        <v>3398109.62</v>
      </c>
      <c r="T358" s="57">
        <v>0</v>
      </c>
      <c r="U358" s="1">
        <f t="shared" si="179"/>
        <v>519710.88</v>
      </c>
      <c r="V358" s="42">
        <v>519710.88</v>
      </c>
      <c r="W358" s="89">
        <v>0</v>
      </c>
      <c r="X358" s="30">
        <f t="shared" si="180"/>
        <v>79955.520000000004</v>
      </c>
      <c r="Y358" s="30">
        <v>79955.520000000004</v>
      </c>
      <c r="Z358" s="57">
        <v>0</v>
      </c>
      <c r="AA358" s="2">
        <f t="shared" si="181"/>
        <v>0</v>
      </c>
      <c r="AB358" s="57">
        <v>0</v>
      </c>
      <c r="AC358" s="57">
        <v>0</v>
      </c>
      <c r="AD358" s="16">
        <f t="shared" si="158"/>
        <v>3997776.02</v>
      </c>
      <c r="AE358" s="125">
        <v>0</v>
      </c>
      <c r="AF358" s="2">
        <f t="shared" si="182"/>
        <v>3997776.02</v>
      </c>
      <c r="AG358" s="38" t="s">
        <v>486</v>
      </c>
      <c r="AH358" s="38"/>
      <c r="AI358" s="2">
        <v>22211.58</v>
      </c>
      <c r="AJ358" s="2">
        <v>3397.06</v>
      </c>
    </row>
    <row r="359" spans="1:36" s="179" customFormat="1" ht="106.5" customHeight="1" x14ac:dyDescent="0.25">
      <c r="A359" s="6">
        <v>356</v>
      </c>
      <c r="B359" s="31">
        <v>154853</v>
      </c>
      <c r="C359" s="11">
        <v>1218</v>
      </c>
      <c r="D359" s="9" t="s">
        <v>1639</v>
      </c>
      <c r="E359" s="24" t="s">
        <v>2024</v>
      </c>
      <c r="F359" s="11" t="s">
        <v>2121</v>
      </c>
      <c r="G359" s="11" t="s">
        <v>1505</v>
      </c>
      <c r="H359" s="8" t="s">
        <v>151</v>
      </c>
      <c r="I359" s="32" t="s">
        <v>2820</v>
      </c>
      <c r="J359" s="25">
        <v>44658</v>
      </c>
      <c r="K359" s="25">
        <v>45145</v>
      </c>
      <c r="L359" s="26">
        <f t="shared" si="177"/>
        <v>85.000000403724087</v>
      </c>
      <c r="M359" s="11">
        <v>1</v>
      </c>
      <c r="N359" s="11" t="s">
        <v>411</v>
      </c>
      <c r="O359" s="11" t="s">
        <v>1507</v>
      </c>
      <c r="P359" s="27" t="s">
        <v>174</v>
      </c>
      <c r="Q359" s="11" t="s">
        <v>34</v>
      </c>
      <c r="R359" s="1">
        <f t="shared" si="178"/>
        <v>2842287.72</v>
      </c>
      <c r="S359" s="30">
        <v>2842287.72</v>
      </c>
      <c r="T359" s="57">
        <v>0</v>
      </c>
      <c r="U359" s="1">
        <f t="shared" si="179"/>
        <v>434702.8</v>
      </c>
      <c r="V359" s="42">
        <v>434702.8</v>
      </c>
      <c r="W359" s="89">
        <v>0</v>
      </c>
      <c r="X359" s="30">
        <f t="shared" si="180"/>
        <v>66877.37</v>
      </c>
      <c r="Y359" s="30">
        <v>66877.37</v>
      </c>
      <c r="Z359" s="57">
        <v>0</v>
      </c>
      <c r="AA359" s="2">
        <f t="shared" si="181"/>
        <v>0</v>
      </c>
      <c r="AB359" s="57">
        <v>0</v>
      </c>
      <c r="AC359" s="57">
        <v>0</v>
      </c>
      <c r="AD359" s="16">
        <f t="shared" si="158"/>
        <v>3343867.89</v>
      </c>
      <c r="AE359" s="125">
        <v>0</v>
      </c>
      <c r="AF359" s="2">
        <f t="shared" si="182"/>
        <v>3343867.89</v>
      </c>
      <c r="AG359" s="38" t="s">
        <v>486</v>
      </c>
      <c r="AH359" s="38"/>
      <c r="AI359" s="2">
        <v>0</v>
      </c>
      <c r="AJ359" s="2">
        <v>0</v>
      </c>
    </row>
    <row r="360" spans="1:36" s="179" customFormat="1" ht="106.5" customHeight="1" x14ac:dyDescent="0.25">
      <c r="A360" s="6">
        <v>357</v>
      </c>
      <c r="B360" s="31">
        <v>154851</v>
      </c>
      <c r="C360" s="11">
        <v>1221</v>
      </c>
      <c r="D360" s="9" t="s">
        <v>1639</v>
      </c>
      <c r="E360" s="24" t="s">
        <v>2024</v>
      </c>
      <c r="F360" s="11" t="s">
        <v>2133</v>
      </c>
      <c r="G360" s="11" t="s">
        <v>1528</v>
      </c>
      <c r="H360" s="8" t="s">
        <v>151</v>
      </c>
      <c r="I360" s="32" t="s">
        <v>2821</v>
      </c>
      <c r="J360" s="25">
        <v>44662</v>
      </c>
      <c r="K360" s="25">
        <v>45149</v>
      </c>
      <c r="L360" s="26">
        <f t="shared" si="177"/>
        <v>84.999999999999986</v>
      </c>
      <c r="M360" s="11">
        <v>1</v>
      </c>
      <c r="N360" s="11" t="s">
        <v>411</v>
      </c>
      <c r="O360" s="11" t="s">
        <v>1528</v>
      </c>
      <c r="P360" s="27" t="s">
        <v>174</v>
      </c>
      <c r="Q360" s="11" t="s">
        <v>34</v>
      </c>
      <c r="R360" s="1">
        <f t="shared" si="178"/>
        <v>2840666.51</v>
      </c>
      <c r="S360" s="30">
        <v>2840666.51</v>
      </c>
      <c r="T360" s="57">
        <v>0</v>
      </c>
      <c r="U360" s="1">
        <f t="shared" si="179"/>
        <v>434454.89</v>
      </c>
      <c r="V360" s="42">
        <v>434454.89</v>
      </c>
      <c r="W360" s="89">
        <v>0</v>
      </c>
      <c r="X360" s="30">
        <f t="shared" si="180"/>
        <v>66839.199999999997</v>
      </c>
      <c r="Y360" s="30">
        <v>66839.199999999997</v>
      </c>
      <c r="Z360" s="57">
        <v>0</v>
      </c>
      <c r="AA360" s="2">
        <f t="shared" si="181"/>
        <v>0</v>
      </c>
      <c r="AB360" s="57">
        <v>0</v>
      </c>
      <c r="AC360" s="57">
        <v>0</v>
      </c>
      <c r="AD360" s="16">
        <f t="shared" si="158"/>
        <v>3341960.6</v>
      </c>
      <c r="AE360" s="125">
        <v>0</v>
      </c>
      <c r="AF360" s="2">
        <f t="shared" si="182"/>
        <v>3341960.6</v>
      </c>
      <c r="AG360" s="38" t="s">
        <v>486</v>
      </c>
      <c r="AH360" s="38"/>
      <c r="AI360" s="2">
        <v>0</v>
      </c>
      <c r="AJ360" s="2">
        <v>0</v>
      </c>
    </row>
    <row r="361" spans="1:36" s="179" customFormat="1" ht="106.5" customHeight="1" x14ac:dyDescent="0.25">
      <c r="A361" s="6">
        <v>358</v>
      </c>
      <c r="B361" s="31">
        <v>155160</v>
      </c>
      <c r="C361" s="11">
        <v>1232</v>
      </c>
      <c r="D361" s="9" t="s">
        <v>1639</v>
      </c>
      <c r="E361" s="24" t="s">
        <v>2024</v>
      </c>
      <c r="F361" s="11" t="s">
        <v>2252</v>
      </c>
      <c r="G361" s="11" t="s">
        <v>1515</v>
      </c>
      <c r="H361" s="8" t="s">
        <v>151</v>
      </c>
      <c r="I361" s="32" t="s">
        <v>2822</v>
      </c>
      <c r="J361" s="25">
        <v>44714</v>
      </c>
      <c r="K361" s="25">
        <v>45201</v>
      </c>
      <c r="L361" s="26">
        <f t="shared" si="177"/>
        <v>84.999999866459859</v>
      </c>
      <c r="M361" s="11">
        <v>1</v>
      </c>
      <c r="N361" s="11" t="s">
        <v>1516</v>
      </c>
      <c r="O361" s="11" t="s">
        <v>1528</v>
      </c>
      <c r="P361" s="27" t="s">
        <v>174</v>
      </c>
      <c r="Q361" s="11" t="s">
        <v>34</v>
      </c>
      <c r="R361" s="1">
        <f t="shared" si="178"/>
        <v>2864307.36</v>
      </c>
      <c r="S361" s="30">
        <v>2864307.36</v>
      </c>
      <c r="T361" s="57">
        <v>0</v>
      </c>
      <c r="U361" s="1">
        <f t="shared" si="179"/>
        <v>438070.54</v>
      </c>
      <c r="V361" s="42">
        <v>438070.54</v>
      </c>
      <c r="W361" s="89">
        <v>0</v>
      </c>
      <c r="X361" s="30">
        <f t="shared" si="180"/>
        <v>67395.47</v>
      </c>
      <c r="Y361" s="30">
        <v>67395.47</v>
      </c>
      <c r="Z361" s="57">
        <v>0</v>
      </c>
      <c r="AA361" s="2">
        <f t="shared" si="181"/>
        <v>0</v>
      </c>
      <c r="AB361" s="57">
        <v>0</v>
      </c>
      <c r="AC361" s="57">
        <v>0</v>
      </c>
      <c r="AD361" s="16">
        <f t="shared" si="158"/>
        <v>3369773.37</v>
      </c>
      <c r="AE361" s="125">
        <v>0</v>
      </c>
      <c r="AF361" s="2">
        <f t="shared" si="182"/>
        <v>3369773.37</v>
      </c>
      <c r="AG361" s="38" t="s">
        <v>486</v>
      </c>
      <c r="AH361" s="38"/>
      <c r="AI361" s="2">
        <v>0</v>
      </c>
      <c r="AJ361" s="2">
        <v>0</v>
      </c>
    </row>
    <row r="362" spans="1:36" s="179" customFormat="1" ht="159" customHeight="1" x14ac:dyDescent="0.25">
      <c r="A362" s="6">
        <v>359</v>
      </c>
      <c r="B362" s="31">
        <v>110909</v>
      </c>
      <c r="C362" s="11">
        <v>115</v>
      </c>
      <c r="D362" s="9" t="s">
        <v>1639</v>
      </c>
      <c r="E362" s="24" t="s">
        <v>277</v>
      </c>
      <c r="F362" s="27" t="s">
        <v>351</v>
      </c>
      <c r="G362" s="11" t="s">
        <v>350</v>
      </c>
      <c r="H362" s="8" t="s">
        <v>151</v>
      </c>
      <c r="I362" s="12" t="s">
        <v>352</v>
      </c>
      <c r="J362" s="25">
        <v>43214</v>
      </c>
      <c r="K362" s="25">
        <v>43762</v>
      </c>
      <c r="L362" s="26">
        <f t="shared" ref="L362:L371" si="183">R362/AD362*100</f>
        <v>85.000000000000014</v>
      </c>
      <c r="M362" s="11">
        <v>3</v>
      </c>
      <c r="N362" s="11" t="s">
        <v>353</v>
      </c>
      <c r="O362" s="11" t="s">
        <v>362</v>
      </c>
      <c r="P362" s="27" t="s">
        <v>174</v>
      </c>
      <c r="Q362" s="11" t="s">
        <v>34</v>
      </c>
      <c r="R362" s="1">
        <f t="shared" ref="R362:R371" si="184">S362+T362</f>
        <v>349633.9</v>
      </c>
      <c r="S362" s="57">
        <v>349633.9</v>
      </c>
      <c r="T362" s="57">
        <v>0</v>
      </c>
      <c r="U362" s="1">
        <f t="shared" ref="U362:U371" si="185">V362+W362</f>
        <v>53473.42</v>
      </c>
      <c r="V362" s="89">
        <v>53473.42</v>
      </c>
      <c r="W362" s="89">
        <v>0</v>
      </c>
      <c r="X362" s="1">
        <f t="shared" ref="X362:X371" si="186">Y362+Z362</f>
        <v>8226.68</v>
      </c>
      <c r="Y362" s="57">
        <v>8226.68</v>
      </c>
      <c r="Z362" s="57">
        <v>0</v>
      </c>
      <c r="AA362" s="2">
        <f t="shared" ref="AA362:AA371" si="187">AB362+AC362</f>
        <v>0</v>
      </c>
      <c r="AB362" s="126">
        <v>0</v>
      </c>
      <c r="AC362" s="126">
        <v>0</v>
      </c>
      <c r="AD362" s="16">
        <f t="shared" si="158"/>
        <v>411334</v>
      </c>
      <c r="AE362" s="2">
        <v>0</v>
      </c>
      <c r="AF362" s="2">
        <f t="shared" ref="AF362:AF371" si="188">AD362+AE362</f>
        <v>411334</v>
      </c>
      <c r="AG362" s="21" t="s">
        <v>857</v>
      </c>
      <c r="AH362" s="29" t="s">
        <v>1222</v>
      </c>
      <c r="AI362" s="30">
        <v>288582.45</v>
      </c>
      <c r="AJ362" s="30">
        <v>44136.13</v>
      </c>
    </row>
    <row r="363" spans="1:36" s="179" customFormat="1" ht="204.75" x14ac:dyDescent="0.25">
      <c r="A363" s="6">
        <v>360</v>
      </c>
      <c r="B363" s="31">
        <v>126118</v>
      </c>
      <c r="C363" s="11">
        <v>530</v>
      </c>
      <c r="D363" s="9" t="s">
        <v>1639</v>
      </c>
      <c r="E363" s="24" t="s">
        <v>899</v>
      </c>
      <c r="F363" s="27" t="s">
        <v>934</v>
      </c>
      <c r="G363" s="27" t="s">
        <v>935</v>
      </c>
      <c r="H363" s="8" t="s">
        <v>151</v>
      </c>
      <c r="I363" s="12" t="s">
        <v>2823</v>
      </c>
      <c r="J363" s="25">
        <v>43447</v>
      </c>
      <c r="K363" s="25">
        <v>45273</v>
      </c>
      <c r="L363" s="26">
        <f t="shared" si="183"/>
        <v>85.000001240215624</v>
      </c>
      <c r="M363" s="39">
        <v>3</v>
      </c>
      <c r="N363" s="11" t="s">
        <v>353</v>
      </c>
      <c r="O363" s="11" t="s">
        <v>1576</v>
      </c>
      <c r="P363" s="27" t="s">
        <v>174</v>
      </c>
      <c r="Q363" s="11" t="s">
        <v>34</v>
      </c>
      <c r="R363" s="1">
        <f t="shared" si="184"/>
        <v>548291.76</v>
      </c>
      <c r="S363" s="57">
        <v>548291.76</v>
      </c>
      <c r="T363" s="57">
        <v>0</v>
      </c>
      <c r="U363" s="1">
        <f t="shared" si="185"/>
        <v>83856.38</v>
      </c>
      <c r="V363" s="89">
        <v>83856.38</v>
      </c>
      <c r="W363" s="89">
        <v>0</v>
      </c>
      <c r="X363" s="1">
        <f t="shared" si="186"/>
        <v>12900.98</v>
      </c>
      <c r="Y363" s="57">
        <v>12900.98</v>
      </c>
      <c r="Z363" s="57">
        <v>0</v>
      </c>
      <c r="AA363" s="2">
        <f t="shared" si="187"/>
        <v>0</v>
      </c>
      <c r="AB363" s="2">
        <v>0</v>
      </c>
      <c r="AC363" s="2">
        <v>0</v>
      </c>
      <c r="AD363" s="16">
        <f t="shared" si="158"/>
        <v>645049.12</v>
      </c>
      <c r="AE363" s="35"/>
      <c r="AF363" s="2">
        <f t="shared" si="188"/>
        <v>645049.12</v>
      </c>
      <c r="AG363" s="38" t="s">
        <v>486</v>
      </c>
      <c r="AH363" s="29" t="s">
        <v>2387</v>
      </c>
      <c r="AI363" s="30">
        <f>92794.07+26620.14+13310.07+13310.07</f>
        <v>146034.35</v>
      </c>
      <c r="AJ363" s="30">
        <f>14192.04+4071.32+2035.66+2035.66</f>
        <v>22334.68</v>
      </c>
    </row>
    <row r="364" spans="1:36" s="179" customFormat="1" ht="204.75" x14ac:dyDescent="0.25">
      <c r="A364" s="6">
        <v>361</v>
      </c>
      <c r="B364" s="31">
        <v>129759</v>
      </c>
      <c r="C364" s="11">
        <v>675</v>
      </c>
      <c r="D364" s="9" t="s">
        <v>1639</v>
      </c>
      <c r="E364" s="24" t="s">
        <v>1071</v>
      </c>
      <c r="F364" s="27" t="s">
        <v>1101</v>
      </c>
      <c r="G364" s="27" t="s">
        <v>1659</v>
      </c>
      <c r="H364" s="8" t="s">
        <v>151</v>
      </c>
      <c r="I364" s="12" t="s">
        <v>1102</v>
      </c>
      <c r="J364" s="25">
        <v>43622</v>
      </c>
      <c r="K364" s="25">
        <v>44261</v>
      </c>
      <c r="L364" s="26">
        <f t="shared" si="183"/>
        <v>85.000000231937065</v>
      </c>
      <c r="M364" s="39">
        <v>3</v>
      </c>
      <c r="N364" s="11" t="s">
        <v>353</v>
      </c>
      <c r="O364" s="11" t="s">
        <v>1659</v>
      </c>
      <c r="P364" s="27" t="s">
        <v>174</v>
      </c>
      <c r="Q364" s="11" t="s">
        <v>34</v>
      </c>
      <c r="R364" s="1">
        <f t="shared" si="184"/>
        <v>3298308.61</v>
      </c>
      <c r="S364" s="57">
        <v>3298308.61</v>
      </c>
      <c r="T364" s="57">
        <v>0</v>
      </c>
      <c r="U364" s="127">
        <f t="shared" si="185"/>
        <v>504447.19</v>
      </c>
      <c r="V364" s="89">
        <v>504447.19</v>
      </c>
      <c r="W364" s="89">
        <v>0</v>
      </c>
      <c r="X364" s="1">
        <f t="shared" si="186"/>
        <v>77607.259999999995</v>
      </c>
      <c r="Y364" s="57">
        <v>77607.259999999995</v>
      </c>
      <c r="Z364" s="57">
        <v>0</v>
      </c>
      <c r="AA364" s="2">
        <f t="shared" si="187"/>
        <v>0</v>
      </c>
      <c r="AB364" s="2">
        <v>0</v>
      </c>
      <c r="AC364" s="2">
        <v>0</v>
      </c>
      <c r="AD364" s="16">
        <f t="shared" si="158"/>
        <v>3880363.0599999996</v>
      </c>
      <c r="AE364" s="35"/>
      <c r="AF364" s="2">
        <f t="shared" si="188"/>
        <v>3880363.0599999996</v>
      </c>
      <c r="AG364" s="38" t="s">
        <v>857</v>
      </c>
      <c r="AH364" s="35"/>
      <c r="AI364" s="30">
        <f>350262.31-13137.88+459904.21+1860571.74-4239.22</f>
        <v>2653361.1599999997</v>
      </c>
      <c r="AJ364" s="30">
        <f>13345.6+16884.01+7544.38+13137.88+70338.29+284558.03</f>
        <v>405808.19</v>
      </c>
    </row>
    <row r="365" spans="1:36" s="179" customFormat="1" ht="157.5" x14ac:dyDescent="0.25">
      <c r="A365" s="6">
        <v>362</v>
      </c>
      <c r="B365" s="31">
        <v>129754</v>
      </c>
      <c r="C365" s="11">
        <v>674</v>
      </c>
      <c r="D365" s="9" t="s">
        <v>1639</v>
      </c>
      <c r="E365" s="24" t="s">
        <v>1071</v>
      </c>
      <c r="F365" s="27" t="s">
        <v>1108</v>
      </c>
      <c r="G365" s="27" t="s">
        <v>935</v>
      </c>
      <c r="H365" s="8" t="s">
        <v>151</v>
      </c>
      <c r="I365" s="12" t="s">
        <v>1109</v>
      </c>
      <c r="J365" s="25">
        <v>43630</v>
      </c>
      <c r="K365" s="25">
        <v>45091</v>
      </c>
      <c r="L365" s="26">
        <f t="shared" si="183"/>
        <v>85.000000138264667</v>
      </c>
      <c r="M365" s="39">
        <v>3</v>
      </c>
      <c r="N365" s="11" t="s">
        <v>353</v>
      </c>
      <c r="O365" s="11" t="s">
        <v>1576</v>
      </c>
      <c r="P365" s="27" t="s">
        <v>174</v>
      </c>
      <c r="Q365" s="11" t="s">
        <v>34</v>
      </c>
      <c r="R365" s="1">
        <f t="shared" si="184"/>
        <v>2459052.1800000002</v>
      </c>
      <c r="S365" s="57">
        <v>2459052.1800000002</v>
      </c>
      <c r="T365" s="128">
        <v>0</v>
      </c>
      <c r="U365" s="1">
        <f t="shared" si="185"/>
        <v>376090.33</v>
      </c>
      <c r="V365" s="89">
        <v>376090.33</v>
      </c>
      <c r="W365" s="89">
        <v>0</v>
      </c>
      <c r="X365" s="1">
        <f t="shared" si="186"/>
        <v>57860.05</v>
      </c>
      <c r="Y365" s="57">
        <v>57860.05</v>
      </c>
      <c r="Z365" s="57">
        <v>0</v>
      </c>
      <c r="AA365" s="2">
        <f t="shared" si="187"/>
        <v>0</v>
      </c>
      <c r="AB365" s="2">
        <v>0</v>
      </c>
      <c r="AC365" s="2">
        <v>0</v>
      </c>
      <c r="AD365" s="16">
        <f t="shared" si="158"/>
        <v>2893002.56</v>
      </c>
      <c r="AE365" s="35">
        <v>0</v>
      </c>
      <c r="AF365" s="2">
        <f t="shared" si="188"/>
        <v>2893002.56</v>
      </c>
      <c r="AG365" s="38" t="s">
        <v>486</v>
      </c>
      <c r="AH365" s="38" t="s">
        <v>1937</v>
      </c>
      <c r="AI365" s="30">
        <f>102987.97+61200+27715.54+30570.65+26244.97+42590.63+23491.6</f>
        <v>314801.36</v>
      </c>
      <c r="AJ365" s="30">
        <f>15751.1+9360+4238.85+4675.51+4013.94+6513.85+3592.84</f>
        <v>48146.09</v>
      </c>
    </row>
    <row r="366" spans="1:36" s="179" customFormat="1" ht="336.75" customHeight="1" x14ac:dyDescent="0.25">
      <c r="A366" s="6">
        <v>363</v>
      </c>
      <c r="B366" s="31">
        <v>135765</v>
      </c>
      <c r="C366" s="11">
        <v>821</v>
      </c>
      <c r="D366" s="9" t="s">
        <v>1639</v>
      </c>
      <c r="E366" s="24" t="s">
        <v>1441</v>
      </c>
      <c r="F366" s="27" t="s">
        <v>1575</v>
      </c>
      <c r="G366" s="27" t="s">
        <v>1576</v>
      </c>
      <c r="H366" s="11" t="s">
        <v>952</v>
      </c>
      <c r="I366" s="12" t="s">
        <v>1577</v>
      </c>
      <c r="J366" s="25">
        <v>44020</v>
      </c>
      <c r="K366" s="25">
        <v>44873</v>
      </c>
      <c r="L366" s="26">
        <f t="shared" si="183"/>
        <v>84.714058426963518</v>
      </c>
      <c r="M366" s="39">
        <v>3</v>
      </c>
      <c r="N366" s="11" t="s">
        <v>353</v>
      </c>
      <c r="O366" s="11" t="s">
        <v>1576</v>
      </c>
      <c r="P366" s="27" t="s">
        <v>174</v>
      </c>
      <c r="Q366" s="11" t="s">
        <v>34</v>
      </c>
      <c r="R366" s="1">
        <f t="shared" si="184"/>
        <v>3306220.95</v>
      </c>
      <c r="S366" s="57">
        <v>3306220.95</v>
      </c>
      <c r="T366" s="128">
        <v>0</v>
      </c>
      <c r="U366" s="1">
        <f t="shared" si="185"/>
        <v>518523.83</v>
      </c>
      <c r="V366" s="89">
        <v>518523.83</v>
      </c>
      <c r="W366" s="89">
        <v>0</v>
      </c>
      <c r="X366" s="1">
        <f t="shared" si="186"/>
        <v>64926.92</v>
      </c>
      <c r="Y366" s="57">
        <v>64926.92</v>
      </c>
      <c r="Z366" s="57">
        <v>0</v>
      </c>
      <c r="AA366" s="2">
        <f t="shared" si="187"/>
        <v>13129.1</v>
      </c>
      <c r="AB366" s="2">
        <v>13129.1</v>
      </c>
      <c r="AC366" s="2">
        <v>0</v>
      </c>
      <c r="AD366" s="16">
        <f t="shared" si="158"/>
        <v>3902800.8000000003</v>
      </c>
      <c r="AE366" s="42">
        <v>97199.2</v>
      </c>
      <c r="AF366" s="2">
        <f t="shared" si="188"/>
        <v>4000000.0000000005</v>
      </c>
      <c r="AG366" s="38" t="s">
        <v>486</v>
      </c>
      <c r="AH366" s="35"/>
      <c r="AI366" s="30">
        <f>390280.08+1188911.03+27628.67+287471.15</f>
        <v>1894290.9300000002</v>
      </c>
      <c r="AJ366" s="30">
        <f>181833.45+39447.43+61152.18</f>
        <v>282433.06</v>
      </c>
    </row>
    <row r="367" spans="1:36" s="179" customFormat="1" ht="141.75" x14ac:dyDescent="0.25">
      <c r="A367" s="6">
        <v>364</v>
      </c>
      <c r="B367" s="31">
        <v>152202</v>
      </c>
      <c r="C367" s="11">
        <v>1110</v>
      </c>
      <c r="D367" s="9" t="s">
        <v>1640</v>
      </c>
      <c r="E367" s="24" t="s">
        <v>1807</v>
      </c>
      <c r="F367" s="27" t="s">
        <v>1854</v>
      </c>
      <c r="G367" s="27" t="s">
        <v>1659</v>
      </c>
      <c r="H367" s="8" t="s">
        <v>151</v>
      </c>
      <c r="I367" s="12" t="s">
        <v>1855</v>
      </c>
      <c r="J367" s="25">
        <v>44498</v>
      </c>
      <c r="K367" s="25">
        <v>44863</v>
      </c>
      <c r="L367" s="26">
        <f t="shared" si="183"/>
        <v>84.999999252634424</v>
      </c>
      <c r="M367" s="39">
        <v>3</v>
      </c>
      <c r="N367" s="11" t="s">
        <v>353</v>
      </c>
      <c r="O367" s="11" t="s">
        <v>1659</v>
      </c>
      <c r="P367" s="27" t="s">
        <v>174</v>
      </c>
      <c r="Q367" s="11" t="s">
        <v>34</v>
      </c>
      <c r="R367" s="1">
        <f t="shared" si="184"/>
        <v>341198.48</v>
      </c>
      <c r="S367" s="57">
        <v>341198.48</v>
      </c>
      <c r="T367" s="128">
        <v>0</v>
      </c>
      <c r="U367" s="1">
        <f t="shared" si="185"/>
        <v>52183.3</v>
      </c>
      <c r="V367" s="89">
        <v>52183.3</v>
      </c>
      <c r="W367" s="89">
        <v>0</v>
      </c>
      <c r="X367" s="1">
        <f t="shared" si="186"/>
        <v>8028.2</v>
      </c>
      <c r="Y367" s="57">
        <v>8028.2</v>
      </c>
      <c r="Z367" s="57">
        <v>0</v>
      </c>
      <c r="AA367" s="2">
        <f t="shared" si="187"/>
        <v>0</v>
      </c>
      <c r="AB367" s="2">
        <v>0</v>
      </c>
      <c r="AC367" s="2">
        <v>0</v>
      </c>
      <c r="AD367" s="16">
        <f t="shared" si="158"/>
        <v>401409.98</v>
      </c>
      <c r="AE367" s="42">
        <v>0</v>
      </c>
      <c r="AF367" s="2">
        <f t="shared" si="188"/>
        <v>401409.98</v>
      </c>
      <c r="AG367" s="38" t="s">
        <v>486</v>
      </c>
      <c r="AH367" s="35"/>
      <c r="AI367" s="30">
        <f>15724.15+34569.5</f>
        <v>50293.65</v>
      </c>
      <c r="AJ367" s="30">
        <f>2404.87+5287.1</f>
        <v>7691.97</v>
      </c>
    </row>
    <row r="368" spans="1:36" s="179" customFormat="1" ht="157.5" x14ac:dyDescent="0.25">
      <c r="A368" s="6">
        <v>365</v>
      </c>
      <c r="B368" s="31">
        <v>151850</v>
      </c>
      <c r="C368" s="11">
        <v>1114</v>
      </c>
      <c r="D368" s="9" t="s">
        <v>1640</v>
      </c>
      <c r="E368" s="24" t="s">
        <v>1807</v>
      </c>
      <c r="F368" s="27" t="s">
        <v>1976</v>
      </c>
      <c r="G368" s="27" t="s">
        <v>935</v>
      </c>
      <c r="H368" s="11" t="s">
        <v>1977</v>
      </c>
      <c r="I368" s="12" t="s">
        <v>1978</v>
      </c>
      <c r="J368" s="25">
        <v>44560</v>
      </c>
      <c r="K368" s="25">
        <v>45046</v>
      </c>
      <c r="L368" s="26">
        <f t="shared" si="183"/>
        <v>85.000001831169087</v>
      </c>
      <c r="M368" s="39">
        <v>3</v>
      </c>
      <c r="N368" s="11" t="s">
        <v>353</v>
      </c>
      <c r="O368" s="11" t="s">
        <v>1576</v>
      </c>
      <c r="P368" s="27" t="s">
        <v>174</v>
      </c>
      <c r="Q368" s="11" t="s">
        <v>34</v>
      </c>
      <c r="R368" s="1">
        <f t="shared" si="184"/>
        <v>255301.39</v>
      </c>
      <c r="S368" s="57">
        <v>255301.39</v>
      </c>
      <c r="T368" s="128">
        <v>0</v>
      </c>
      <c r="U368" s="1">
        <f t="shared" si="185"/>
        <v>30540.21</v>
      </c>
      <c r="V368" s="89">
        <v>30540.21</v>
      </c>
      <c r="W368" s="89">
        <v>0</v>
      </c>
      <c r="X368" s="1">
        <f t="shared" si="186"/>
        <v>14512.97</v>
      </c>
      <c r="Y368" s="57">
        <v>14512.97</v>
      </c>
      <c r="Z368" s="57">
        <v>0</v>
      </c>
      <c r="AA368" s="2">
        <f t="shared" si="187"/>
        <v>0</v>
      </c>
      <c r="AB368" s="2">
        <v>0</v>
      </c>
      <c r="AC368" s="2">
        <v>0</v>
      </c>
      <c r="AD368" s="16">
        <f t="shared" si="158"/>
        <v>300354.57</v>
      </c>
      <c r="AE368" s="42">
        <v>0</v>
      </c>
      <c r="AF368" s="2">
        <f t="shared" si="188"/>
        <v>300354.57</v>
      </c>
      <c r="AG368" s="38" t="s">
        <v>486</v>
      </c>
      <c r="AH368" s="38" t="s">
        <v>2233</v>
      </c>
      <c r="AI368" s="30">
        <v>0</v>
      </c>
      <c r="AJ368" s="30">
        <v>0</v>
      </c>
    </row>
    <row r="369" spans="1:36" s="179" customFormat="1" ht="141.75" x14ac:dyDescent="0.25">
      <c r="A369" s="6">
        <v>366</v>
      </c>
      <c r="B369" s="31">
        <v>155151</v>
      </c>
      <c r="C369" s="11">
        <v>1217</v>
      </c>
      <c r="D369" s="9" t="s">
        <v>1639</v>
      </c>
      <c r="E369" s="24" t="s">
        <v>2024</v>
      </c>
      <c r="F369" s="27" t="s">
        <v>2111</v>
      </c>
      <c r="G369" s="27" t="s">
        <v>350</v>
      </c>
      <c r="H369" s="8" t="s">
        <v>151</v>
      </c>
      <c r="I369" s="12" t="s">
        <v>2824</v>
      </c>
      <c r="J369" s="25">
        <v>44656</v>
      </c>
      <c r="K369" s="25">
        <v>45143</v>
      </c>
      <c r="L369" s="26">
        <f t="shared" si="183"/>
        <v>85</v>
      </c>
      <c r="M369" s="39">
        <v>3</v>
      </c>
      <c r="N369" s="11" t="s">
        <v>353</v>
      </c>
      <c r="O369" s="11" t="s">
        <v>2110</v>
      </c>
      <c r="P369" s="27" t="s">
        <v>174</v>
      </c>
      <c r="Q369" s="11" t="s">
        <v>34</v>
      </c>
      <c r="R369" s="1">
        <f t="shared" si="184"/>
        <v>3396464</v>
      </c>
      <c r="S369" s="57">
        <v>3396464</v>
      </c>
      <c r="T369" s="128">
        <v>0</v>
      </c>
      <c r="U369" s="1">
        <f t="shared" si="185"/>
        <v>519459.2</v>
      </c>
      <c r="V369" s="89">
        <v>519459.2</v>
      </c>
      <c r="W369" s="89">
        <v>0</v>
      </c>
      <c r="X369" s="1">
        <f t="shared" si="186"/>
        <v>79916.800000000003</v>
      </c>
      <c r="Y369" s="57">
        <v>79916.800000000003</v>
      </c>
      <c r="Z369" s="57">
        <v>0</v>
      </c>
      <c r="AA369" s="2">
        <f t="shared" si="187"/>
        <v>0</v>
      </c>
      <c r="AB369" s="2">
        <v>0</v>
      </c>
      <c r="AC369" s="2">
        <v>0</v>
      </c>
      <c r="AD369" s="16">
        <f t="shared" si="158"/>
        <v>3995840</v>
      </c>
      <c r="AE369" s="42">
        <v>0</v>
      </c>
      <c r="AF369" s="2">
        <f t="shared" si="188"/>
        <v>3995840</v>
      </c>
      <c r="AG369" s="38" t="s">
        <v>486</v>
      </c>
      <c r="AH369" s="35"/>
      <c r="AI369" s="30">
        <v>399584</v>
      </c>
      <c r="AJ369" s="30">
        <v>0</v>
      </c>
    </row>
    <row r="370" spans="1:36" s="179" customFormat="1" ht="141.75" x14ac:dyDescent="0.25">
      <c r="A370" s="6">
        <v>367</v>
      </c>
      <c r="B370" s="31">
        <v>155222</v>
      </c>
      <c r="C370" s="11">
        <v>1234</v>
      </c>
      <c r="D370" s="9" t="s">
        <v>1639</v>
      </c>
      <c r="E370" s="24" t="s">
        <v>2024</v>
      </c>
      <c r="F370" s="27" t="s">
        <v>2122</v>
      </c>
      <c r="G370" s="27" t="s">
        <v>1576</v>
      </c>
      <c r="H370" s="8" t="s">
        <v>151</v>
      </c>
      <c r="I370" s="12" t="s">
        <v>2825</v>
      </c>
      <c r="J370" s="25">
        <v>44658</v>
      </c>
      <c r="K370" s="25">
        <v>45145</v>
      </c>
      <c r="L370" s="26">
        <f t="shared" si="183"/>
        <v>85</v>
      </c>
      <c r="M370" s="39">
        <v>3</v>
      </c>
      <c r="N370" s="11" t="s">
        <v>353</v>
      </c>
      <c r="O370" s="11" t="s">
        <v>2123</v>
      </c>
      <c r="P370" s="27" t="s">
        <v>174</v>
      </c>
      <c r="Q370" s="11" t="s">
        <v>34</v>
      </c>
      <c r="R370" s="1">
        <f t="shared" si="184"/>
        <v>2518108</v>
      </c>
      <c r="S370" s="57">
        <v>2518108</v>
      </c>
      <c r="T370" s="128">
        <v>0</v>
      </c>
      <c r="U370" s="1">
        <f t="shared" si="185"/>
        <v>385122.4</v>
      </c>
      <c r="V370" s="89">
        <v>385122.4</v>
      </c>
      <c r="W370" s="89">
        <v>0</v>
      </c>
      <c r="X370" s="1">
        <f t="shared" si="186"/>
        <v>59249.599999999999</v>
      </c>
      <c r="Y370" s="57">
        <v>59249.599999999999</v>
      </c>
      <c r="Z370" s="57">
        <v>0</v>
      </c>
      <c r="AA370" s="2">
        <f t="shared" si="187"/>
        <v>0</v>
      </c>
      <c r="AB370" s="2">
        <v>0</v>
      </c>
      <c r="AC370" s="2">
        <v>0</v>
      </c>
      <c r="AD370" s="16">
        <f t="shared" si="158"/>
        <v>2962480</v>
      </c>
      <c r="AE370" s="42">
        <v>0</v>
      </c>
      <c r="AF370" s="2">
        <f t="shared" si="188"/>
        <v>2962480</v>
      </c>
      <c r="AG370" s="38" t="s">
        <v>486</v>
      </c>
      <c r="AH370" s="35"/>
      <c r="AI370" s="30">
        <v>279800</v>
      </c>
      <c r="AJ370" s="30">
        <v>0</v>
      </c>
    </row>
    <row r="371" spans="1:36" s="179" customFormat="1" ht="283.5" x14ac:dyDescent="0.25">
      <c r="A371" s="6">
        <v>368</v>
      </c>
      <c r="B371" s="31">
        <v>155167</v>
      </c>
      <c r="C371" s="11">
        <v>1201</v>
      </c>
      <c r="D371" s="9" t="s">
        <v>1639</v>
      </c>
      <c r="E371" s="24" t="s">
        <v>2024</v>
      </c>
      <c r="F371" s="27" t="s">
        <v>2186</v>
      </c>
      <c r="G371" s="27" t="s">
        <v>1659</v>
      </c>
      <c r="H371" s="8" t="s">
        <v>151</v>
      </c>
      <c r="I371" s="12" t="s">
        <v>2826</v>
      </c>
      <c r="J371" s="25">
        <v>44679</v>
      </c>
      <c r="K371" s="25">
        <v>45166</v>
      </c>
      <c r="L371" s="26">
        <f t="shared" si="183"/>
        <v>84.999999707858606</v>
      </c>
      <c r="M371" s="39">
        <v>3</v>
      </c>
      <c r="N371" s="11" t="s">
        <v>353</v>
      </c>
      <c r="O371" s="11" t="s">
        <v>2187</v>
      </c>
      <c r="P371" s="27" t="s">
        <v>174</v>
      </c>
      <c r="Q371" s="11" t="s">
        <v>34</v>
      </c>
      <c r="R371" s="1">
        <f t="shared" si="184"/>
        <v>2909549.99</v>
      </c>
      <c r="S371" s="57">
        <v>2909549.99</v>
      </c>
      <c r="T371" s="128">
        <v>0</v>
      </c>
      <c r="U371" s="1">
        <f t="shared" si="185"/>
        <v>444990</v>
      </c>
      <c r="V371" s="89">
        <v>444990</v>
      </c>
      <c r="W371" s="89">
        <v>0</v>
      </c>
      <c r="X371" s="1">
        <f t="shared" si="186"/>
        <v>68460.009999999995</v>
      </c>
      <c r="Y371" s="57">
        <v>68460.009999999995</v>
      </c>
      <c r="Z371" s="57">
        <v>0</v>
      </c>
      <c r="AA371" s="2">
        <f t="shared" si="187"/>
        <v>0</v>
      </c>
      <c r="AB371" s="2">
        <v>0</v>
      </c>
      <c r="AC371" s="2">
        <v>0</v>
      </c>
      <c r="AD371" s="16">
        <f t="shared" si="158"/>
        <v>3423000</v>
      </c>
      <c r="AE371" s="42">
        <v>0</v>
      </c>
      <c r="AF371" s="2">
        <f t="shared" si="188"/>
        <v>3423000</v>
      </c>
      <c r="AG371" s="38" t="s">
        <v>486</v>
      </c>
      <c r="AH371" s="35"/>
      <c r="AI371" s="30">
        <v>0</v>
      </c>
      <c r="AJ371" s="30">
        <v>0</v>
      </c>
    </row>
    <row r="372" spans="1:36" s="179" customFormat="1" ht="173.25" x14ac:dyDescent="0.25">
      <c r="A372" s="6">
        <v>369</v>
      </c>
      <c r="B372" s="31">
        <v>119235</v>
      </c>
      <c r="C372" s="11">
        <v>479</v>
      </c>
      <c r="D372" s="9" t="s">
        <v>1639</v>
      </c>
      <c r="E372" s="32" t="s">
        <v>457</v>
      </c>
      <c r="F372" s="11" t="s">
        <v>536</v>
      </c>
      <c r="G372" s="11" t="s">
        <v>1512</v>
      </c>
      <c r="H372" s="8" t="s">
        <v>151</v>
      </c>
      <c r="I372" s="32" t="s">
        <v>2827</v>
      </c>
      <c r="J372" s="25">
        <v>43276</v>
      </c>
      <c r="K372" s="25">
        <v>43702</v>
      </c>
      <c r="L372" s="26">
        <f t="shared" ref="L372:L380" si="189">R372/AD372*100</f>
        <v>84.999999139224727</v>
      </c>
      <c r="M372" s="27">
        <v>5</v>
      </c>
      <c r="N372" s="27" t="s">
        <v>537</v>
      </c>
      <c r="O372" s="27" t="s">
        <v>538</v>
      </c>
      <c r="P372" s="27" t="s">
        <v>174</v>
      </c>
      <c r="Q372" s="27" t="s">
        <v>460</v>
      </c>
      <c r="R372" s="1">
        <f t="shared" ref="R372:R380" si="190">S372+T372</f>
        <v>246870.47</v>
      </c>
      <c r="S372" s="30">
        <v>246870.47</v>
      </c>
      <c r="T372" s="57">
        <v>0</v>
      </c>
      <c r="U372" s="1">
        <f t="shared" ref="U372:U376" si="191">V372+W372</f>
        <v>37756.660000000003</v>
      </c>
      <c r="V372" s="42">
        <v>37756.660000000003</v>
      </c>
      <c r="W372" s="89">
        <v>0</v>
      </c>
      <c r="X372" s="1">
        <f t="shared" ref="X372:X380" si="192">Y372+Z372</f>
        <v>5808.72</v>
      </c>
      <c r="Y372" s="30">
        <v>5808.72</v>
      </c>
      <c r="Z372" s="57">
        <v>0</v>
      </c>
      <c r="AA372" s="2">
        <f>AB372+AC372</f>
        <v>0</v>
      </c>
      <c r="AB372" s="129">
        <v>0</v>
      </c>
      <c r="AC372" s="129">
        <v>0</v>
      </c>
      <c r="AD372" s="16">
        <f t="shared" si="158"/>
        <v>290435.84999999998</v>
      </c>
      <c r="AE372" s="35"/>
      <c r="AF372" s="2">
        <f t="shared" ref="AF372:AF380" si="193">AD372+AE372</f>
        <v>290435.84999999998</v>
      </c>
      <c r="AG372" s="21" t="s">
        <v>857</v>
      </c>
      <c r="AH372" s="74" t="s">
        <v>294</v>
      </c>
      <c r="AI372" s="30">
        <v>202756.04</v>
      </c>
      <c r="AJ372" s="30">
        <v>31009.739999999998</v>
      </c>
    </row>
    <row r="373" spans="1:36" s="179" customFormat="1" ht="141.75" x14ac:dyDescent="0.25">
      <c r="A373" s="6">
        <v>370</v>
      </c>
      <c r="B373" s="31">
        <v>119160</v>
      </c>
      <c r="C373" s="11">
        <v>482</v>
      </c>
      <c r="D373" s="9" t="s">
        <v>1639</v>
      </c>
      <c r="E373" s="32" t="s">
        <v>457</v>
      </c>
      <c r="F373" s="11" t="s">
        <v>667</v>
      </c>
      <c r="G373" s="11" t="s">
        <v>668</v>
      </c>
      <c r="H373" s="8" t="s">
        <v>151</v>
      </c>
      <c r="I373" s="32" t="s">
        <v>669</v>
      </c>
      <c r="J373" s="25">
        <v>43304</v>
      </c>
      <c r="K373" s="25">
        <v>43974</v>
      </c>
      <c r="L373" s="26">
        <f t="shared" si="189"/>
        <v>84.99999840000666</v>
      </c>
      <c r="M373" s="27">
        <v>5</v>
      </c>
      <c r="N373" s="27" t="s">
        <v>537</v>
      </c>
      <c r="O373" s="27" t="s">
        <v>670</v>
      </c>
      <c r="P373" s="27" t="s">
        <v>174</v>
      </c>
      <c r="Q373" s="11" t="s">
        <v>34</v>
      </c>
      <c r="R373" s="1">
        <f t="shared" si="190"/>
        <v>212500.88</v>
      </c>
      <c r="S373" s="30">
        <v>212500.88</v>
      </c>
      <c r="T373" s="57">
        <v>0</v>
      </c>
      <c r="U373" s="1">
        <f t="shared" si="191"/>
        <v>32500.1</v>
      </c>
      <c r="V373" s="42">
        <v>32500.1</v>
      </c>
      <c r="W373" s="89">
        <v>0</v>
      </c>
      <c r="X373" s="1">
        <f t="shared" si="192"/>
        <v>5000.0600000000004</v>
      </c>
      <c r="Y373" s="30">
        <v>5000.0600000000004</v>
      </c>
      <c r="Z373" s="57">
        <v>0</v>
      </c>
      <c r="AA373" s="2">
        <f>AB373+AC373</f>
        <v>0</v>
      </c>
      <c r="AB373" s="2">
        <v>0</v>
      </c>
      <c r="AC373" s="2">
        <v>0</v>
      </c>
      <c r="AD373" s="16">
        <f t="shared" si="158"/>
        <v>250001.04</v>
      </c>
      <c r="AE373" s="35"/>
      <c r="AF373" s="2">
        <f t="shared" si="193"/>
        <v>250001.04</v>
      </c>
      <c r="AG373" s="38" t="s">
        <v>857</v>
      </c>
      <c r="AH373" s="74" t="s">
        <v>1438</v>
      </c>
      <c r="AI373" s="30">
        <f>136389.48+39853.1</f>
        <v>176242.58000000002</v>
      </c>
      <c r="AJ373" s="30">
        <f>20859.59+6095.18</f>
        <v>26954.77</v>
      </c>
    </row>
    <row r="374" spans="1:36" s="179" customFormat="1" ht="173.25" x14ac:dyDescent="0.25">
      <c r="A374" s="6">
        <v>371</v>
      </c>
      <c r="B374" s="31">
        <v>117063</v>
      </c>
      <c r="C374" s="11">
        <v>411</v>
      </c>
      <c r="D374" s="32" t="s">
        <v>1640</v>
      </c>
      <c r="E374" s="11" t="s">
        <v>507</v>
      </c>
      <c r="F374" s="11" t="s">
        <v>709</v>
      </c>
      <c r="G374" s="11" t="s">
        <v>668</v>
      </c>
      <c r="H374" s="8" t="s">
        <v>151</v>
      </c>
      <c r="I374" s="32" t="s">
        <v>2828</v>
      </c>
      <c r="J374" s="25">
        <v>43313</v>
      </c>
      <c r="K374" s="25">
        <v>43800</v>
      </c>
      <c r="L374" s="26">
        <f t="shared" si="189"/>
        <v>85</v>
      </c>
      <c r="M374" s="11">
        <v>5</v>
      </c>
      <c r="N374" s="27" t="s">
        <v>537</v>
      </c>
      <c r="O374" s="11" t="s">
        <v>670</v>
      </c>
      <c r="P374" s="11" t="s">
        <v>174</v>
      </c>
      <c r="Q374" s="11" t="s">
        <v>460</v>
      </c>
      <c r="R374" s="1">
        <f t="shared" si="190"/>
        <v>213015.1</v>
      </c>
      <c r="S374" s="30">
        <v>213015.1</v>
      </c>
      <c r="T374" s="36">
        <v>0</v>
      </c>
      <c r="U374" s="1">
        <f t="shared" si="191"/>
        <v>32578.78</v>
      </c>
      <c r="V374" s="42">
        <v>32578.78</v>
      </c>
      <c r="W374" s="89">
        <v>0</v>
      </c>
      <c r="X374" s="1">
        <f t="shared" si="192"/>
        <v>5012.12</v>
      </c>
      <c r="Y374" s="51">
        <v>5012.12</v>
      </c>
      <c r="Z374" s="51">
        <v>0</v>
      </c>
      <c r="AA374" s="2">
        <f>AB374+AC374</f>
        <v>0</v>
      </c>
      <c r="AB374" s="2">
        <v>0</v>
      </c>
      <c r="AC374" s="2">
        <v>0</v>
      </c>
      <c r="AD374" s="16">
        <f t="shared" si="158"/>
        <v>250606</v>
      </c>
      <c r="AE374" s="35"/>
      <c r="AF374" s="2">
        <f t="shared" si="193"/>
        <v>250606</v>
      </c>
      <c r="AG374" s="21" t="s">
        <v>857</v>
      </c>
      <c r="AH374" s="38" t="s">
        <v>1148</v>
      </c>
      <c r="AI374" s="118">
        <v>148385.51999999999</v>
      </c>
      <c r="AJ374" s="118">
        <v>22694.260000000002</v>
      </c>
    </row>
    <row r="375" spans="1:36" s="179" customFormat="1" ht="157.5" x14ac:dyDescent="0.25">
      <c r="A375" s="6">
        <v>372</v>
      </c>
      <c r="B375" s="31">
        <v>126522</v>
      </c>
      <c r="C375" s="11">
        <v>554</v>
      </c>
      <c r="D375" s="9" t="s">
        <v>1639</v>
      </c>
      <c r="E375" s="24" t="s">
        <v>899</v>
      </c>
      <c r="F375" s="27" t="s">
        <v>1031</v>
      </c>
      <c r="G375" s="11" t="s">
        <v>1512</v>
      </c>
      <c r="H375" s="8" t="s">
        <v>151</v>
      </c>
      <c r="I375" s="32" t="s">
        <v>1032</v>
      </c>
      <c r="J375" s="25">
        <v>43556</v>
      </c>
      <c r="K375" s="25">
        <v>44866</v>
      </c>
      <c r="L375" s="26">
        <f t="shared" si="189"/>
        <v>85.0000001266326</v>
      </c>
      <c r="M375" s="11">
        <v>5</v>
      </c>
      <c r="N375" s="27" t="s">
        <v>537</v>
      </c>
      <c r="O375" s="11" t="s">
        <v>538</v>
      </c>
      <c r="P375" s="11" t="s">
        <v>174</v>
      </c>
      <c r="Q375" s="11" t="s">
        <v>460</v>
      </c>
      <c r="R375" s="1">
        <f t="shared" si="190"/>
        <v>3356165.93</v>
      </c>
      <c r="S375" s="30">
        <v>3356165.93</v>
      </c>
      <c r="T375" s="36">
        <v>0</v>
      </c>
      <c r="U375" s="1">
        <f t="shared" si="191"/>
        <v>513295.96</v>
      </c>
      <c r="V375" s="42">
        <v>513295.96</v>
      </c>
      <c r="W375" s="89">
        <v>0</v>
      </c>
      <c r="X375" s="1">
        <f t="shared" si="192"/>
        <v>78968.61</v>
      </c>
      <c r="Y375" s="51">
        <v>78968.61</v>
      </c>
      <c r="Z375" s="51">
        <v>0</v>
      </c>
      <c r="AA375" s="2">
        <v>0</v>
      </c>
      <c r="AB375" s="2">
        <v>0</v>
      </c>
      <c r="AC375" s="2">
        <v>0</v>
      </c>
      <c r="AD375" s="16">
        <f t="shared" si="158"/>
        <v>3948430.5</v>
      </c>
      <c r="AE375" s="35"/>
      <c r="AF375" s="2">
        <f t="shared" si="193"/>
        <v>3948430.5</v>
      </c>
      <c r="AG375" s="38" t="s">
        <v>486</v>
      </c>
      <c r="AH375" s="38" t="s">
        <v>1879</v>
      </c>
      <c r="AI375" s="118">
        <f>129133.7+27747.4+291574.82+647249.5+380477.38+97969.94+101499.14+13175.85</f>
        <v>1688827.7299999997</v>
      </c>
      <c r="AJ375" s="118">
        <f>19749.87+4243.72+44593.8+98991.1+58190.66+14983.64+15523.4+2015.13</f>
        <v>258291.31999999998</v>
      </c>
    </row>
    <row r="376" spans="1:36" s="179" customFormat="1" ht="141" customHeight="1" x14ac:dyDescent="0.25">
      <c r="A376" s="6">
        <v>373</v>
      </c>
      <c r="B376" s="31">
        <v>135760</v>
      </c>
      <c r="C376" s="11">
        <v>784</v>
      </c>
      <c r="D376" s="9" t="s">
        <v>1639</v>
      </c>
      <c r="E376" s="24" t="s">
        <v>1441</v>
      </c>
      <c r="F376" s="27" t="s">
        <v>1461</v>
      </c>
      <c r="G376" s="11" t="s">
        <v>1462</v>
      </c>
      <c r="H376" s="8" t="s">
        <v>151</v>
      </c>
      <c r="I376" s="32" t="s">
        <v>2829</v>
      </c>
      <c r="J376" s="25">
        <v>43959</v>
      </c>
      <c r="K376" s="25">
        <v>44600</v>
      </c>
      <c r="L376" s="26">
        <f t="shared" si="189"/>
        <v>85</v>
      </c>
      <c r="M376" s="11">
        <v>5</v>
      </c>
      <c r="N376" s="27" t="s">
        <v>537</v>
      </c>
      <c r="O376" s="27" t="s">
        <v>670</v>
      </c>
      <c r="P376" s="11" t="s">
        <v>174</v>
      </c>
      <c r="Q376" s="11" t="s">
        <v>1450</v>
      </c>
      <c r="R376" s="1">
        <f t="shared" si="190"/>
        <v>479451</v>
      </c>
      <c r="S376" s="30">
        <v>479451</v>
      </c>
      <c r="T376" s="36">
        <v>0</v>
      </c>
      <c r="U376" s="1">
        <f t="shared" si="191"/>
        <v>73327.8</v>
      </c>
      <c r="V376" s="42">
        <v>73327.8</v>
      </c>
      <c r="W376" s="89">
        <v>0</v>
      </c>
      <c r="X376" s="1">
        <f t="shared" si="192"/>
        <v>11281.2</v>
      </c>
      <c r="Y376" s="51">
        <v>11281.2</v>
      </c>
      <c r="Z376" s="51">
        <v>0</v>
      </c>
      <c r="AA376" s="2">
        <v>0</v>
      </c>
      <c r="AB376" s="2">
        <v>0</v>
      </c>
      <c r="AC376" s="2">
        <v>0</v>
      </c>
      <c r="AD376" s="16">
        <f t="shared" si="158"/>
        <v>564060</v>
      </c>
      <c r="AE376" s="35">
        <v>0</v>
      </c>
      <c r="AF376" s="2">
        <f t="shared" si="193"/>
        <v>564060</v>
      </c>
      <c r="AG376" s="38" t="s">
        <v>857</v>
      </c>
      <c r="AH376" s="38" t="s">
        <v>1923</v>
      </c>
      <c r="AI376" s="118">
        <f>859.78+94312.26+269131.83+58675.09</f>
        <v>422978.95999999996</v>
      </c>
      <c r="AJ376" s="118">
        <f>131.5+14424.23+41161.34+8973.84</f>
        <v>64690.909999999989</v>
      </c>
    </row>
    <row r="377" spans="1:36" s="179" customFormat="1" ht="189" x14ac:dyDescent="0.25">
      <c r="A377" s="6">
        <v>374</v>
      </c>
      <c r="B377" s="31">
        <v>136091</v>
      </c>
      <c r="C377" s="11">
        <v>847</v>
      </c>
      <c r="D377" s="9" t="s">
        <v>1639</v>
      </c>
      <c r="E377" s="24" t="s">
        <v>1441</v>
      </c>
      <c r="F377" s="27" t="s">
        <v>1511</v>
      </c>
      <c r="G377" s="11" t="s">
        <v>1512</v>
      </c>
      <c r="H377" s="11" t="s">
        <v>1513</v>
      </c>
      <c r="I377" s="32" t="s">
        <v>2830</v>
      </c>
      <c r="J377" s="25">
        <v>43973</v>
      </c>
      <c r="K377" s="25">
        <v>45191</v>
      </c>
      <c r="L377" s="26">
        <f t="shared" si="189"/>
        <v>85</v>
      </c>
      <c r="M377" s="11">
        <v>5</v>
      </c>
      <c r="N377" s="27" t="s">
        <v>537</v>
      </c>
      <c r="O377" s="11" t="s">
        <v>538</v>
      </c>
      <c r="P377" s="11" t="s">
        <v>174</v>
      </c>
      <c r="Q377" s="11" t="s">
        <v>34</v>
      </c>
      <c r="R377" s="1">
        <f t="shared" si="190"/>
        <v>2381041.25</v>
      </c>
      <c r="S377" s="30">
        <v>2381041.25</v>
      </c>
      <c r="T377" s="36">
        <v>0</v>
      </c>
      <c r="U377" s="1">
        <f>V377+W377</f>
        <v>364159.25</v>
      </c>
      <c r="V377" s="42">
        <v>364159.25</v>
      </c>
      <c r="W377" s="89">
        <v>0</v>
      </c>
      <c r="X377" s="1">
        <f t="shared" si="192"/>
        <v>56024.5</v>
      </c>
      <c r="Y377" s="51">
        <v>56024.5</v>
      </c>
      <c r="Z377" s="51">
        <v>0</v>
      </c>
      <c r="AA377" s="2">
        <v>0</v>
      </c>
      <c r="AB377" s="2">
        <v>0</v>
      </c>
      <c r="AC377" s="2">
        <v>0</v>
      </c>
      <c r="AD377" s="16">
        <f t="shared" si="158"/>
        <v>2801225</v>
      </c>
      <c r="AE377" s="35">
        <v>0</v>
      </c>
      <c r="AF377" s="2">
        <f t="shared" si="193"/>
        <v>2801225</v>
      </c>
      <c r="AG377" s="38" t="s">
        <v>486</v>
      </c>
      <c r="AH377" s="38" t="s">
        <v>2009</v>
      </c>
      <c r="AI377" s="118">
        <f>38897.7+155670.76</f>
        <v>194568.46000000002</v>
      </c>
      <c r="AJ377" s="118">
        <f>5949.06+23808.47</f>
        <v>29757.530000000002</v>
      </c>
    </row>
    <row r="378" spans="1:36" s="179" customFormat="1" ht="173.25" x14ac:dyDescent="0.25">
      <c r="A378" s="6">
        <v>375</v>
      </c>
      <c r="B378" s="31">
        <v>151977</v>
      </c>
      <c r="C378" s="11">
        <v>1102</v>
      </c>
      <c r="D378" s="9" t="s">
        <v>1640</v>
      </c>
      <c r="E378" s="24" t="s">
        <v>1807</v>
      </c>
      <c r="F378" s="27" t="s">
        <v>1808</v>
      </c>
      <c r="G378" s="11" t="s">
        <v>1512</v>
      </c>
      <c r="H378" s="8" t="s">
        <v>151</v>
      </c>
      <c r="I378" s="32" t="s">
        <v>1809</v>
      </c>
      <c r="J378" s="25">
        <v>44454</v>
      </c>
      <c r="K378" s="25">
        <v>44880</v>
      </c>
      <c r="L378" s="26">
        <f t="shared" si="189"/>
        <v>85.000000000000014</v>
      </c>
      <c r="M378" s="11">
        <v>5</v>
      </c>
      <c r="N378" s="27" t="s">
        <v>537</v>
      </c>
      <c r="O378" s="11" t="s">
        <v>538</v>
      </c>
      <c r="P378" s="11" t="s">
        <v>174</v>
      </c>
      <c r="Q378" s="11" t="s">
        <v>34</v>
      </c>
      <c r="R378" s="1">
        <f t="shared" si="190"/>
        <v>350749.1</v>
      </c>
      <c r="S378" s="30">
        <v>350749.1</v>
      </c>
      <c r="T378" s="36">
        <v>0</v>
      </c>
      <c r="U378" s="1">
        <f>V378+W378</f>
        <v>53643.98</v>
      </c>
      <c r="V378" s="42">
        <v>53643.98</v>
      </c>
      <c r="W378" s="89">
        <v>0</v>
      </c>
      <c r="X378" s="1">
        <f t="shared" si="192"/>
        <v>8252.92</v>
      </c>
      <c r="Y378" s="51">
        <v>8252.92</v>
      </c>
      <c r="Z378" s="51">
        <v>0</v>
      </c>
      <c r="AA378" s="2">
        <v>0</v>
      </c>
      <c r="AB378" s="2">
        <v>0</v>
      </c>
      <c r="AC378" s="2">
        <v>0</v>
      </c>
      <c r="AD378" s="16">
        <f t="shared" si="158"/>
        <v>412645.99999999994</v>
      </c>
      <c r="AE378" s="35">
        <v>0</v>
      </c>
      <c r="AF378" s="2">
        <f t="shared" si="193"/>
        <v>412645.99999999994</v>
      </c>
      <c r="AG378" s="38" t="s">
        <v>486</v>
      </c>
      <c r="AH378" s="38" t="s">
        <v>151</v>
      </c>
      <c r="AI378" s="118">
        <v>50435.27</v>
      </c>
      <c r="AJ378" s="118">
        <v>7713.63</v>
      </c>
    </row>
    <row r="379" spans="1:36" s="179" customFormat="1" ht="283.5" x14ac:dyDescent="0.25">
      <c r="A379" s="6">
        <v>376</v>
      </c>
      <c r="B379" s="31">
        <v>154615</v>
      </c>
      <c r="C379" s="11">
        <v>1220</v>
      </c>
      <c r="D379" s="9" t="s">
        <v>1639</v>
      </c>
      <c r="E379" s="24" t="s">
        <v>2024</v>
      </c>
      <c r="F379" s="27" t="s">
        <v>2197</v>
      </c>
      <c r="G379" s="11" t="s">
        <v>668</v>
      </c>
      <c r="H379" s="8" t="s">
        <v>151</v>
      </c>
      <c r="I379" s="32" t="s">
        <v>2831</v>
      </c>
      <c r="J379" s="25">
        <v>44685</v>
      </c>
      <c r="K379" s="25">
        <v>45173</v>
      </c>
      <c r="L379" s="26">
        <f t="shared" si="189"/>
        <v>85.000000025764805</v>
      </c>
      <c r="M379" s="11">
        <v>5</v>
      </c>
      <c r="N379" s="27" t="s">
        <v>537</v>
      </c>
      <c r="O379" s="11" t="s">
        <v>670</v>
      </c>
      <c r="P379" s="11" t="s">
        <v>174</v>
      </c>
      <c r="Q379" s="11" t="s">
        <v>460</v>
      </c>
      <c r="R379" s="1">
        <f t="shared" si="190"/>
        <v>3299072.65</v>
      </c>
      <c r="S379" s="30">
        <v>3299072.65</v>
      </c>
      <c r="T379" s="36">
        <v>0</v>
      </c>
      <c r="U379" s="1">
        <f>V379+W379</f>
        <v>504564.04</v>
      </c>
      <c r="V379" s="42">
        <v>504564.04</v>
      </c>
      <c r="W379" s="89">
        <v>0</v>
      </c>
      <c r="X379" s="1">
        <f t="shared" si="192"/>
        <v>77625.25</v>
      </c>
      <c r="Y379" s="51">
        <v>77625.25</v>
      </c>
      <c r="Z379" s="51">
        <v>0</v>
      </c>
      <c r="AA379" s="2">
        <v>0</v>
      </c>
      <c r="AB379" s="2">
        <v>0</v>
      </c>
      <c r="AC379" s="2">
        <v>0</v>
      </c>
      <c r="AD379" s="16">
        <f t="shared" si="158"/>
        <v>3881261.94</v>
      </c>
      <c r="AE379" s="35">
        <v>0</v>
      </c>
      <c r="AF379" s="2">
        <f t="shared" si="193"/>
        <v>3881261.94</v>
      </c>
      <c r="AG379" s="38" t="s">
        <v>486</v>
      </c>
      <c r="AH379" s="38" t="s">
        <v>151</v>
      </c>
      <c r="AI379" s="118">
        <v>0</v>
      </c>
      <c r="AJ379" s="118">
        <v>0</v>
      </c>
    </row>
    <row r="380" spans="1:36" s="179" customFormat="1" ht="141.75" x14ac:dyDescent="0.25">
      <c r="A380" s="6">
        <v>377</v>
      </c>
      <c r="B380" s="31">
        <v>155110</v>
      </c>
      <c r="C380" s="11">
        <v>1186</v>
      </c>
      <c r="D380" s="9" t="s">
        <v>1639</v>
      </c>
      <c r="E380" s="24" t="s">
        <v>2024</v>
      </c>
      <c r="F380" s="27" t="s">
        <v>2220</v>
      </c>
      <c r="G380" s="11" t="s">
        <v>1462</v>
      </c>
      <c r="H380" s="8" t="s">
        <v>151</v>
      </c>
      <c r="I380" s="32" t="s">
        <v>2832</v>
      </c>
      <c r="J380" s="25">
        <v>44697</v>
      </c>
      <c r="K380" s="25">
        <v>45185</v>
      </c>
      <c r="L380" s="26">
        <f t="shared" si="189"/>
        <v>85.00000016838716</v>
      </c>
      <c r="M380" s="11">
        <v>5</v>
      </c>
      <c r="N380" s="27" t="s">
        <v>537</v>
      </c>
      <c r="O380" s="11" t="s">
        <v>670</v>
      </c>
      <c r="P380" s="11" t="s">
        <v>174</v>
      </c>
      <c r="Q380" s="11" t="s">
        <v>460</v>
      </c>
      <c r="R380" s="1">
        <f t="shared" si="190"/>
        <v>2523945.38</v>
      </c>
      <c r="S380" s="30">
        <v>2523945.38</v>
      </c>
      <c r="T380" s="36">
        <v>0</v>
      </c>
      <c r="U380" s="1">
        <f>V380+W380</f>
        <v>386015.17</v>
      </c>
      <c r="V380" s="42">
        <v>386015.17</v>
      </c>
      <c r="W380" s="89">
        <v>0</v>
      </c>
      <c r="X380" s="1">
        <f t="shared" si="192"/>
        <v>59386.95</v>
      </c>
      <c r="Y380" s="51">
        <v>59386.95</v>
      </c>
      <c r="Z380" s="51">
        <v>0</v>
      </c>
      <c r="AA380" s="2">
        <v>0</v>
      </c>
      <c r="AB380" s="2">
        <v>0</v>
      </c>
      <c r="AC380" s="2">
        <v>0</v>
      </c>
      <c r="AD380" s="16">
        <f t="shared" si="158"/>
        <v>2969347.5</v>
      </c>
      <c r="AE380" s="35">
        <v>0</v>
      </c>
      <c r="AF380" s="2">
        <f t="shared" si="193"/>
        <v>2969347.5</v>
      </c>
      <c r="AG380" s="38" t="s">
        <v>486</v>
      </c>
      <c r="AH380" s="38" t="s">
        <v>151</v>
      </c>
      <c r="AI380" s="118">
        <v>0</v>
      </c>
      <c r="AJ380" s="118">
        <v>0</v>
      </c>
    </row>
    <row r="381" spans="1:36" s="179" customFormat="1" ht="189" x14ac:dyDescent="0.25">
      <c r="A381" s="6">
        <v>378</v>
      </c>
      <c r="B381" s="31">
        <v>119289</v>
      </c>
      <c r="C381" s="11">
        <v>484</v>
      </c>
      <c r="D381" s="9" t="s">
        <v>1639</v>
      </c>
      <c r="E381" s="11" t="s">
        <v>457</v>
      </c>
      <c r="F381" s="11" t="s">
        <v>519</v>
      </c>
      <c r="G381" s="11" t="s">
        <v>520</v>
      </c>
      <c r="H381" s="8" t="s">
        <v>151</v>
      </c>
      <c r="I381" s="46" t="s">
        <v>2833</v>
      </c>
      <c r="J381" s="25">
        <v>43271</v>
      </c>
      <c r="K381" s="25">
        <v>43941</v>
      </c>
      <c r="L381" s="26">
        <f t="shared" ref="L381:L400" si="194">R381/AD381*100</f>
        <v>85.000003319296809</v>
      </c>
      <c r="M381" s="39">
        <v>3</v>
      </c>
      <c r="N381" s="11" t="s">
        <v>485</v>
      </c>
      <c r="O381" s="11" t="s">
        <v>485</v>
      </c>
      <c r="P381" s="11" t="s">
        <v>174</v>
      </c>
      <c r="Q381" s="11" t="s">
        <v>460</v>
      </c>
      <c r="R381" s="1">
        <f t="shared" ref="R381:R413" si="195">S381+T381</f>
        <v>332901.85000000009</v>
      </c>
      <c r="S381" s="37">
        <v>332901.85000000009</v>
      </c>
      <c r="T381" s="37">
        <v>0</v>
      </c>
      <c r="U381" s="1">
        <f t="shared" ref="U381:U413" si="196">V381+W381</f>
        <v>50914.380000000005</v>
      </c>
      <c r="V381" s="42">
        <v>50914.380000000005</v>
      </c>
      <c r="W381" s="42">
        <v>0</v>
      </c>
      <c r="X381" s="1">
        <f t="shared" ref="X381:X413" si="197">Y381+Z381</f>
        <v>7832.9900000000016</v>
      </c>
      <c r="Y381" s="30">
        <v>7832.9900000000016</v>
      </c>
      <c r="Z381" s="30">
        <v>0</v>
      </c>
      <c r="AA381" s="2">
        <f t="shared" ref="AA381:AA413" si="198">AB381+AC381</f>
        <v>0</v>
      </c>
      <c r="AB381" s="41">
        <v>0</v>
      </c>
      <c r="AC381" s="41">
        <v>0</v>
      </c>
      <c r="AD381" s="16">
        <f t="shared" si="158"/>
        <v>391649.22000000009</v>
      </c>
      <c r="AE381" s="37">
        <f>1018.08+193.44</f>
        <v>1211.52</v>
      </c>
      <c r="AF381" s="2">
        <f t="shared" ref="AF381:AF400" si="199">AD381+AE381</f>
        <v>392860.74000000011</v>
      </c>
      <c r="AG381" s="38" t="s">
        <v>857</v>
      </c>
      <c r="AH381" s="38" t="s">
        <v>1323</v>
      </c>
      <c r="AI381" s="118">
        <f>184371.13+90330.3</f>
        <v>274701.43</v>
      </c>
      <c r="AJ381" s="30">
        <f>28197.95+13815.22</f>
        <v>42013.17</v>
      </c>
    </row>
    <row r="382" spans="1:36" s="179" customFormat="1" ht="315" x14ac:dyDescent="0.25">
      <c r="A382" s="6">
        <v>379</v>
      </c>
      <c r="B382" s="31">
        <v>118717</v>
      </c>
      <c r="C382" s="11">
        <v>435</v>
      </c>
      <c r="D382" s="32" t="s">
        <v>1640</v>
      </c>
      <c r="E382" s="24" t="s">
        <v>507</v>
      </c>
      <c r="F382" s="11" t="s">
        <v>778</v>
      </c>
      <c r="G382" s="11" t="s">
        <v>520</v>
      </c>
      <c r="H382" s="8" t="s">
        <v>151</v>
      </c>
      <c r="I382" s="12" t="s">
        <v>2834</v>
      </c>
      <c r="J382" s="25">
        <v>43333</v>
      </c>
      <c r="K382" s="25">
        <v>43790</v>
      </c>
      <c r="L382" s="26">
        <f t="shared" si="194"/>
        <v>84.999995136543049</v>
      </c>
      <c r="M382" s="11">
        <v>3</v>
      </c>
      <c r="N382" s="11" t="s">
        <v>485</v>
      </c>
      <c r="O382" s="11" t="s">
        <v>485</v>
      </c>
      <c r="P382" s="11" t="s">
        <v>174</v>
      </c>
      <c r="Q382" s="11" t="s">
        <v>460</v>
      </c>
      <c r="R382" s="1">
        <f t="shared" si="195"/>
        <v>227204.63</v>
      </c>
      <c r="S382" s="42">
        <v>227204.63</v>
      </c>
      <c r="T382" s="37">
        <v>0</v>
      </c>
      <c r="U382" s="1">
        <f t="shared" si="196"/>
        <v>34748.959999999999</v>
      </c>
      <c r="V382" s="42">
        <v>34748.959999999999</v>
      </c>
      <c r="W382" s="89">
        <v>0</v>
      </c>
      <c r="X382" s="1">
        <f t="shared" si="197"/>
        <v>5345.99</v>
      </c>
      <c r="Y382" s="30">
        <v>5345.99</v>
      </c>
      <c r="Z382" s="30">
        <v>0</v>
      </c>
      <c r="AA382" s="2">
        <f t="shared" si="198"/>
        <v>0</v>
      </c>
      <c r="AB382" s="2">
        <v>0</v>
      </c>
      <c r="AC382" s="2">
        <v>0</v>
      </c>
      <c r="AD382" s="16">
        <f t="shared" si="158"/>
        <v>267299.58</v>
      </c>
      <c r="AE382" s="35">
        <v>37391</v>
      </c>
      <c r="AF382" s="2">
        <f t="shared" si="199"/>
        <v>304690.58</v>
      </c>
      <c r="AG382" s="21" t="s">
        <v>857</v>
      </c>
      <c r="AH382" s="38" t="s">
        <v>936</v>
      </c>
      <c r="AI382" s="118">
        <v>209499.62</v>
      </c>
      <c r="AJ382" s="118">
        <v>32041.13</v>
      </c>
    </row>
    <row r="383" spans="1:36" s="179" customFormat="1" ht="283.5" x14ac:dyDescent="0.25">
      <c r="A383" s="6">
        <v>380</v>
      </c>
      <c r="B383" s="31">
        <v>129688</v>
      </c>
      <c r="C383" s="11">
        <v>686</v>
      </c>
      <c r="D383" s="9" t="s">
        <v>1639</v>
      </c>
      <c r="E383" s="11" t="s">
        <v>1071</v>
      </c>
      <c r="F383" s="11" t="s">
        <v>1080</v>
      </c>
      <c r="G383" s="11" t="s">
        <v>1081</v>
      </c>
      <c r="H383" s="8" t="s">
        <v>151</v>
      </c>
      <c r="I383" s="12" t="s">
        <v>1082</v>
      </c>
      <c r="J383" s="25">
        <v>43614</v>
      </c>
      <c r="K383" s="25">
        <v>44741</v>
      </c>
      <c r="L383" s="26">
        <f t="shared" si="194"/>
        <v>85.000000266732258</v>
      </c>
      <c r="M383" s="11">
        <v>3</v>
      </c>
      <c r="N383" s="11" t="s">
        <v>485</v>
      </c>
      <c r="O383" s="11" t="s">
        <v>485</v>
      </c>
      <c r="P383" s="11" t="s">
        <v>174</v>
      </c>
      <c r="Q383" s="11" t="s">
        <v>460</v>
      </c>
      <c r="R383" s="1">
        <f t="shared" si="195"/>
        <v>2708708.7699999996</v>
      </c>
      <c r="S383" s="42">
        <v>2708708.7699999996</v>
      </c>
      <c r="T383" s="37">
        <v>0</v>
      </c>
      <c r="U383" s="1">
        <f t="shared" si="196"/>
        <v>414273.09</v>
      </c>
      <c r="V383" s="42">
        <v>414273.09</v>
      </c>
      <c r="W383" s="89">
        <v>0</v>
      </c>
      <c r="X383" s="1">
        <f t="shared" si="197"/>
        <v>63734.330000000009</v>
      </c>
      <c r="Y383" s="30">
        <v>63734.330000000009</v>
      </c>
      <c r="Z383" s="30">
        <v>0</v>
      </c>
      <c r="AA383" s="2">
        <f t="shared" si="198"/>
        <v>0</v>
      </c>
      <c r="AB383" s="51">
        <v>0</v>
      </c>
      <c r="AC383" s="51">
        <v>0</v>
      </c>
      <c r="AD383" s="16">
        <f t="shared" si="158"/>
        <v>3186716.1899999995</v>
      </c>
      <c r="AE383" s="35">
        <v>0</v>
      </c>
      <c r="AF383" s="2">
        <f t="shared" si="199"/>
        <v>3186716.1899999995</v>
      </c>
      <c r="AG383" s="38" t="s">
        <v>857</v>
      </c>
      <c r="AH383" s="38" t="s">
        <v>1986</v>
      </c>
      <c r="AI383" s="30">
        <f>120014.5+245371.24+182109.1+377395.53+998748.05</f>
        <v>1923638.42</v>
      </c>
      <c r="AJ383" s="30">
        <f>18355.16+37527.36+27851.98+57719.33+152749.68</f>
        <v>294203.51</v>
      </c>
    </row>
    <row r="384" spans="1:36" s="179" customFormat="1" ht="189" x14ac:dyDescent="0.25">
      <c r="A384" s="6">
        <v>381</v>
      </c>
      <c r="B384" s="31">
        <v>152016</v>
      </c>
      <c r="C384" s="11">
        <v>1117</v>
      </c>
      <c r="D384" s="9" t="s">
        <v>1640</v>
      </c>
      <c r="E384" s="24" t="s">
        <v>1807</v>
      </c>
      <c r="F384" s="11" t="s">
        <v>1970</v>
      </c>
      <c r="G384" s="11" t="s">
        <v>1971</v>
      </c>
      <c r="H384" s="11" t="s">
        <v>1933</v>
      </c>
      <c r="I384" s="12" t="s">
        <v>2835</v>
      </c>
      <c r="J384" s="25">
        <v>44557</v>
      </c>
      <c r="K384" s="25">
        <v>45012</v>
      </c>
      <c r="L384" s="26">
        <f t="shared" si="194"/>
        <v>84.999998493392624</v>
      </c>
      <c r="M384" s="11">
        <v>3</v>
      </c>
      <c r="N384" s="11" t="s">
        <v>485</v>
      </c>
      <c r="O384" s="11" t="s">
        <v>485</v>
      </c>
      <c r="P384" s="11" t="s">
        <v>174</v>
      </c>
      <c r="Q384" s="11" t="s">
        <v>460</v>
      </c>
      <c r="R384" s="1">
        <f t="shared" si="195"/>
        <v>338508.89</v>
      </c>
      <c r="S384" s="42">
        <v>338508.89</v>
      </c>
      <c r="T384" s="37">
        <v>0</v>
      </c>
      <c r="U384" s="1">
        <f t="shared" si="196"/>
        <v>44163.43</v>
      </c>
      <c r="V384" s="42">
        <v>44163.43</v>
      </c>
      <c r="W384" s="89">
        <v>0</v>
      </c>
      <c r="X384" s="1">
        <f t="shared" si="197"/>
        <v>15573.44</v>
      </c>
      <c r="Y384" s="30">
        <v>15573.44</v>
      </c>
      <c r="Z384" s="30">
        <v>0</v>
      </c>
      <c r="AA384" s="2">
        <f t="shared" si="198"/>
        <v>0</v>
      </c>
      <c r="AB384" s="51">
        <v>0</v>
      </c>
      <c r="AC384" s="51">
        <v>0</v>
      </c>
      <c r="AD384" s="16">
        <f t="shared" si="158"/>
        <v>398245.76</v>
      </c>
      <c r="AE384" s="35">
        <v>0</v>
      </c>
      <c r="AF384" s="2">
        <f t="shared" si="199"/>
        <v>398245.76</v>
      </c>
      <c r="AG384" s="38" t="s">
        <v>486</v>
      </c>
      <c r="AH384" s="38"/>
      <c r="AI384" s="30">
        <v>39080.11</v>
      </c>
      <c r="AJ384" s="30">
        <v>5976.96</v>
      </c>
    </row>
    <row r="385" spans="1:36" s="179" customFormat="1" ht="141.75" x14ac:dyDescent="0.25">
      <c r="A385" s="6">
        <v>382</v>
      </c>
      <c r="B385" s="31">
        <v>154669</v>
      </c>
      <c r="C385" s="11">
        <v>1165</v>
      </c>
      <c r="D385" s="9" t="s">
        <v>1639</v>
      </c>
      <c r="E385" s="24" t="s">
        <v>2024</v>
      </c>
      <c r="F385" s="11" t="s">
        <v>2022</v>
      </c>
      <c r="G385" s="11" t="s">
        <v>2021</v>
      </c>
      <c r="H385" s="8" t="s">
        <v>151</v>
      </c>
      <c r="I385" s="12" t="s">
        <v>2025</v>
      </c>
      <c r="J385" s="25">
        <v>44637</v>
      </c>
      <c r="K385" s="25">
        <v>45124</v>
      </c>
      <c r="L385" s="26">
        <f t="shared" si="194"/>
        <v>85</v>
      </c>
      <c r="M385" s="11">
        <v>3</v>
      </c>
      <c r="N385" s="11" t="s">
        <v>485</v>
      </c>
      <c r="O385" s="11" t="s">
        <v>2023</v>
      </c>
      <c r="P385" s="11" t="s">
        <v>174</v>
      </c>
      <c r="Q385" s="11" t="s">
        <v>460</v>
      </c>
      <c r="R385" s="1">
        <f t="shared" si="195"/>
        <v>1254107</v>
      </c>
      <c r="S385" s="42">
        <v>1254107</v>
      </c>
      <c r="T385" s="37">
        <v>0</v>
      </c>
      <c r="U385" s="1">
        <f t="shared" si="196"/>
        <v>191804.6</v>
      </c>
      <c r="V385" s="42">
        <v>191804.6</v>
      </c>
      <c r="W385" s="89">
        <v>0</v>
      </c>
      <c r="X385" s="1">
        <f t="shared" si="197"/>
        <v>29508.400000000001</v>
      </c>
      <c r="Y385" s="30">
        <v>29508.400000000001</v>
      </c>
      <c r="Z385" s="30">
        <v>0</v>
      </c>
      <c r="AA385" s="2">
        <f t="shared" si="198"/>
        <v>0</v>
      </c>
      <c r="AB385" s="51">
        <v>0</v>
      </c>
      <c r="AC385" s="51">
        <v>0</v>
      </c>
      <c r="AD385" s="16">
        <f t="shared" si="158"/>
        <v>1475420</v>
      </c>
      <c r="AE385" s="35">
        <v>0</v>
      </c>
      <c r="AF385" s="2">
        <f t="shared" si="199"/>
        <v>1475420</v>
      </c>
      <c r="AG385" s="38" t="s">
        <v>486</v>
      </c>
      <c r="AH385" s="38"/>
      <c r="AI385" s="30">
        <f>145000-15358.95</f>
        <v>129641.05</v>
      </c>
      <c r="AJ385" s="30">
        <f>15358.95</f>
        <v>15358.95</v>
      </c>
    </row>
    <row r="386" spans="1:36" s="179" customFormat="1" ht="141.75" x14ac:dyDescent="0.25">
      <c r="A386" s="6">
        <v>383</v>
      </c>
      <c r="B386" s="31">
        <v>154744</v>
      </c>
      <c r="C386" s="11">
        <v>1168</v>
      </c>
      <c r="D386" s="9" t="s">
        <v>1639</v>
      </c>
      <c r="E386" s="24" t="s">
        <v>2024</v>
      </c>
      <c r="F386" s="11" t="s">
        <v>2027</v>
      </c>
      <c r="G386" s="11" t="s">
        <v>2026</v>
      </c>
      <c r="H386" s="8" t="s">
        <v>151</v>
      </c>
      <c r="I386" s="12" t="s">
        <v>2836</v>
      </c>
      <c r="J386" s="25">
        <v>44637</v>
      </c>
      <c r="K386" s="25">
        <v>45124</v>
      </c>
      <c r="L386" s="26">
        <f t="shared" si="194"/>
        <v>85</v>
      </c>
      <c r="M386" s="11">
        <v>3</v>
      </c>
      <c r="N386" s="11" t="s">
        <v>485</v>
      </c>
      <c r="O386" s="11" t="s">
        <v>2028</v>
      </c>
      <c r="P386" s="11" t="s">
        <v>174</v>
      </c>
      <c r="Q386" s="11" t="s">
        <v>460</v>
      </c>
      <c r="R386" s="1">
        <f t="shared" si="195"/>
        <v>1254107</v>
      </c>
      <c r="S386" s="42">
        <v>1254107</v>
      </c>
      <c r="T386" s="37">
        <v>0</v>
      </c>
      <c r="U386" s="1">
        <f t="shared" si="196"/>
        <v>191804.6</v>
      </c>
      <c r="V386" s="42">
        <v>191804.6</v>
      </c>
      <c r="W386" s="89">
        <v>0</v>
      </c>
      <c r="X386" s="1">
        <f t="shared" si="197"/>
        <v>29508.400000000001</v>
      </c>
      <c r="Y386" s="30">
        <v>29508.400000000001</v>
      </c>
      <c r="Z386" s="30">
        <v>0</v>
      </c>
      <c r="AA386" s="2">
        <f t="shared" si="198"/>
        <v>0</v>
      </c>
      <c r="AB386" s="51">
        <v>0</v>
      </c>
      <c r="AC386" s="51">
        <v>0</v>
      </c>
      <c r="AD386" s="16">
        <f t="shared" si="158"/>
        <v>1475420</v>
      </c>
      <c r="AE386" s="35">
        <v>0</v>
      </c>
      <c r="AF386" s="2">
        <f t="shared" si="199"/>
        <v>1475420</v>
      </c>
      <c r="AG386" s="38" t="s">
        <v>486</v>
      </c>
      <c r="AH386" s="38"/>
      <c r="AI386" s="30">
        <v>145000</v>
      </c>
      <c r="AJ386" s="30">
        <v>0</v>
      </c>
    </row>
    <row r="387" spans="1:36" s="179" customFormat="1" ht="141.75" x14ac:dyDescent="0.25">
      <c r="A387" s="6">
        <v>384</v>
      </c>
      <c r="B387" s="31">
        <v>154668</v>
      </c>
      <c r="C387" s="11">
        <v>1180</v>
      </c>
      <c r="D387" s="9" t="s">
        <v>1639</v>
      </c>
      <c r="E387" s="24" t="s">
        <v>2024</v>
      </c>
      <c r="F387" s="11" t="s">
        <v>2033</v>
      </c>
      <c r="G387" s="11" t="s">
        <v>2032</v>
      </c>
      <c r="H387" s="8" t="s">
        <v>151</v>
      </c>
      <c r="I387" s="12" t="s">
        <v>2837</v>
      </c>
      <c r="J387" s="25">
        <v>44637</v>
      </c>
      <c r="K387" s="25">
        <v>45124</v>
      </c>
      <c r="L387" s="26">
        <f t="shared" si="194"/>
        <v>85</v>
      </c>
      <c r="M387" s="11">
        <v>3</v>
      </c>
      <c r="N387" s="11" t="s">
        <v>485</v>
      </c>
      <c r="O387" s="11" t="s">
        <v>2034</v>
      </c>
      <c r="P387" s="11" t="s">
        <v>174</v>
      </c>
      <c r="Q387" s="11" t="s">
        <v>460</v>
      </c>
      <c r="R387" s="1">
        <f t="shared" si="195"/>
        <v>1254107</v>
      </c>
      <c r="S387" s="42">
        <v>1254107</v>
      </c>
      <c r="T387" s="37">
        <v>0</v>
      </c>
      <c r="U387" s="1">
        <f t="shared" si="196"/>
        <v>191804.6</v>
      </c>
      <c r="V387" s="42">
        <v>191804.6</v>
      </c>
      <c r="W387" s="89">
        <v>0</v>
      </c>
      <c r="X387" s="1">
        <f t="shared" si="197"/>
        <v>29508.400000000001</v>
      </c>
      <c r="Y387" s="30">
        <v>29508.400000000001</v>
      </c>
      <c r="Z387" s="30">
        <v>0</v>
      </c>
      <c r="AA387" s="2">
        <f t="shared" si="198"/>
        <v>0</v>
      </c>
      <c r="AB387" s="51">
        <v>0</v>
      </c>
      <c r="AC387" s="51">
        <v>0</v>
      </c>
      <c r="AD387" s="16">
        <f t="shared" si="158"/>
        <v>1475420</v>
      </c>
      <c r="AE387" s="35">
        <v>0</v>
      </c>
      <c r="AF387" s="2">
        <f t="shared" si="199"/>
        <v>1475420</v>
      </c>
      <c r="AG387" s="38" t="s">
        <v>486</v>
      </c>
      <c r="AH387" s="38"/>
      <c r="AI387" s="30">
        <f>145000-10895.62</f>
        <v>134104.38</v>
      </c>
      <c r="AJ387" s="30">
        <f>10895.62</f>
        <v>10895.62</v>
      </c>
    </row>
    <row r="388" spans="1:36" s="179" customFormat="1" ht="141.75" x14ac:dyDescent="0.25">
      <c r="A388" s="6">
        <v>385</v>
      </c>
      <c r="B388" s="31">
        <v>154762</v>
      </c>
      <c r="C388" s="11">
        <v>1181</v>
      </c>
      <c r="D388" s="9" t="s">
        <v>1639</v>
      </c>
      <c r="E388" s="24" t="s">
        <v>2024</v>
      </c>
      <c r="F388" s="11" t="s">
        <v>2036</v>
      </c>
      <c r="G388" s="11" t="s">
        <v>2035</v>
      </c>
      <c r="H388" s="8" t="s">
        <v>151</v>
      </c>
      <c r="I388" s="12" t="s">
        <v>2838</v>
      </c>
      <c r="J388" s="25">
        <v>44637</v>
      </c>
      <c r="K388" s="25">
        <v>45124</v>
      </c>
      <c r="L388" s="26">
        <f t="shared" si="194"/>
        <v>85</v>
      </c>
      <c r="M388" s="11">
        <v>3</v>
      </c>
      <c r="N388" s="11" t="s">
        <v>485</v>
      </c>
      <c r="O388" s="11" t="s">
        <v>2037</v>
      </c>
      <c r="P388" s="11" t="s">
        <v>174</v>
      </c>
      <c r="Q388" s="11" t="s">
        <v>460</v>
      </c>
      <c r="R388" s="1">
        <f t="shared" si="195"/>
        <v>1254107</v>
      </c>
      <c r="S388" s="42">
        <v>1254107</v>
      </c>
      <c r="T388" s="37">
        <v>0</v>
      </c>
      <c r="U388" s="1">
        <f t="shared" si="196"/>
        <v>191804.6</v>
      </c>
      <c r="V388" s="42">
        <v>191804.6</v>
      </c>
      <c r="W388" s="89">
        <v>0</v>
      </c>
      <c r="X388" s="1">
        <f t="shared" si="197"/>
        <v>29508.400000000001</v>
      </c>
      <c r="Y388" s="30">
        <v>29508.400000000001</v>
      </c>
      <c r="Z388" s="30">
        <v>0</v>
      </c>
      <c r="AA388" s="2">
        <f t="shared" si="198"/>
        <v>0</v>
      </c>
      <c r="AB388" s="51">
        <v>0</v>
      </c>
      <c r="AC388" s="51">
        <v>0</v>
      </c>
      <c r="AD388" s="16">
        <f t="shared" si="158"/>
        <v>1475420</v>
      </c>
      <c r="AE388" s="35">
        <v>0</v>
      </c>
      <c r="AF388" s="2">
        <f t="shared" si="199"/>
        <v>1475420</v>
      </c>
      <c r="AG388" s="38" t="s">
        <v>486</v>
      </c>
      <c r="AH388" s="38"/>
      <c r="AI388" s="30">
        <v>145000</v>
      </c>
      <c r="AJ388" s="30">
        <v>0</v>
      </c>
    </row>
    <row r="389" spans="1:36" s="179" customFormat="1" ht="141.75" x14ac:dyDescent="0.25">
      <c r="A389" s="6">
        <v>386</v>
      </c>
      <c r="B389" s="31">
        <v>154757</v>
      </c>
      <c r="C389" s="11">
        <v>1188</v>
      </c>
      <c r="D389" s="9" t="s">
        <v>1639</v>
      </c>
      <c r="E389" s="24" t="s">
        <v>2024</v>
      </c>
      <c r="F389" s="11" t="s">
        <v>2039</v>
      </c>
      <c r="G389" s="11" t="s">
        <v>2038</v>
      </c>
      <c r="H389" s="8" t="s">
        <v>151</v>
      </c>
      <c r="I389" s="12" t="s">
        <v>2839</v>
      </c>
      <c r="J389" s="25">
        <v>44637</v>
      </c>
      <c r="K389" s="25">
        <v>45124</v>
      </c>
      <c r="L389" s="26">
        <f t="shared" si="194"/>
        <v>85</v>
      </c>
      <c r="M389" s="11">
        <v>3</v>
      </c>
      <c r="N389" s="11" t="s">
        <v>485</v>
      </c>
      <c r="O389" s="11" t="s">
        <v>2040</v>
      </c>
      <c r="P389" s="11" t="s">
        <v>174</v>
      </c>
      <c r="Q389" s="11" t="s">
        <v>460</v>
      </c>
      <c r="R389" s="1">
        <f t="shared" si="195"/>
        <v>1254107</v>
      </c>
      <c r="S389" s="42">
        <v>1254107</v>
      </c>
      <c r="T389" s="37">
        <v>0</v>
      </c>
      <c r="U389" s="1">
        <f t="shared" si="196"/>
        <v>191804.6</v>
      </c>
      <c r="V389" s="42">
        <v>191804.6</v>
      </c>
      <c r="W389" s="89">
        <v>0</v>
      </c>
      <c r="X389" s="1">
        <f t="shared" si="197"/>
        <v>29508.400000000001</v>
      </c>
      <c r="Y389" s="30">
        <v>29508.400000000001</v>
      </c>
      <c r="Z389" s="30">
        <v>0</v>
      </c>
      <c r="AA389" s="2">
        <f t="shared" si="198"/>
        <v>0</v>
      </c>
      <c r="AB389" s="51">
        <v>0</v>
      </c>
      <c r="AC389" s="51">
        <v>0</v>
      </c>
      <c r="AD389" s="16">
        <f t="shared" ref="AD389:AD452" si="200">R389+U389+X389+AA389</f>
        <v>1475420</v>
      </c>
      <c r="AE389" s="35">
        <v>0</v>
      </c>
      <c r="AF389" s="2">
        <f t="shared" si="199"/>
        <v>1475420</v>
      </c>
      <c r="AG389" s="38" t="s">
        <v>486</v>
      </c>
      <c r="AH389" s="38"/>
      <c r="AI389" s="30">
        <f>145000-10635.56</f>
        <v>134364.44</v>
      </c>
      <c r="AJ389" s="30">
        <f>10635.56</f>
        <v>10635.56</v>
      </c>
    </row>
    <row r="390" spans="1:36" s="179" customFormat="1" ht="157.5" x14ac:dyDescent="0.25">
      <c r="A390" s="6">
        <v>387</v>
      </c>
      <c r="B390" s="31">
        <v>154664</v>
      </c>
      <c r="C390" s="11">
        <v>1171</v>
      </c>
      <c r="D390" s="9" t="s">
        <v>1639</v>
      </c>
      <c r="E390" s="24" t="s">
        <v>2024</v>
      </c>
      <c r="F390" s="11" t="s">
        <v>2043</v>
      </c>
      <c r="G390" s="11" t="s">
        <v>2042</v>
      </c>
      <c r="H390" s="8" t="s">
        <v>151</v>
      </c>
      <c r="I390" s="12" t="s">
        <v>2047</v>
      </c>
      <c r="J390" s="25">
        <v>44641</v>
      </c>
      <c r="K390" s="25">
        <v>45128</v>
      </c>
      <c r="L390" s="26">
        <f t="shared" si="194"/>
        <v>85</v>
      </c>
      <c r="M390" s="11">
        <v>3</v>
      </c>
      <c r="N390" s="11" t="s">
        <v>485</v>
      </c>
      <c r="O390" s="11" t="s">
        <v>2044</v>
      </c>
      <c r="P390" s="11" t="s">
        <v>174</v>
      </c>
      <c r="Q390" s="11" t="s">
        <v>460</v>
      </c>
      <c r="R390" s="1">
        <f t="shared" si="195"/>
        <v>1254107</v>
      </c>
      <c r="S390" s="42">
        <v>1254107</v>
      </c>
      <c r="T390" s="37">
        <v>0</v>
      </c>
      <c r="U390" s="1">
        <f t="shared" si="196"/>
        <v>191804.6</v>
      </c>
      <c r="V390" s="42">
        <v>191804.6</v>
      </c>
      <c r="W390" s="89">
        <v>0</v>
      </c>
      <c r="X390" s="1">
        <f t="shared" si="197"/>
        <v>29508.400000000001</v>
      </c>
      <c r="Y390" s="30">
        <v>29508.400000000001</v>
      </c>
      <c r="Z390" s="30">
        <v>0</v>
      </c>
      <c r="AA390" s="2">
        <f t="shared" si="198"/>
        <v>0</v>
      </c>
      <c r="AB390" s="51">
        <v>0</v>
      </c>
      <c r="AC390" s="51">
        <v>0</v>
      </c>
      <c r="AD390" s="16">
        <f t="shared" si="200"/>
        <v>1475420</v>
      </c>
      <c r="AE390" s="35">
        <v>0</v>
      </c>
      <c r="AF390" s="2">
        <f t="shared" si="199"/>
        <v>1475420</v>
      </c>
      <c r="AG390" s="38" t="s">
        <v>486</v>
      </c>
      <c r="AH390" s="38"/>
      <c r="AI390" s="30">
        <v>145000</v>
      </c>
      <c r="AJ390" s="30">
        <v>0</v>
      </c>
    </row>
    <row r="391" spans="1:36" s="179" customFormat="1" ht="141.75" x14ac:dyDescent="0.25">
      <c r="A391" s="6">
        <v>388</v>
      </c>
      <c r="B391" s="31">
        <v>154716</v>
      </c>
      <c r="C391" s="11">
        <v>1172</v>
      </c>
      <c r="D391" s="9" t="s">
        <v>1639</v>
      </c>
      <c r="E391" s="24" t="s">
        <v>2024</v>
      </c>
      <c r="F391" s="11" t="s">
        <v>2046</v>
      </c>
      <c r="G391" s="11" t="s">
        <v>2045</v>
      </c>
      <c r="H391" s="8" t="s">
        <v>151</v>
      </c>
      <c r="I391" s="12" t="s">
        <v>2840</v>
      </c>
      <c r="J391" s="25">
        <v>44642</v>
      </c>
      <c r="K391" s="25">
        <v>45129</v>
      </c>
      <c r="L391" s="26">
        <f t="shared" si="194"/>
        <v>85</v>
      </c>
      <c r="M391" s="11">
        <v>3</v>
      </c>
      <c r="N391" s="11" t="s">
        <v>485</v>
      </c>
      <c r="O391" s="11" t="s">
        <v>2048</v>
      </c>
      <c r="P391" s="11" t="s">
        <v>174</v>
      </c>
      <c r="Q391" s="11" t="s">
        <v>460</v>
      </c>
      <c r="R391" s="1">
        <f t="shared" si="195"/>
        <v>1254107</v>
      </c>
      <c r="S391" s="42">
        <v>1254107</v>
      </c>
      <c r="T391" s="37">
        <v>0</v>
      </c>
      <c r="U391" s="1">
        <f t="shared" si="196"/>
        <v>191804.6</v>
      </c>
      <c r="V391" s="42">
        <v>191804.6</v>
      </c>
      <c r="W391" s="89">
        <v>0</v>
      </c>
      <c r="X391" s="1">
        <f t="shared" si="197"/>
        <v>29508.400000000001</v>
      </c>
      <c r="Y391" s="30">
        <v>29508.400000000001</v>
      </c>
      <c r="Z391" s="30">
        <v>0</v>
      </c>
      <c r="AA391" s="2">
        <f t="shared" si="198"/>
        <v>0</v>
      </c>
      <c r="AB391" s="51">
        <v>0</v>
      </c>
      <c r="AC391" s="51">
        <v>0</v>
      </c>
      <c r="AD391" s="16">
        <f t="shared" si="200"/>
        <v>1475420</v>
      </c>
      <c r="AE391" s="35">
        <v>0</v>
      </c>
      <c r="AF391" s="2">
        <f t="shared" si="199"/>
        <v>1475420</v>
      </c>
      <c r="AG391" s="38" t="s">
        <v>486</v>
      </c>
      <c r="AH391" s="38"/>
      <c r="AI391" s="30">
        <f>145000-11351.32</f>
        <v>133648.68</v>
      </c>
      <c r="AJ391" s="30">
        <f>11351.32</f>
        <v>11351.32</v>
      </c>
    </row>
    <row r="392" spans="1:36" s="179" customFormat="1" ht="141.75" x14ac:dyDescent="0.25">
      <c r="A392" s="6">
        <v>389</v>
      </c>
      <c r="B392" s="31">
        <v>154750</v>
      </c>
      <c r="C392" s="11">
        <v>1174</v>
      </c>
      <c r="D392" s="9" t="s">
        <v>1639</v>
      </c>
      <c r="E392" s="24" t="s">
        <v>2024</v>
      </c>
      <c r="F392" s="11" t="s">
        <v>2050</v>
      </c>
      <c r="G392" s="11" t="s">
        <v>2049</v>
      </c>
      <c r="H392" s="8" t="s">
        <v>151</v>
      </c>
      <c r="I392" s="12" t="s">
        <v>2841</v>
      </c>
      <c r="J392" s="25">
        <v>44642</v>
      </c>
      <c r="K392" s="25">
        <v>45129</v>
      </c>
      <c r="L392" s="26">
        <f t="shared" si="194"/>
        <v>85</v>
      </c>
      <c r="M392" s="11">
        <v>3</v>
      </c>
      <c r="N392" s="11" t="s">
        <v>485</v>
      </c>
      <c r="O392" s="11" t="s">
        <v>2051</v>
      </c>
      <c r="P392" s="11" t="s">
        <v>174</v>
      </c>
      <c r="Q392" s="11" t="s">
        <v>460</v>
      </c>
      <c r="R392" s="1">
        <f t="shared" si="195"/>
        <v>1254107</v>
      </c>
      <c r="S392" s="42">
        <v>1254107</v>
      </c>
      <c r="T392" s="37">
        <v>0</v>
      </c>
      <c r="U392" s="1">
        <f t="shared" si="196"/>
        <v>191804.6</v>
      </c>
      <c r="V392" s="42">
        <v>191804.6</v>
      </c>
      <c r="W392" s="89">
        <v>0</v>
      </c>
      <c r="X392" s="1">
        <f t="shared" si="197"/>
        <v>29508.400000000001</v>
      </c>
      <c r="Y392" s="30">
        <v>29508.400000000001</v>
      </c>
      <c r="Z392" s="30">
        <v>0</v>
      </c>
      <c r="AA392" s="2">
        <f t="shared" si="198"/>
        <v>0</v>
      </c>
      <c r="AB392" s="51">
        <v>0</v>
      </c>
      <c r="AC392" s="51">
        <v>0</v>
      </c>
      <c r="AD392" s="16">
        <f t="shared" si="200"/>
        <v>1475420</v>
      </c>
      <c r="AE392" s="35">
        <v>0</v>
      </c>
      <c r="AF392" s="2">
        <f t="shared" si="199"/>
        <v>1475420</v>
      </c>
      <c r="AG392" s="38" t="s">
        <v>486</v>
      </c>
      <c r="AH392" s="38"/>
      <c r="AI392" s="30">
        <v>145000</v>
      </c>
      <c r="AJ392" s="30">
        <v>0</v>
      </c>
    </row>
    <row r="393" spans="1:36" s="179" customFormat="1" ht="141.75" x14ac:dyDescent="0.25">
      <c r="A393" s="6">
        <v>390</v>
      </c>
      <c r="B393" s="31">
        <v>154674</v>
      </c>
      <c r="C393" s="11">
        <v>1184</v>
      </c>
      <c r="D393" s="9" t="s">
        <v>1639</v>
      </c>
      <c r="E393" s="24" t="s">
        <v>2024</v>
      </c>
      <c r="F393" s="11" t="s">
        <v>2053</v>
      </c>
      <c r="G393" s="11" t="s">
        <v>2052</v>
      </c>
      <c r="H393" s="8" t="s">
        <v>151</v>
      </c>
      <c r="I393" s="12" t="s">
        <v>2842</v>
      </c>
      <c r="J393" s="25">
        <v>44641</v>
      </c>
      <c r="K393" s="25">
        <v>45128</v>
      </c>
      <c r="L393" s="26">
        <f t="shared" si="194"/>
        <v>85</v>
      </c>
      <c r="M393" s="11">
        <v>3</v>
      </c>
      <c r="N393" s="11" t="s">
        <v>485</v>
      </c>
      <c r="O393" s="11" t="s">
        <v>2054</v>
      </c>
      <c r="P393" s="11" t="s">
        <v>174</v>
      </c>
      <c r="Q393" s="11" t="s">
        <v>460</v>
      </c>
      <c r="R393" s="1">
        <f t="shared" si="195"/>
        <v>1254107</v>
      </c>
      <c r="S393" s="42">
        <v>1254107</v>
      </c>
      <c r="T393" s="37">
        <v>0</v>
      </c>
      <c r="U393" s="1">
        <f t="shared" si="196"/>
        <v>191804.6</v>
      </c>
      <c r="V393" s="42">
        <v>191804.6</v>
      </c>
      <c r="W393" s="89">
        <v>0</v>
      </c>
      <c r="X393" s="1">
        <f t="shared" si="197"/>
        <v>29508.400000000001</v>
      </c>
      <c r="Y393" s="30">
        <v>29508.400000000001</v>
      </c>
      <c r="Z393" s="30">
        <v>0</v>
      </c>
      <c r="AA393" s="2">
        <f t="shared" si="198"/>
        <v>0</v>
      </c>
      <c r="AB393" s="51">
        <v>0</v>
      </c>
      <c r="AC393" s="51">
        <v>0</v>
      </c>
      <c r="AD393" s="16">
        <f t="shared" si="200"/>
        <v>1475420</v>
      </c>
      <c r="AE393" s="35">
        <v>0</v>
      </c>
      <c r="AF393" s="2">
        <f t="shared" si="199"/>
        <v>1475420</v>
      </c>
      <c r="AG393" s="38" t="s">
        <v>486</v>
      </c>
      <c r="AH393" s="38"/>
      <c r="AI393" s="30">
        <v>145000</v>
      </c>
      <c r="AJ393" s="30">
        <v>0</v>
      </c>
    </row>
    <row r="394" spans="1:36" s="179" customFormat="1" ht="141.75" x14ac:dyDescent="0.25">
      <c r="A394" s="6">
        <v>391</v>
      </c>
      <c r="B394" s="31">
        <v>154670</v>
      </c>
      <c r="C394" s="11">
        <v>1179</v>
      </c>
      <c r="D394" s="9" t="s">
        <v>1639</v>
      </c>
      <c r="E394" s="24" t="s">
        <v>2024</v>
      </c>
      <c r="F394" s="11" t="s">
        <v>2060</v>
      </c>
      <c r="G394" s="11" t="s">
        <v>2059</v>
      </c>
      <c r="H394" s="8" t="s">
        <v>151</v>
      </c>
      <c r="I394" s="12" t="s">
        <v>2843</v>
      </c>
      <c r="J394" s="25">
        <v>44643</v>
      </c>
      <c r="K394" s="25">
        <v>45130</v>
      </c>
      <c r="L394" s="26">
        <f t="shared" si="194"/>
        <v>85</v>
      </c>
      <c r="M394" s="11">
        <v>3</v>
      </c>
      <c r="N394" s="11" t="s">
        <v>485</v>
      </c>
      <c r="O394" s="11" t="s">
        <v>2061</v>
      </c>
      <c r="P394" s="11" t="s">
        <v>174</v>
      </c>
      <c r="Q394" s="11" t="s">
        <v>460</v>
      </c>
      <c r="R394" s="1">
        <f t="shared" si="195"/>
        <v>1254107</v>
      </c>
      <c r="S394" s="42">
        <v>1254107</v>
      </c>
      <c r="T394" s="37">
        <v>0</v>
      </c>
      <c r="U394" s="1">
        <f t="shared" si="196"/>
        <v>191804.6</v>
      </c>
      <c r="V394" s="42">
        <v>191804.6</v>
      </c>
      <c r="W394" s="89">
        <v>0</v>
      </c>
      <c r="X394" s="1">
        <f t="shared" si="197"/>
        <v>29508.400000000001</v>
      </c>
      <c r="Y394" s="30">
        <v>29508.400000000001</v>
      </c>
      <c r="Z394" s="30">
        <v>0</v>
      </c>
      <c r="AA394" s="2">
        <f t="shared" si="198"/>
        <v>0</v>
      </c>
      <c r="AB394" s="51">
        <v>0</v>
      </c>
      <c r="AC394" s="51">
        <v>0</v>
      </c>
      <c r="AD394" s="16">
        <f t="shared" si="200"/>
        <v>1475420</v>
      </c>
      <c r="AE394" s="35">
        <v>0</v>
      </c>
      <c r="AF394" s="2">
        <f t="shared" si="199"/>
        <v>1475420</v>
      </c>
      <c r="AG394" s="38" t="s">
        <v>486</v>
      </c>
      <c r="AH394" s="38"/>
      <c r="AI394" s="30">
        <v>145000</v>
      </c>
      <c r="AJ394" s="30">
        <v>0</v>
      </c>
    </row>
    <row r="395" spans="1:36" s="179" customFormat="1" ht="141.75" x14ac:dyDescent="0.25">
      <c r="A395" s="6">
        <v>392</v>
      </c>
      <c r="B395" s="31">
        <v>154671</v>
      </c>
      <c r="C395" s="11">
        <v>1176</v>
      </c>
      <c r="D395" s="9" t="s">
        <v>1639</v>
      </c>
      <c r="E395" s="24" t="s">
        <v>2024</v>
      </c>
      <c r="F395" s="11" t="s">
        <v>2063</v>
      </c>
      <c r="G395" s="11" t="s">
        <v>2062</v>
      </c>
      <c r="H395" s="8" t="s">
        <v>151</v>
      </c>
      <c r="I395" s="12" t="s">
        <v>2844</v>
      </c>
      <c r="J395" s="25">
        <v>44645</v>
      </c>
      <c r="K395" s="25">
        <v>45132</v>
      </c>
      <c r="L395" s="26">
        <f t="shared" si="194"/>
        <v>85</v>
      </c>
      <c r="M395" s="11">
        <v>3</v>
      </c>
      <c r="N395" s="11" t="s">
        <v>485</v>
      </c>
      <c r="O395" s="11" t="s">
        <v>2064</v>
      </c>
      <c r="P395" s="11" t="s">
        <v>174</v>
      </c>
      <c r="Q395" s="11" t="s">
        <v>460</v>
      </c>
      <c r="R395" s="1">
        <f t="shared" si="195"/>
        <v>1254107</v>
      </c>
      <c r="S395" s="42">
        <v>1254107</v>
      </c>
      <c r="T395" s="37">
        <v>0</v>
      </c>
      <c r="U395" s="1">
        <f t="shared" si="196"/>
        <v>191804.6</v>
      </c>
      <c r="V395" s="42">
        <v>191804.6</v>
      </c>
      <c r="W395" s="89">
        <v>0</v>
      </c>
      <c r="X395" s="1">
        <f t="shared" si="197"/>
        <v>29508.400000000001</v>
      </c>
      <c r="Y395" s="30">
        <v>29508.400000000001</v>
      </c>
      <c r="Z395" s="30">
        <v>0</v>
      </c>
      <c r="AA395" s="2">
        <f t="shared" si="198"/>
        <v>0</v>
      </c>
      <c r="AB395" s="51">
        <v>0</v>
      </c>
      <c r="AC395" s="51">
        <v>0</v>
      </c>
      <c r="AD395" s="16">
        <f t="shared" si="200"/>
        <v>1475420</v>
      </c>
      <c r="AE395" s="35">
        <v>0</v>
      </c>
      <c r="AF395" s="2">
        <f t="shared" si="199"/>
        <v>1475420</v>
      </c>
      <c r="AG395" s="38" t="s">
        <v>486</v>
      </c>
      <c r="AH395" s="38"/>
      <c r="AI395" s="30">
        <v>145000</v>
      </c>
      <c r="AJ395" s="30">
        <v>0</v>
      </c>
    </row>
    <row r="396" spans="1:36" s="179" customFormat="1" ht="141.75" x14ac:dyDescent="0.25">
      <c r="A396" s="6">
        <v>393</v>
      </c>
      <c r="B396" s="31">
        <v>154806</v>
      </c>
      <c r="C396" s="11">
        <v>1173</v>
      </c>
      <c r="D396" s="9" t="s">
        <v>1639</v>
      </c>
      <c r="E396" s="24" t="s">
        <v>2024</v>
      </c>
      <c r="F396" s="11" t="s">
        <v>2068</v>
      </c>
      <c r="G396" s="11" t="s">
        <v>2067</v>
      </c>
      <c r="H396" s="8" t="s">
        <v>151</v>
      </c>
      <c r="I396" s="12" t="s">
        <v>2845</v>
      </c>
      <c r="J396" s="25">
        <v>44649</v>
      </c>
      <c r="K396" s="25">
        <v>45136</v>
      </c>
      <c r="L396" s="26">
        <f t="shared" si="194"/>
        <v>85</v>
      </c>
      <c r="M396" s="11">
        <v>3</v>
      </c>
      <c r="N396" s="11" t="s">
        <v>485</v>
      </c>
      <c r="O396" s="11" t="s">
        <v>2069</v>
      </c>
      <c r="P396" s="11" t="s">
        <v>174</v>
      </c>
      <c r="Q396" s="11" t="s">
        <v>460</v>
      </c>
      <c r="R396" s="1">
        <f t="shared" si="195"/>
        <v>1254107</v>
      </c>
      <c r="S396" s="42">
        <v>1254107</v>
      </c>
      <c r="T396" s="37">
        <v>0</v>
      </c>
      <c r="U396" s="1">
        <f t="shared" si="196"/>
        <v>191804.6</v>
      </c>
      <c r="V396" s="42">
        <v>191804.6</v>
      </c>
      <c r="W396" s="89">
        <v>0</v>
      </c>
      <c r="X396" s="1">
        <f t="shared" si="197"/>
        <v>29508.400000000001</v>
      </c>
      <c r="Y396" s="30">
        <v>29508.400000000001</v>
      </c>
      <c r="Z396" s="30">
        <v>0</v>
      </c>
      <c r="AA396" s="2">
        <f t="shared" si="198"/>
        <v>0</v>
      </c>
      <c r="AB396" s="51">
        <v>0</v>
      </c>
      <c r="AC396" s="51">
        <v>0</v>
      </c>
      <c r="AD396" s="16">
        <f t="shared" si="200"/>
        <v>1475420</v>
      </c>
      <c r="AE396" s="35">
        <v>0</v>
      </c>
      <c r="AF396" s="2">
        <f t="shared" si="199"/>
        <v>1475420</v>
      </c>
      <c r="AG396" s="38" t="s">
        <v>486</v>
      </c>
      <c r="AH396" s="38"/>
      <c r="AI396" s="30">
        <v>145000</v>
      </c>
      <c r="AJ396" s="30">
        <v>0</v>
      </c>
    </row>
    <row r="397" spans="1:36" s="179" customFormat="1" ht="141.75" x14ac:dyDescent="0.25">
      <c r="A397" s="6">
        <v>394</v>
      </c>
      <c r="B397" s="31">
        <v>154688</v>
      </c>
      <c r="C397" s="31">
        <v>1175</v>
      </c>
      <c r="D397" s="9" t="s">
        <v>1639</v>
      </c>
      <c r="E397" s="24" t="s">
        <v>2024</v>
      </c>
      <c r="F397" s="11" t="s">
        <v>2081</v>
      </c>
      <c r="G397" s="31" t="s">
        <v>2080</v>
      </c>
      <c r="H397" s="8" t="s">
        <v>151</v>
      </c>
      <c r="I397" s="12" t="s">
        <v>2082</v>
      </c>
      <c r="J397" s="25">
        <v>44655</v>
      </c>
      <c r="K397" s="25">
        <v>45142</v>
      </c>
      <c r="L397" s="26">
        <f t="shared" si="194"/>
        <v>85</v>
      </c>
      <c r="M397" s="11">
        <v>3</v>
      </c>
      <c r="N397" s="11" t="s">
        <v>485</v>
      </c>
      <c r="O397" s="11" t="s">
        <v>2083</v>
      </c>
      <c r="P397" s="11" t="s">
        <v>174</v>
      </c>
      <c r="Q397" s="11" t="s">
        <v>460</v>
      </c>
      <c r="R397" s="1">
        <f t="shared" si="195"/>
        <v>1254107</v>
      </c>
      <c r="S397" s="42">
        <v>1254107</v>
      </c>
      <c r="T397" s="37">
        <v>0</v>
      </c>
      <c r="U397" s="1">
        <f t="shared" si="196"/>
        <v>191804.6</v>
      </c>
      <c r="V397" s="42">
        <v>191804.6</v>
      </c>
      <c r="W397" s="89">
        <v>0</v>
      </c>
      <c r="X397" s="1">
        <f t="shared" si="197"/>
        <v>29508.400000000001</v>
      </c>
      <c r="Y397" s="30">
        <v>29508.400000000001</v>
      </c>
      <c r="Z397" s="30">
        <v>0</v>
      </c>
      <c r="AA397" s="2">
        <f t="shared" si="198"/>
        <v>0</v>
      </c>
      <c r="AB397" s="51">
        <v>0</v>
      </c>
      <c r="AC397" s="51">
        <v>0</v>
      </c>
      <c r="AD397" s="16">
        <f t="shared" si="200"/>
        <v>1475420</v>
      </c>
      <c r="AE397" s="35">
        <v>0</v>
      </c>
      <c r="AF397" s="2">
        <f t="shared" si="199"/>
        <v>1475420</v>
      </c>
      <c r="AG397" s="38" t="s">
        <v>486</v>
      </c>
      <c r="AH397" s="38"/>
      <c r="AI397" s="30">
        <v>0</v>
      </c>
      <c r="AJ397" s="30">
        <v>0</v>
      </c>
    </row>
    <row r="398" spans="1:36" s="179" customFormat="1" ht="141.75" x14ac:dyDescent="0.25">
      <c r="A398" s="6">
        <v>395</v>
      </c>
      <c r="B398" s="31">
        <v>154597</v>
      </c>
      <c r="C398" s="31">
        <v>1195</v>
      </c>
      <c r="D398" s="9" t="s">
        <v>1639</v>
      </c>
      <c r="E398" s="24" t="s">
        <v>2024</v>
      </c>
      <c r="F398" s="11" t="s">
        <v>2087</v>
      </c>
      <c r="G398" s="31" t="s">
        <v>2086</v>
      </c>
      <c r="H398" s="8" t="s">
        <v>151</v>
      </c>
      <c r="I398" s="12" t="s">
        <v>2088</v>
      </c>
      <c r="J398" s="25">
        <v>44655</v>
      </c>
      <c r="K398" s="25">
        <v>45142</v>
      </c>
      <c r="L398" s="26">
        <f t="shared" si="194"/>
        <v>85</v>
      </c>
      <c r="M398" s="11">
        <v>3</v>
      </c>
      <c r="N398" s="11" t="s">
        <v>485</v>
      </c>
      <c r="O398" s="11" t="s">
        <v>2089</v>
      </c>
      <c r="P398" s="11" t="s">
        <v>174</v>
      </c>
      <c r="Q398" s="11" t="s">
        <v>460</v>
      </c>
      <c r="R398" s="1">
        <f t="shared" si="195"/>
        <v>2207679.5</v>
      </c>
      <c r="S398" s="42">
        <v>2207679.5</v>
      </c>
      <c r="T398" s="37">
        <v>0</v>
      </c>
      <c r="U398" s="1">
        <f t="shared" si="196"/>
        <v>337645.1</v>
      </c>
      <c r="V398" s="42">
        <v>337645.1</v>
      </c>
      <c r="W398" s="89">
        <v>0</v>
      </c>
      <c r="X398" s="1">
        <f t="shared" si="197"/>
        <v>51945.4</v>
      </c>
      <c r="Y398" s="30">
        <v>51945.4</v>
      </c>
      <c r="Z398" s="30">
        <v>0</v>
      </c>
      <c r="AA398" s="2">
        <f t="shared" si="198"/>
        <v>0</v>
      </c>
      <c r="AB398" s="51">
        <v>0</v>
      </c>
      <c r="AC398" s="51">
        <v>0</v>
      </c>
      <c r="AD398" s="16">
        <f t="shared" si="200"/>
        <v>2597270</v>
      </c>
      <c r="AE398" s="35">
        <v>0</v>
      </c>
      <c r="AF398" s="2">
        <f t="shared" si="199"/>
        <v>2597270</v>
      </c>
      <c r="AG398" s="38" t="s">
        <v>486</v>
      </c>
      <c r="AH398" s="38"/>
      <c r="AI398" s="30">
        <v>259700</v>
      </c>
      <c r="AJ398" s="30">
        <v>0</v>
      </c>
    </row>
    <row r="399" spans="1:36" s="179" customFormat="1" ht="236.25" x14ac:dyDescent="0.25">
      <c r="A399" s="6">
        <v>396</v>
      </c>
      <c r="B399" s="31">
        <v>154845</v>
      </c>
      <c r="C399" s="31">
        <v>1160</v>
      </c>
      <c r="D399" s="9" t="s">
        <v>1639</v>
      </c>
      <c r="E399" s="24" t="s">
        <v>2024</v>
      </c>
      <c r="F399" s="11" t="s">
        <v>2099</v>
      </c>
      <c r="G399" s="31" t="s">
        <v>2098</v>
      </c>
      <c r="H399" s="8" t="s">
        <v>151</v>
      </c>
      <c r="I399" s="12" t="s">
        <v>2846</v>
      </c>
      <c r="J399" s="25">
        <v>44656</v>
      </c>
      <c r="K399" s="25">
        <v>45143</v>
      </c>
      <c r="L399" s="26">
        <f t="shared" si="194"/>
        <v>85.000000305451834</v>
      </c>
      <c r="M399" s="11">
        <v>3</v>
      </c>
      <c r="N399" s="11" t="s">
        <v>485</v>
      </c>
      <c r="O399" s="11" t="s">
        <v>2100</v>
      </c>
      <c r="P399" s="11" t="s">
        <v>174</v>
      </c>
      <c r="Q399" s="11" t="s">
        <v>460</v>
      </c>
      <c r="R399" s="1">
        <f t="shared" si="195"/>
        <v>2087072.03</v>
      </c>
      <c r="S399" s="42">
        <v>2087072.03</v>
      </c>
      <c r="T399" s="37">
        <v>0</v>
      </c>
      <c r="U399" s="1">
        <f t="shared" si="196"/>
        <v>319199.24</v>
      </c>
      <c r="V399" s="42">
        <v>319199.24</v>
      </c>
      <c r="W399" s="89">
        <v>0</v>
      </c>
      <c r="X399" s="1">
        <f t="shared" si="197"/>
        <v>49107.58</v>
      </c>
      <c r="Y399" s="30">
        <v>49107.58</v>
      </c>
      <c r="Z399" s="30">
        <v>0</v>
      </c>
      <c r="AA399" s="2">
        <f t="shared" si="198"/>
        <v>0</v>
      </c>
      <c r="AB399" s="51">
        <v>0</v>
      </c>
      <c r="AC399" s="51">
        <v>0</v>
      </c>
      <c r="AD399" s="16">
        <f t="shared" si="200"/>
        <v>2455378.85</v>
      </c>
      <c r="AE399" s="35">
        <v>0</v>
      </c>
      <c r="AF399" s="2">
        <f t="shared" si="199"/>
        <v>2455378.85</v>
      </c>
      <c r="AG399" s="38" t="s">
        <v>486</v>
      </c>
      <c r="AH399" s="38"/>
      <c r="AI399" s="30">
        <v>0</v>
      </c>
      <c r="AJ399" s="30">
        <v>0</v>
      </c>
    </row>
    <row r="400" spans="1:36" s="179" customFormat="1" ht="237" customHeight="1" x14ac:dyDescent="0.25">
      <c r="A400" s="6">
        <v>397</v>
      </c>
      <c r="B400" s="31">
        <v>154353</v>
      </c>
      <c r="C400" s="31">
        <v>1164</v>
      </c>
      <c r="D400" s="9" t="s">
        <v>1639</v>
      </c>
      <c r="E400" s="24" t="s">
        <v>2024</v>
      </c>
      <c r="F400" s="11" t="s">
        <v>2103</v>
      </c>
      <c r="G400" s="31" t="s">
        <v>2101</v>
      </c>
      <c r="H400" s="8" t="s">
        <v>151</v>
      </c>
      <c r="I400" s="12" t="s">
        <v>2847</v>
      </c>
      <c r="J400" s="25">
        <v>44656</v>
      </c>
      <c r="K400" s="25">
        <v>45143</v>
      </c>
      <c r="L400" s="26">
        <f t="shared" si="194"/>
        <v>85.000000687868351</v>
      </c>
      <c r="M400" s="11">
        <v>3</v>
      </c>
      <c r="N400" s="11" t="s">
        <v>485</v>
      </c>
      <c r="O400" s="11" t="s">
        <v>2102</v>
      </c>
      <c r="P400" s="11" t="s">
        <v>174</v>
      </c>
      <c r="Q400" s="11" t="s">
        <v>460</v>
      </c>
      <c r="R400" s="1">
        <f t="shared" si="195"/>
        <v>2162477.75</v>
      </c>
      <c r="S400" s="42">
        <v>2162477.75</v>
      </c>
      <c r="T400" s="37">
        <v>0</v>
      </c>
      <c r="U400" s="1">
        <f t="shared" si="196"/>
        <v>330731.87</v>
      </c>
      <c r="V400" s="42">
        <v>330731.87</v>
      </c>
      <c r="W400" s="89">
        <v>0</v>
      </c>
      <c r="X400" s="1">
        <f t="shared" si="197"/>
        <v>50881.83</v>
      </c>
      <c r="Y400" s="30">
        <v>50881.83</v>
      </c>
      <c r="Z400" s="30">
        <v>0</v>
      </c>
      <c r="AA400" s="2">
        <f t="shared" si="198"/>
        <v>0</v>
      </c>
      <c r="AB400" s="51">
        <v>0</v>
      </c>
      <c r="AC400" s="51">
        <v>0</v>
      </c>
      <c r="AD400" s="16">
        <f t="shared" si="200"/>
        <v>2544091.4500000002</v>
      </c>
      <c r="AE400" s="35">
        <v>0</v>
      </c>
      <c r="AF400" s="2">
        <f t="shared" si="199"/>
        <v>2544091.4500000002</v>
      </c>
      <c r="AG400" s="38" t="s">
        <v>486</v>
      </c>
      <c r="AH400" s="38"/>
      <c r="AI400" s="30">
        <v>0</v>
      </c>
      <c r="AJ400" s="30">
        <v>0</v>
      </c>
    </row>
    <row r="401" spans="1:36" s="179" customFormat="1" ht="166.5" customHeight="1" x14ac:dyDescent="0.25">
      <c r="A401" s="6">
        <v>398</v>
      </c>
      <c r="B401" s="31">
        <v>154662</v>
      </c>
      <c r="C401" s="31">
        <v>1177</v>
      </c>
      <c r="D401" s="9" t="s">
        <v>1639</v>
      </c>
      <c r="E401" s="24" t="s">
        <v>2024</v>
      </c>
      <c r="F401" s="11" t="s">
        <v>2104</v>
      </c>
      <c r="G401" s="31" t="s">
        <v>2105</v>
      </c>
      <c r="H401" s="8" t="s">
        <v>151</v>
      </c>
      <c r="I401" s="12" t="s">
        <v>2848</v>
      </c>
      <c r="J401" s="25">
        <v>44657</v>
      </c>
      <c r="K401" s="25">
        <v>45144</v>
      </c>
      <c r="L401" s="26">
        <f t="shared" ref="L401:L413" si="201">R401/AD401*100</f>
        <v>85.000000687868351</v>
      </c>
      <c r="M401" s="11">
        <v>3</v>
      </c>
      <c r="N401" s="11" t="s">
        <v>485</v>
      </c>
      <c r="O401" s="11" t="s">
        <v>2106</v>
      </c>
      <c r="P401" s="11" t="s">
        <v>174</v>
      </c>
      <c r="Q401" s="11" t="s">
        <v>460</v>
      </c>
      <c r="R401" s="1">
        <f t="shared" si="195"/>
        <v>2162477.75</v>
      </c>
      <c r="S401" s="42">
        <v>2162477.75</v>
      </c>
      <c r="T401" s="37">
        <v>0</v>
      </c>
      <c r="U401" s="1">
        <f t="shared" si="196"/>
        <v>330731.87</v>
      </c>
      <c r="V401" s="42">
        <v>330731.87</v>
      </c>
      <c r="W401" s="89">
        <v>0</v>
      </c>
      <c r="X401" s="1">
        <f t="shared" si="197"/>
        <v>50881.83</v>
      </c>
      <c r="Y401" s="30">
        <v>50881.83</v>
      </c>
      <c r="Z401" s="30">
        <v>0</v>
      </c>
      <c r="AA401" s="2">
        <f t="shared" si="198"/>
        <v>0</v>
      </c>
      <c r="AB401" s="51">
        <v>0</v>
      </c>
      <c r="AC401" s="51">
        <v>0</v>
      </c>
      <c r="AD401" s="16">
        <f t="shared" si="200"/>
        <v>2544091.4500000002</v>
      </c>
      <c r="AE401" s="35">
        <v>0</v>
      </c>
      <c r="AF401" s="2">
        <f t="shared" ref="AF401:AF413" si="202">AD401+AE401</f>
        <v>2544091.4500000002</v>
      </c>
      <c r="AG401" s="38" t="s">
        <v>486</v>
      </c>
      <c r="AH401" s="38"/>
      <c r="AI401" s="30">
        <v>0</v>
      </c>
      <c r="AJ401" s="30">
        <v>0</v>
      </c>
    </row>
    <row r="402" spans="1:36" s="179" customFormat="1" ht="166.5" customHeight="1" x14ac:dyDescent="0.25">
      <c r="A402" s="6">
        <v>399</v>
      </c>
      <c r="B402" s="31">
        <v>154480</v>
      </c>
      <c r="C402" s="31">
        <v>1166</v>
      </c>
      <c r="D402" s="9" t="s">
        <v>1639</v>
      </c>
      <c r="E402" s="24" t="s">
        <v>2024</v>
      </c>
      <c r="F402" s="11" t="s">
        <v>2119</v>
      </c>
      <c r="G402" s="31" t="s">
        <v>2118</v>
      </c>
      <c r="H402" s="8" t="s">
        <v>151</v>
      </c>
      <c r="I402" s="12" t="s">
        <v>2849</v>
      </c>
      <c r="J402" s="25">
        <v>44658</v>
      </c>
      <c r="K402" s="25">
        <v>45145</v>
      </c>
      <c r="L402" s="26">
        <f t="shared" si="201"/>
        <v>85.000000389203606</v>
      </c>
      <c r="M402" s="11">
        <v>3</v>
      </c>
      <c r="N402" s="11" t="s">
        <v>485</v>
      </c>
      <c r="O402" s="11" t="s">
        <v>2120</v>
      </c>
      <c r="P402" s="11" t="s">
        <v>174</v>
      </c>
      <c r="Q402" s="11" t="s">
        <v>460</v>
      </c>
      <c r="R402" s="1">
        <f t="shared" si="195"/>
        <v>2183946.83</v>
      </c>
      <c r="S402" s="42">
        <v>2183946.83</v>
      </c>
      <c r="T402" s="37">
        <v>0</v>
      </c>
      <c r="U402" s="1">
        <f t="shared" si="196"/>
        <v>334015.39</v>
      </c>
      <c r="V402" s="42">
        <v>334015.39</v>
      </c>
      <c r="W402" s="89">
        <v>0</v>
      </c>
      <c r="X402" s="1">
        <f t="shared" si="197"/>
        <v>51386.98</v>
      </c>
      <c r="Y402" s="30">
        <v>51386.98</v>
      </c>
      <c r="Z402" s="30">
        <v>0</v>
      </c>
      <c r="AA402" s="2">
        <f t="shared" si="198"/>
        <v>0</v>
      </c>
      <c r="AB402" s="51">
        <v>0</v>
      </c>
      <c r="AC402" s="51">
        <v>0</v>
      </c>
      <c r="AD402" s="16">
        <f t="shared" si="200"/>
        <v>2569349.2000000002</v>
      </c>
      <c r="AE402" s="35">
        <v>0</v>
      </c>
      <c r="AF402" s="2">
        <f t="shared" si="202"/>
        <v>2569349.2000000002</v>
      </c>
      <c r="AG402" s="38" t="s">
        <v>486</v>
      </c>
      <c r="AH402" s="38"/>
      <c r="AI402" s="30">
        <v>0</v>
      </c>
      <c r="AJ402" s="30">
        <v>0</v>
      </c>
    </row>
    <row r="403" spans="1:36" s="179" customFormat="1" ht="166.5" customHeight="1" x14ac:dyDescent="0.25">
      <c r="A403" s="6">
        <v>400</v>
      </c>
      <c r="B403" s="31">
        <v>155168</v>
      </c>
      <c r="C403" s="31">
        <v>1199</v>
      </c>
      <c r="D403" s="9" t="s">
        <v>1639</v>
      </c>
      <c r="E403" s="24" t="s">
        <v>2024</v>
      </c>
      <c r="F403" s="11" t="s">
        <v>2131</v>
      </c>
      <c r="G403" s="31" t="s">
        <v>2130</v>
      </c>
      <c r="H403" s="8" t="s">
        <v>151</v>
      </c>
      <c r="I403" s="12" t="s">
        <v>2850</v>
      </c>
      <c r="J403" s="25">
        <v>44662</v>
      </c>
      <c r="K403" s="25">
        <v>45149</v>
      </c>
      <c r="L403" s="26">
        <f t="shared" si="201"/>
        <v>85</v>
      </c>
      <c r="M403" s="11">
        <v>3</v>
      </c>
      <c r="N403" s="11" t="s">
        <v>485</v>
      </c>
      <c r="O403" s="11" t="s">
        <v>2132</v>
      </c>
      <c r="P403" s="11" t="s">
        <v>174</v>
      </c>
      <c r="Q403" s="11" t="s">
        <v>460</v>
      </c>
      <c r="R403" s="1">
        <f t="shared" si="195"/>
        <v>2246295</v>
      </c>
      <c r="S403" s="42">
        <v>2246295</v>
      </c>
      <c r="T403" s="37">
        <v>0</v>
      </c>
      <c r="U403" s="1">
        <f t="shared" si="196"/>
        <v>343551</v>
      </c>
      <c r="V403" s="42">
        <v>343551</v>
      </c>
      <c r="W403" s="89">
        <v>0</v>
      </c>
      <c r="X403" s="1">
        <f t="shared" si="197"/>
        <v>52854</v>
      </c>
      <c r="Y403" s="30">
        <v>52854</v>
      </c>
      <c r="Z403" s="30">
        <v>0</v>
      </c>
      <c r="AA403" s="2">
        <f t="shared" si="198"/>
        <v>0</v>
      </c>
      <c r="AB403" s="51">
        <v>0</v>
      </c>
      <c r="AC403" s="51">
        <v>0</v>
      </c>
      <c r="AD403" s="16">
        <f t="shared" si="200"/>
        <v>2642700</v>
      </c>
      <c r="AE403" s="35">
        <v>0</v>
      </c>
      <c r="AF403" s="2">
        <f t="shared" si="202"/>
        <v>2642700</v>
      </c>
      <c r="AG403" s="38" t="s">
        <v>486</v>
      </c>
      <c r="AH403" s="38"/>
      <c r="AI403" s="30">
        <v>0</v>
      </c>
      <c r="AJ403" s="30">
        <v>0</v>
      </c>
    </row>
    <row r="404" spans="1:36" s="179" customFormat="1" ht="166.5" customHeight="1" x14ac:dyDescent="0.25">
      <c r="A404" s="6">
        <v>401</v>
      </c>
      <c r="B404" s="31">
        <v>154663</v>
      </c>
      <c r="C404" s="31">
        <v>1162</v>
      </c>
      <c r="D404" s="9" t="s">
        <v>1639</v>
      </c>
      <c r="E404" s="24" t="s">
        <v>2024</v>
      </c>
      <c r="F404" s="11" t="s">
        <v>2135</v>
      </c>
      <c r="G404" s="31" t="s">
        <v>2134</v>
      </c>
      <c r="H404" s="8" t="s">
        <v>151</v>
      </c>
      <c r="I404" s="12" t="s">
        <v>2851</v>
      </c>
      <c r="J404" s="25">
        <v>44664</v>
      </c>
      <c r="K404" s="25">
        <v>45151</v>
      </c>
      <c r="L404" s="26">
        <f t="shared" si="201"/>
        <v>85.000000686904471</v>
      </c>
      <c r="M404" s="11">
        <v>3</v>
      </c>
      <c r="N404" s="11" t="s">
        <v>485</v>
      </c>
      <c r="O404" s="11" t="s">
        <v>2136</v>
      </c>
      <c r="P404" s="11" t="s">
        <v>174</v>
      </c>
      <c r="Q404" s="11" t="s">
        <v>460</v>
      </c>
      <c r="R404" s="1">
        <f t="shared" si="195"/>
        <v>2165512.25</v>
      </c>
      <c r="S404" s="42">
        <v>2165512.25</v>
      </c>
      <c r="T404" s="37">
        <v>0</v>
      </c>
      <c r="U404" s="1">
        <f t="shared" si="196"/>
        <v>331195.96999999997</v>
      </c>
      <c r="V404" s="42">
        <v>331195.96999999997</v>
      </c>
      <c r="W404" s="89">
        <v>0</v>
      </c>
      <c r="X404" s="1">
        <f t="shared" si="197"/>
        <v>50953.23</v>
      </c>
      <c r="Y404" s="30">
        <v>50953.23</v>
      </c>
      <c r="Z404" s="30">
        <v>0</v>
      </c>
      <c r="AA404" s="2">
        <f t="shared" si="198"/>
        <v>0</v>
      </c>
      <c r="AB404" s="51">
        <v>0</v>
      </c>
      <c r="AC404" s="51">
        <v>0</v>
      </c>
      <c r="AD404" s="16">
        <f t="shared" si="200"/>
        <v>2547661.4499999997</v>
      </c>
      <c r="AE404" s="35">
        <v>0</v>
      </c>
      <c r="AF404" s="2">
        <f t="shared" si="202"/>
        <v>2547661.4499999997</v>
      </c>
      <c r="AG404" s="38" t="s">
        <v>486</v>
      </c>
      <c r="AH404" s="38"/>
      <c r="AI404" s="30">
        <v>0</v>
      </c>
      <c r="AJ404" s="30">
        <v>0</v>
      </c>
    </row>
    <row r="405" spans="1:36" s="179" customFormat="1" ht="166.5" customHeight="1" x14ac:dyDescent="0.25">
      <c r="A405" s="6">
        <v>402</v>
      </c>
      <c r="B405" s="31">
        <v>155128</v>
      </c>
      <c r="C405" s="31">
        <v>1163</v>
      </c>
      <c r="D405" s="9" t="s">
        <v>1639</v>
      </c>
      <c r="E405" s="24" t="s">
        <v>2024</v>
      </c>
      <c r="F405" s="11" t="s">
        <v>2140</v>
      </c>
      <c r="G405" s="31" t="s">
        <v>2141</v>
      </c>
      <c r="H405" s="8" t="s">
        <v>151</v>
      </c>
      <c r="I405" s="12" t="s">
        <v>2852</v>
      </c>
      <c r="J405" s="25">
        <v>44662</v>
      </c>
      <c r="K405" s="25">
        <v>45149</v>
      </c>
      <c r="L405" s="26">
        <f t="shared" si="201"/>
        <v>85.000000429467406</v>
      </c>
      <c r="M405" s="11">
        <v>3</v>
      </c>
      <c r="N405" s="11" t="s">
        <v>485</v>
      </c>
      <c r="O405" s="11" t="s">
        <v>2142</v>
      </c>
      <c r="P405" s="11" t="s">
        <v>174</v>
      </c>
      <c r="Q405" s="11" t="s">
        <v>460</v>
      </c>
      <c r="R405" s="1">
        <f t="shared" si="195"/>
        <v>2177115.16</v>
      </c>
      <c r="S405" s="42">
        <v>2177115.16</v>
      </c>
      <c r="T405" s="37">
        <v>0</v>
      </c>
      <c r="U405" s="1">
        <f t="shared" si="196"/>
        <v>332970.53999999998</v>
      </c>
      <c r="V405" s="42">
        <v>332970.53999999998</v>
      </c>
      <c r="W405" s="89">
        <v>0</v>
      </c>
      <c r="X405" s="1">
        <f t="shared" si="197"/>
        <v>51226.239999999998</v>
      </c>
      <c r="Y405" s="30">
        <v>51226.239999999998</v>
      </c>
      <c r="Z405" s="30">
        <v>0</v>
      </c>
      <c r="AA405" s="2">
        <f t="shared" si="198"/>
        <v>0</v>
      </c>
      <c r="AB405" s="51">
        <v>0</v>
      </c>
      <c r="AC405" s="51">
        <v>0</v>
      </c>
      <c r="AD405" s="16">
        <f t="shared" si="200"/>
        <v>2561311.9400000004</v>
      </c>
      <c r="AE405" s="35">
        <v>0</v>
      </c>
      <c r="AF405" s="2">
        <f t="shared" si="202"/>
        <v>2561311.9400000004</v>
      </c>
      <c r="AG405" s="38" t="s">
        <v>486</v>
      </c>
      <c r="AH405" s="38"/>
      <c r="AI405" s="30">
        <v>0</v>
      </c>
      <c r="AJ405" s="30">
        <v>0</v>
      </c>
    </row>
    <row r="406" spans="1:36" s="179" customFormat="1" ht="166.5" customHeight="1" x14ac:dyDescent="0.25">
      <c r="A406" s="6">
        <v>403</v>
      </c>
      <c r="B406" s="31">
        <v>154660</v>
      </c>
      <c r="C406" s="31">
        <v>1161</v>
      </c>
      <c r="D406" s="9" t="s">
        <v>1639</v>
      </c>
      <c r="E406" s="24" t="s">
        <v>2024</v>
      </c>
      <c r="F406" s="11" t="s">
        <v>2146</v>
      </c>
      <c r="G406" s="31" t="s">
        <v>2145</v>
      </c>
      <c r="H406" s="8" t="s">
        <v>151</v>
      </c>
      <c r="I406" s="12" t="s">
        <v>2853</v>
      </c>
      <c r="J406" s="25">
        <v>44665</v>
      </c>
      <c r="K406" s="25">
        <v>45152</v>
      </c>
      <c r="L406" s="26">
        <f t="shared" si="201"/>
        <v>85.000000687225452</v>
      </c>
      <c r="M406" s="11">
        <v>3</v>
      </c>
      <c r="N406" s="11" t="s">
        <v>485</v>
      </c>
      <c r="O406" s="11" t="s">
        <v>2147</v>
      </c>
      <c r="P406" s="11" t="s">
        <v>174</v>
      </c>
      <c r="Q406" s="11" t="s">
        <v>460</v>
      </c>
      <c r="R406" s="1">
        <f t="shared" si="195"/>
        <v>2164500.75</v>
      </c>
      <c r="S406" s="42">
        <v>2164500.75</v>
      </c>
      <c r="T406" s="37">
        <v>0</v>
      </c>
      <c r="U406" s="1">
        <f t="shared" si="196"/>
        <v>331041.27</v>
      </c>
      <c r="V406" s="42">
        <v>331041.27</v>
      </c>
      <c r="W406" s="89">
        <v>0</v>
      </c>
      <c r="X406" s="1">
        <f t="shared" si="197"/>
        <v>50929.43</v>
      </c>
      <c r="Y406" s="30">
        <v>50929.43</v>
      </c>
      <c r="Z406" s="30">
        <v>0</v>
      </c>
      <c r="AA406" s="2">
        <f t="shared" si="198"/>
        <v>0</v>
      </c>
      <c r="AB406" s="51">
        <v>0</v>
      </c>
      <c r="AC406" s="51">
        <v>0</v>
      </c>
      <c r="AD406" s="16">
        <f t="shared" si="200"/>
        <v>2546471.4500000002</v>
      </c>
      <c r="AE406" s="35">
        <v>0</v>
      </c>
      <c r="AF406" s="2">
        <f t="shared" si="202"/>
        <v>2546471.4500000002</v>
      </c>
      <c r="AG406" s="38" t="s">
        <v>486</v>
      </c>
      <c r="AH406" s="38"/>
      <c r="AI406" s="30">
        <v>0</v>
      </c>
      <c r="AJ406" s="30">
        <v>0</v>
      </c>
    </row>
    <row r="407" spans="1:36" s="179" customFormat="1" ht="141.75" customHeight="1" x14ac:dyDescent="0.25">
      <c r="A407" s="6">
        <v>404</v>
      </c>
      <c r="B407" s="31">
        <v>154763</v>
      </c>
      <c r="C407" s="31">
        <v>1215</v>
      </c>
      <c r="D407" s="9" t="s">
        <v>1639</v>
      </c>
      <c r="E407" s="24" t="s">
        <v>2024</v>
      </c>
      <c r="F407" s="11" t="s">
        <v>2152</v>
      </c>
      <c r="G407" s="31" t="s">
        <v>2151</v>
      </c>
      <c r="H407" s="8" t="s">
        <v>151</v>
      </c>
      <c r="I407" s="12" t="s">
        <v>2854</v>
      </c>
      <c r="J407" s="25">
        <v>44665</v>
      </c>
      <c r="K407" s="25">
        <v>45152</v>
      </c>
      <c r="L407" s="26">
        <f t="shared" si="201"/>
        <v>85</v>
      </c>
      <c r="M407" s="11">
        <v>3</v>
      </c>
      <c r="N407" s="11" t="s">
        <v>485</v>
      </c>
      <c r="O407" s="11" t="s">
        <v>2153</v>
      </c>
      <c r="P407" s="11" t="s">
        <v>174</v>
      </c>
      <c r="Q407" s="11" t="s">
        <v>460</v>
      </c>
      <c r="R407" s="1">
        <f t="shared" si="195"/>
        <v>1254107</v>
      </c>
      <c r="S407" s="42">
        <v>1254107</v>
      </c>
      <c r="T407" s="37">
        <v>0</v>
      </c>
      <c r="U407" s="1">
        <f t="shared" si="196"/>
        <v>191804.6</v>
      </c>
      <c r="V407" s="42">
        <v>191804.6</v>
      </c>
      <c r="W407" s="89">
        <v>0</v>
      </c>
      <c r="X407" s="1">
        <f>Y407+Z407</f>
        <v>29508.400000000001</v>
      </c>
      <c r="Y407" s="30">
        <v>29508.400000000001</v>
      </c>
      <c r="Z407" s="30">
        <v>0</v>
      </c>
      <c r="AA407" s="2">
        <f t="shared" si="198"/>
        <v>0</v>
      </c>
      <c r="AB407" s="51">
        <v>0</v>
      </c>
      <c r="AC407" s="51">
        <v>0</v>
      </c>
      <c r="AD407" s="16">
        <f t="shared" si="200"/>
        <v>1475420</v>
      </c>
      <c r="AE407" s="35">
        <v>0</v>
      </c>
      <c r="AF407" s="2">
        <f t="shared" si="202"/>
        <v>1475420</v>
      </c>
      <c r="AG407" s="38" t="s">
        <v>486</v>
      </c>
      <c r="AH407" s="38"/>
      <c r="AI407" s="30">
        <v>147000</v>
      </c>
      <c r="AJ407" s="30">
        <v>0</v>
      </c>
    </row>
    <row r="408" spans="1:36" s="179" customFormat="1" ht="141.75" customHeight="1" x14ac:dyDescent="0.25">
      <c r="A408" s="6">
        <v>405</v>
      </c>
      <c r="B408" s="31">
        <v>154984</v>
      </c>
      <c r="C408" s="31">
        <v>1198</v>
      </c>
      <c r="D408" s="9" t="s">
        <v>1639</v>
      </c>
      <c r="E408" s="24" t="s">
        <v>2024</v>
      </c>
      <c r="F408" s="11" t="s">
        <v>2190</v>
      </c>
      <c r="G408" s="31" t="s">
        <v>2189</v>
      </c>
      <c r="H408" s="8" t="s">
        <v>151</v>
      </c>
      <c r="I408" s="12" t="s">
        <v>2855</v>
      </c>
      <c r="J408" s="25">
        <v>44680</v>
      </c>
      <c r="K408" s="25">
        <v>45167</v>
      </c>
      <c r="L408" s="26">
        <f t="shared" si="201"/>
        <v>85</v>
      </c>
      <c r="M408" s="11">
        <v>3</v>
      </c>
      <c r="N408" s="11" t="s">
        <v>485</v>
      </c>
      <c r="O408" s="11" t="s">
        <v>2191</v>
      </c>
      <c r="P408" s="11" t="s">
        <v>174</v>
      </c>
      <c r="Q408" s="11" t="s">
        <v>460</v>
      </c>
      <c r="R408" s="1">
        <f t="shared" si="195"/>
        <v>2246295</v>
      </c>
      <c r="S408" s="42">
        <v>2246295</v>
      </c>
      <c r="T408" s="37">
        <v>0</v>
      </c>
      <c r="U408" s="1">
        <f t="shared" si="196"/>
        <v>343551</v>
      </c>
      <c r="V408" s="42">
        <v>343551</v>
      </c>
      <c r="W408" s="89">
        <v>0</v>
      </c>
      <c r="X408" s="1">
        <f t="shared" si="197"/>
        <v>52854</v>
      </c>
      <c r="Y408" s="30">
        <v>52854</v>
      </c>
      <c r="Z408" s="30">
        <v>0</v>
      </c>
      <c r="AA408" s="2">
        <f t="shared" si="198"/>
        <v>0</v>
      </c>
      <c r="AB408" s="51">
        <v>0</v>
      </c>
      <c r="AC408" s="51">
        <v>0</v>
      </c>
      <c r="AD408" s="16">
        <f t="shared" si="200"/>
        <v>2642700</v>
      </c>
      <c r="AE408" s="35">
        <v>0</v>
      </c>
      <c r="AF408" s="2">
        <f t="shared" si="202"/>
        <v>2642700</v>
      </c>
      <c r="AG408" s="38" t="s">
        <v>486</v>
      </c>
      <c r="AH408" s="38"/>
      <c r="AI408" s="30">
        <v>0</v>
      </c>
      <c r="AJ408" s="30">
        <v>0</v>
      </c>
    </row>
    <row r="409" spans="1:36" s="179" customFormat="1" ht="141.75" customHeight="1" x14ac:dyDescent="0.25">
      <c r="A409" s="6">
        <v>406</v>
      </c>
      <c r="B409" s="31">
        <v>155114</v>
      </c>
      <c r="C409" s="31">
        <v>1226</v>
      </c>
      <c r="D409" s="9" t="s">
        <v>1639</v>
      </c>
      <c r="E409" s="24" t="s">
        <v>2024</v>
      </c>
      <c r="F409" s="11" t="s">
        <v>2198</v>
      </c>
      <c r="G409" s="31" t="s">
        <v>520</v>
      </c>
      <c r="H409" s="8" t="s">
        <v>151</v>
      </c>
      <c r="I409" s="12" t="s">
        <v>2856</v>
      </c>
      <c r="J409" s="25">
        <v>44685</v>
      </c>
      <c r="K409" s="25">
        <v>45173</v>
      </c>
      <c r="L409" s="26">
        <f t="shared" si="201"/>
        <v>85.00000005274461</v>
      </c>
      <c r="M409" s="11">
        <v>3</v>
      </c>
      <c r="N409" s="11" t="s">
        <v>485</v>
      </c>
      <c r="O409" s="11" t="s">
        <v>485</v>
      </c>
      <c r="P409" s="11" t="s">
        <v>174</v>
      </c>
      <c r="Q409" s="11" t="s">
        <v>460</v>
      </c>
      <c r="R409" s="1">
        <f t="shared" si="195"/>
        <v>3223078.69</v>
      </c>
      <c r="S409" s="42">
        <v>3223078.69</v>
      </c>
      <c r="T409" s="37">
        <v>0</v>
      </c>
      <c r="U409" s="1">
        <f t="shared" si="196"/>
        <v>492941.44</v>
      </c>
      <c r="V409" s="42">
        <v>492941.44</v>
      </c>
      <c r="W409" s="89">
        <v>0</v>
      </c>
      <c r="X409" s="1">
        <f t="shared" si="197"/>
        <v>75837.149999999994</v>
      </c>
      <c r="Y409" s="30">
        <v>75837.149999999994</v>
      </c>
      <c r="Z409" s="30">
        <v>0</v>
      </c>
      <c r="AA409" s="2">
        <f t="shared" si="198"/>
        <v>0</v>
      </c>
      <c r="AB409" s="51">
        <v>0</v>
      </c>
      <c r="AC409" s="51">
        <v>0</v>
      </c>
      <c r="AD409" s="16">
        <f t="shared" si="200"/>
        <v>3791857.28</v>
      </c>
      <c r="AE409" s="35">
        <v>0</v>
      </c>
      <c r="AF409" s="2">
        <f t="shared" si="202"/>
        <v>3791857.28</v>
      </c>
      <c r="AG409" s="38" t="s">
        <v>486</v>
      </c>
      <c r="AH409" s="38"/>
      <c r="AI409" s="30">
        <v>0</v>
      </c>
      <c r="AJ409" s="30">
        <v>0</v>
      </c>
    </row>
    <row r="410" spans="1:36" s="179" customFormat="1" ht="141.75" customHeight="1" x14ac:dyDescent="0.25">
      <c r="A410" s="6">
        <v>407</v>
      </c>
      <c r="B410" s="31">
        <v>154551</v>
      </c>
      <c r="C410" s="31">
        <v>1207</v>
      </c>
      <c r="D410" s="9" t="s">
        <v>1639</v>
      </c>
      <c r="E410" s="24" t="s">
        <v>2024</v>
      </c>
      <c r="F410" s="11" t="s">
        <v>2222</v>
      </c>
      <c r="G410" s="31" t="s">
        <v>1971</v>
      </c>
      <c r="H410" s="8" t="s">
        <v>151</v>
      </c>
      <c r="I410" s="12" t="s">
        <v>2857</v>
      </c>
      <c r="J410" s="25">
        <v>44697</v>
      </c>
      <c r="K410" s="25">
        <v>45185</v>
      </c>
      <c r="L410" s="26">
        <f t="shared" si="201"/>
        <v>85</v>
      </c>
      <c r="M410" s="11">
        <v>3</v>
      </c>
      <c r="N410" s="11" t="s">
        <v>485</v>
      </c>
      <c r="O410" s="11" t="s">
        <v>485</v>
      </c>
      <c r="P410" s="11" t="s">
        <v>174</v>
      </c>
      <c r="Q410" s="11" t="s">
        <v>460</v>
      </c>
      <c r="R410" s="1">
        <f t="shared" si="195"/>
        <v>2362902.25</v>
      </c>
      <c r="S410" s="42">
        <v>2362902.25</v>
      </c>
      <c r="T410" s="37">
        <v>0</v>
      </c>
      <c r="U410" s="1">
        <f t="shared" si="196"/>
        <v>361385.05</v>
      </c>
      <c r="V410" s="42">
        <v>361385.05</v>
      </c>
      <c r="W410" s="89">
        <v>0</v>
      </c>
      <c r="X410" s="1">
        <f t="shared" si="197"/>
        <v>55597.7</v>
      </c>
      <c r="Y410" s="30">
        <v>55597.7</v>
      </c>
      <c r="Z410" s="30">
        <v>0</v>
      </c>
      <c r="AA410" s="2">
        <f t="shared" si="198"/>
        <v>0</v>
      </c>
      <c r="AB410" s="51">
        <v>0</v>
      </c>
      <c r="AC410" s="51">
        <v>0</v>
      </c>
      <c r="AD410" s="16">
        <f t="shared" si="200"/>
        <v>2779885</v>
      </c>
      <c r="AE410" s="35">
        <v>0</v>
      </c>
      <c r="AF410" s="2">
        <f t="shared" si="202"/>
        <v>2779885</v>
      </c>
      <c r="AG410" s="38" t="s">
        <v>486</v>
      </c>
      <c r="AH410" s="38"/>
      <c r="AI410" s="30">
        <v>0</v>
      </c>
      <c r="AJ410" s="30">
        <v>0</v>
      </c>
    </row>
    <row r="411" spans="1:36" s="179" customFormat="1" ht="141.75" customHeight="1" x14ac:dyDescent="0.25">
      <c r="A411" s="6">
        <v>408</v>
      </c>
      <c r="B411" s="31">
        <v>155111</v>
      </c>
      <c r="C411" s="31">
        <v>1230</v>
      </c>
      <c r="D411" s="9" t="s">
        <v>1639</v>
      </c>
      <c r="E411" s="24" t="s">
        <v>2024</v>
      </c>
      <c r="F411" s="11" t="s">
        <v>2226</v>
      </c>
      <c r="G411" s="31" t="s">
        <v>2225</v>
      </c>
      <c r="H411" s="8" t="s">
        <v>151</v>
      </c>
      <c r="I411" s="12" t="s">
        <v>2858</v>
      </c>
      <c r="J411" s="25">
        <v>44700</v>
      </c>
      <c r="K411" s="25">
        <v>45188</v>
      </c>
      <c r="L411" s="26">
        <f t="shared" si="201"/>
        <v>85.000000242087992</v>
      </c>
      <c r="M411" s="11">
        <v>3</v>
      </c>
      <c r="N411" s="11" t="s">
        <v>485</v>
      </c>
      <c r="O411" s="11" t="s">
        <v>2227</v>
      </c>
      <c r="P411" s="11" t="s">
        <v>174</v>
      </c>
      <c r="Q411" s="11" t="s">
        <v>460</v>
      </c>
      <c r="R411" s="1">
        <f t="shared" si="195"/>
        <v>877780</v>
      </c>
      <c r="S411" s="42">
        <v>877780</v>
      </c>
      <c r="T411" s="37">
        <v>0</v>
      </c>
      <c r="U411" s="1">
        <f t="shared" si="196"/>
        <v>134248.70000000001</v>
      </c>
      <c r="V411" s="42">
        <v>134248.70000000001</v>
      </c>
      <c r="W411" s="89">
        <v>0</v>
      </c>
      <c r="X411" s="1">
        <f t="shared" si="197"/>
        <v>20653.650000000001</v>
      </c>
      <c r="Y411" s="30">
        <v>20653.650000000001</v>
      </c>
      <c r="Z411" s="30">
        <v>0</v>
      </c>
      <c r="AA411" s="2">
        <f t="shared" si="198"/>
        <v>0</v>
      </c>
      <c r="AB411" s="51">
        <v>0</v>
      </c>
      <c r="AC411" s="51">
        <v>0</v>
      </c>
      <c r="AD411" s="16">
        <f t="shared" si="200"/>
        <v>1032682.35</v>
      </c>
      <c r="AE411" s="35">
        <v>0</v>
      </c>
      <c r="AF411" s="2">
        <f t="shared" si="202"/>
        <v>1032682.35</v>
      </c>
      <c r="AG411" s="38" t="s">
        <v>486</v>
      </c>
      <c r="AH411" s="38"/>
      <c r="AI411" s="30">
        <v>0</v>
      </c>
      <c r="AJ411" s="30">
        <v>0</v>
      </c>
    </row>
    <row r="412" spans="1:36" s="179" customFormat="1" ht="141.75" customHeight="1" x14ac:dyDescent="0.25">
      <c r="A412" s="6">
        <v>409</v>
      </c>
      <c r="B412" s="31">
        <v>154658</v>
      </c>
      <c r="C412" s="31">
        <v>1211</v>
      </c>
      <c r="D412" s="9" t="s">
        <v>1639</v>
      </c>
      <c r="E412" s="24" t="s">
        <v>2024</v>
      </c>
      <c r="F412" s="11" t="s">
        <v>2244</v>
      </c>
      <c r="G412" s="31" t="s">
        <v>2243</v>
      </c>
      <c r="H412" s="8" t="s">
        <v>151</v>
      </c>
      <c r="I412" s="12" t="s">
        <v>2246</v>
      </c>
      <c r="J412" s="25">
        <v>44708</v>
      </c>
      <c r="K412" s="25">
        <v>45196</v>
      </c>
      <c r="L412" s="26">
        <f t="shared" si="201"/>
        <v>85</v>
      </c>
      <c r="M412" s="11">
        <v>3</v>
      </c>
      <c r="N412" s="11" t="s">
        <v>485</v>
      </c>
      <c r="O412" s="11" t="s">
        <v>2245</v>
      </c>
      <c r="P412" s="11" t="s">
        <v>174</v>
      </c>
      <c r="Q412" s="11" t="s">
        <v>460</v>
      </c>
      <c r="R412" s="1">
        <f t="shared" si="195"/>
        <v>2107541</v>
      </c>
      <c r="S412" s="42">
        <v>2107541</v>
      </c>
      <c r="T412" s="37">
        <v>0</v>
      </c>
      <c r="U412" s="1">
        <f t="shared" si="196"/>
        <v>322329.8</v>
      </c>
      <c r="V412" s="42">
        <v>322329.8</v>
      </c>
      <c r="W412" s="89">
        <v>0</v>
      </c>
      <c r="X412" s="1">
        <f t="shared" si="197"/>
        <v>49589.2</v>
      </c>
      <c r="Y412" s="30">
        <v>49589.2</v>
      </c>
      <c r="Z412" s="30">
        <v>0</v>
      </c>
      <c r="AA412" s="2">
        <f t="shared" si="198"/>
        <v>0</v>
      </c>
      <c r="AB412" s="51">
        <v>0</v>
      </c>
      <c r="AC412" s="51">
        <v>0</v>
      </c>
      <c r="AD412" s="16">
        <f t="shared" si="200"/>
        <v>2479460</v>
      </c>
      <c r="AE412" s="35">
        <v>0</v>
      </c>
      <c r="AF412" s="2">
        <f t="shared" si="202"/>
        <v>2479460</v>
      </c>
      <c r="AG412" s="38" t="s">
        <v>486</v>
      </c>
      <c r="AH412" s="38"/>
      <c r="AI412" s="30">
        <v>200000</v>
      </c>
      <c r="AJ412" s="30">
        <v>0</v>
      </c>
    </row>
    <row r="413" spans="1:36" s="179" customFormat="1" ht="141.75" customHeight="1" x14ac:dyDescent="0.25">
      <c r="A413" s="6">
        <v>410</v>
      </c>
      <c r="B413" s="31">
        <v>154721</v>
      </c>
      <c r="C413" s="31">
        <v>1209</v>
      </c>
      <c r="D413" s="9" t="s">
        <v>1639</v>
      </c>
      <c r="E413" s="24" t="s">
        <v>2024</v>
      </c>
      <c r="F413" s="11" t="s">
        <v>2248</v>
      </c>
      <c r="G413" s="31" t="s">
        <v>2247</v>
      </c>
      <c r="H413" s="8" t="s">
        <v>151</v>
      </c>
      <c r="I413" s="12" t="s">
        <v>2859</v>
      </c>
      <c r="J413" s="25">
        <v>44712</v>
      </c>
      <c r="K413" s="25">
        <v>45199</v>
      </c>
      <c r="L413" s="26">
        <f t="shared" si="201"/>
        <v>85</v>
      </c>
      <c r="M413" s="11">
        <v>3</v>
      </c>
      <c r="N413" s="11" t="s">
        <v>485</v>
      </c>
      <c r="O413" s="11" t="s">
        <v>2249</v>
      </c>
      <c r="P413" s="11" t="s">
        <v>174</v>
      </c>
      <c r="Q413" s="11" t="s">
        <v>460</v>
      </c>
      <c r="R413" s="1">
        <f t="shared" si="195"/>
        <v>2189472.5</v>
      </c>
      <c r="S413" s="42">
        <v>2189472.5</v>
      </c>
      <c r="T413" s="37"/>
      <c r="U413" s="1">
        <f t="shared" si="196"/>
        <v>334860.5</v>
      </c>
      <c r="V413" s="42">
        <v>334860.5</v>
      </c>
      <c r="W413" s="89">
        <v>0</v>
      </c>
      <c r="X413" s="1">
        <f t="shared" si="197"/>
        <v>51517</v>
      </c>
      <c r="Y413" s="30">
        <v>51517</v>
      </c>
      <c r="Z413" s="30">
        <v>0</v>
      </c>
      <c r="AA413" s="2">
        <f t="shared" si="198"/>
        <v>0</v>
      </c>
      <c r="AB413" s="51">
        <v>0</v>
      </c>
      <c r="AC413" s="51">
        <v>0</v>
      </c>
      <c r="AD413" s="16">
        <f t="shared" si="200"/>
        <v>2575850</v>
      </c>
      <c r="AE413" s="35">
        <v>0</v>
      </c>
      <c r="AF413" s="2">
        <f t="shared" si="202"/>
        <v>2575850</v>
      </c>
      <c r="AG413" s="38" t="s">
        <v>486</v>
      </c>
      <c r="AH413" s="38"/>
      <c r="AI413" s="30">
        <v>257585</v>
      </c>
      <c r="AJ413" s="30">
        <v>0</v>
      </c>
    </row>
    <row r="414" spans="1:36" s="179" customFormat="1" ht="220.5" x14ac:dyDescent="0.25">
      <c r="A414" s="6">
        <v>411</v>
      </c>
      <c r="B414" s="31">
        <v>119720</v>
      </c>
      <c r="C414" s="11">
        <v>481</v>
      </c>
      <c r="D414" s="9" t="s">
        <v>1639</v>
      </c>
      <c r="E414" s="11" t="s">
        <v>457</v>
      </c>
      <c r="F414" s="11" t="s">
        <v>487</v>
      </c>
      <c r="G414" s="11" t="s">
        <v>488</v>
      </c>
      <c r="H414" s="8" t="s">
        <v>151</v>
      </c>
      <c r="I414" s="46" t="s">
        <v>2860</v>
      </c>
      <c r="J414" s="25">
        <v>43264</v>
      </c>
      <c r="K414" s="25">
        <v>44056</v>
      </c>
      <c r="L414" s="26">
        <f t="shared" ref="L414:L423" si="203">R414/AD414*100</f>
        <v>85.00000159999999</v>
      </c>
      <c r="M414" s="39">
        <v>3</v>
      </c>
      <c r="N414" s="11" t="s">
        <v>1569</v>
      </c>
      <c r="O414" s="11" t="s">
        <v>489</v>
      </c>
      <c r="P414" s="11" t="s">
        <v>174</v>
      </c>
      <c r="Q414" s="11" t="s">
        <v>460</v>
      </c>
      <c r="R414" s="1">
        <f t="shared" ref="R414:R423" si="204">S414+T414</f>
        <v>531250.01</v>
      </c>
      <c r="S414" s="37">
        <v>531250.01</v>
      </c>
      <c r="T414" s="37">
        <v>0</v>
      </c>
      <c r="U414" s="1">
        <f t="shared" ref="U414:U423" si="205">V414+W414</f>
        <v>81249.989999999991</v>
      </c>
      <c r="V414" s="42">
        <v>81249.989999999991</v>
      </c>
      <c r="W414" s="42">
        <v>0</v>
      </c>
      <c r="X414" s="1">
        <f t="shared" ref="X414:X423" si="206">Y414+Z414</f>
        <v>12500</v>
      </c>
      <c r="Y414" s="30">
        <v>12500</v>
      </c>
      <c r="Z414" s="30">
        <v>0</v>
      </c>
      <c r="AA414" s="2">
        <f t="shared" ref="AA414:AA423" si="207">AB414+AC414</f>
        <v>0</v>
      </c>
      <c r="AB414" s="41">
        <v>0</v>
      </c>
      <c r="AC414" s="41">
        <v>0</v>
      </c>
      <c r="AD414" s="16">
        <f t="shared" si="200"/>
        <v>625000</v>
      </c>
      <c r="AE414" s="37">
        <v>19813.5</v>
      </c>
      <c r="AF414" s="2">
        <f t="shared" ref="AF414:AF423" si="208">AD414+AE414</f>
        <v>644813.5</v>
      </c>
      <c r="AG414" s="38" t="s">
        <v>857</v>
      </c>
      <c r="AH414" s="38" t="s">
        <v>1332</v>
      </c>
      <c r="AI414" s="118">
        <f>266726.48+117536.39+35965.91</f>
        <v>420228.78</v>
      </c>
      <c r="AJ414" s="30">
        <f>40793.44+17976.15+5500.66</f>
        <v>64270.25</v>
      </c>
    </row>
    <row r="415" spans="1:36" s="179" customFormat="1" ht="307.5" customHeight="1" x14ac:dyDescent="0.25">
      <c r="A415" s="6">
        <v>412</v>
      </c>
      <c r="B415" s="31">
        <v>118770</v>
      </c>
      <c r="C415" s="11">
        <v>440</v>
      </c>
      <c r="D415" s="32" t="s">
        <v>1640</v>
      </c>
      <c r="E415" s="32" t="s">
        <v>507</v>
      </c>
      <c r="F415" s="11" t="s">
        <v>722</v>
      </c>
      <c r="G415" s="11" t="s">
        <v>723</v>
      </c>
      <c r="H415" s="8" t="s">
        <v>151</v>
      </c>
      <c r="I415" s="32" t="s">
        <v>725</v>
      </c>
      <c r="J415" s="25">
        <v>43318</v>
      </c>
      <c r="K415" s="25">
        <v>43683</v>
      </c>
      <c r="L415" s="26">
        <f t="shared" si="203"/>
        <v>85</v>
      </c>
      <c r="M415" s="11">
        <v>3</v>
      </c>
      <c r="N415" s="11" t="s">
        <v>1569</v>
      </c>
      <c r="O415" s="11" t="s">
        <v>724</v>
      </c>
      <c r="P415" s="11" t="s">
        <v>174</v>
      </c>
      <c r="Q415" s="11" t="s">
        <v>460</v>
      </c>
      <c r="R415" s="1">
        <f t="shared" si="204"/>
        <v>254981.3</v>
      </c>
      <c r="S415" s="30">
        <v>254981.3</v>
      </c>
      <c r="T415" s="41">
        <v>0</v>
      </c>
      <c r="U415" s="1">
        <f t="shared" si="205"/>
        <v>38997.14</v>
      </c>
      <c r="V415" s="42">
        <v>38997.14</v>
      </c>
      <c r="W415" s="42">
        <v>0</v>
      </c>
      <c r="X415" s="1">
        <f t="shared" si="206"/>
        <v>5999.56</v>
      </c>
      <c r="Y415" s="30">
        <v>5999.56</v>
      </c>
      <c r="Z415" s="30">
        <v>0</v>
      </c>
      <c r="AA415" s="2">
        <f t="shared" si="207"/>
        <v>0</v>
      </c>
      <c r="AB415" s="41">
        <v>0</v>
      </c>
      <c r="AC415" s="41">
        <v>0</v>
      </c>
      <c r="AD415" s="16">
        <f t="shared" si="200"/>
        <v>299978</v>
      </c>
      <c r="AE415" s="38">
        <v>0</v>
      </c>
      <c r="AF415" s="2">
        <f t="shared" si="208"/>
        <v>299978</v>
      </c>
      <c r="AG415" s="21" t="s">
        <v>857</v>
      </c>
      <c r="AH415" s="38" t="s">
        <v>997</v>
      </c>
      <c r="AI415" s="118">
        <v>213387.11000000002</v>
      </c>
      <c r="AJ415" s="118">
        <v>32635.670000000002</v>
      </c>
    </row>
    <row r="416" spans="1:36" s="179" customFormat="1" ht="220.5" x14ac:dyDescent="0.25">
      <c r="A416" s="6">
        <v>413</v>
      </c>
      <c r="B416" s="31">
        <v>126498</v>
      </c>
      <c r="C416" s="11">
        <v>572</v>
      </c>
      <c r="D416" s="9" t="s">
        <v>1639</v>
      </c>
      <c r="E416" s="32" t="s">
        <v>899</v>
      </c>
      <c r="F416" s="11" t="s">
        <v>1022</v>
      </c>
      <c r="G416" s="11" t="s">
        <v>723</v>
      </c>
      <c r="H416" s="8" t="s">
        <v>151</v>
      </c>
      <c r="I416" s="32" t="s">
        <v>2861</v>
      </c>
      <c r="J416" s="25">
        <v>43552</v>
      </c>
      <c r="K416" s="25">
        <v>44467</v>
      </c>
      <c r="L416" s="26">
        <f t="shared" si="203"/>
        <v>85.000000127055301</v>
      </c>
      <c r="M416" s="11">
        <v>3</v>
      </c>
      <c r="N416" s="11" t="s">
        <v>1569</v>
      </c>
      <c r="O416" s="11" t="s">
        <v>724</v>
      </c>
      <c r="P416" s="11" t="s">
        <v>174</v>
      </c>
      <c r="Q416" s="11" t="s">
        <v>460</v>
      </c>
      <c r="R416" s="1">
        <f t="shared" si="204"/>
        <v>3345000.16</v>
      </c>
      <c r="S416" s="30">
        <v>3345000.16</v>
      </c>
      <c r="T416" s="41">
        <v>0</v>
      </c>
      <c r="U416" s="1">
        <f t="shared" si="205"/>
        <v>516462.97</v>
      </c>
      <c r="V416" s="42">
        <v>516462.97</v>
      </c>
      <c r="W416" s="42">
        <v>0</v>
      </c>
      <c r="X416" s="1">
        <f t="shared" si="206"/>
        <v>73831.17</v>
      </c>
      <c r="Y416" s="30">
        <v>73831.17</v>
      </c>
      <c r="Z416" s="30">
        <v>0</v>
      </c>
      <c r="AA416" s="2">
        <f t="shared" si="207"/>
        <v>0</v>
      </c>
      <c r="AB416" s="41">
        <v>0</v>
      </c>
      <c r="AC416" s="41">
        <v>0</v>
      </c>
      <c r="AD416" s="16">
        <f t="shared" si="200"/>
        <v>3935294.3</v>
      </c>
      <c r="AE416" s="38">
        <v>4974.2</v>
      </c>
      <c r="AF416" s="2">
        <f t="shared" si="208"/>
        <v>3940268.5</v>
      </c>
      <c r="AG416" s="38" t="s">
        <v>857</v>
      </c>
      <c r="AH416" s="38" t="s">
        <v>997</v>
      </c>
      <c r="AI416" s="118">
        <f>81729.2+65676.7+875554.4+122189.2+2128398.3+6170.15</f>
        <v>3279717.9499999997</v>
      </c>
      <c r="AJ416" s="118">
        <f>12499.76+10044.67+133908.32+18687.76+325519.74+943.67</f>
        <v>501603.92</v>
      </c>
    </row>
    <row r="417" spans="1:36" s="179" customFormat="1" ht="265.5" customHeight="1" x14ac:dyDescent="0.25">
      <c r="A417" s="6">
        <v>414</v>
      </c>
      <c r="B417" s="31">
        <v>126289</v>
      </c>
      <c r="C417" s="11">
        <v>492</v>
      </c>
      <c r="D417" s="9" t="s">
        <v>1639</v>
      </c>
      <c r="E417" s="32" t="s">
        <v>899</v>
      </c>
      <c r="F417" s="11" t="s">
        <v>1038</v>
      </c>
      <c r="G417" s="11" t="s">
        <v>1039</v>
      </c>
      <c r="H417" s="8" t="s">
        <v>151</v>
      </c>
      <c r="I417" s="32" t="s">
        <v>2862</v>
      </c>
      <c r="J417" s="25">
        <v>43563</v>
      </c>
      <c r="K417" s="25">
        <v>44477</v>
      </c>
      <c r="L417" s="26">
        <f t="shared" si="203"/>
        <v>85.000000203645214</v>
      </c>
      <c r="M417" s="39">
        <v>3</v>
      </c>
      <c r="N417" s="11" t="s">
        <v>1569</v>
      </c>
      <c r="O417" s="11" t="s">
        <v>489</v>
      </c>
      <c r="P417" s="11" t="s">
        <v>174</v>
      </c>
      <c r="Q417" s="11" t="s">
        <v>34</v>
      </c>
      <c r="R417" s="1">
        <f t="shared" si="204"/>
        <v>2504355.21</v>
      </c>
      <c r="S417" s="2">
        <v>2504355.21</v>
      </c>
      <c r="T417" s="2">
        <v>0</v>
      </c>
      <c r="U417" s="1">
        <f t="shared" si="205"/>
        <v>383019.03</v>
      </c>
      <c r="V417" s="28">
        <v>383019.03</v>
      </c>
      <c r="W417" s="28">
        <v>0</v>
      </c>
      <c r="X417" s="1">
        <f t="shared" si="206"/>
        <v>58926</v>
      </c>
      <c r="Y417" s="2">
        <v>58926</v>
      </c>
      <c r="Z417" s="2">
        <v>0</v>
      </c>
      <c r="AA417" s="2">
        <f t="shared" si="207"/>
        <v>0</v>
      </c>
      <c r="AB417" s="2">
        <v>0</v>
      </c>
      <c r="AC417" s="2">
        <v>0</v>
      </c>
      <c r="AD417" s="16">
        <f t="shared" si="200"/>
        <v>2946300.24</v>
      </c>
      <c r="AE417" s="2">
        <v>3255.78</v>
      </c>
      <c r="AF417" s="2">
        <f t="shared" si="208"/>
        <v>2949556.02</v>
      </c>
      <c r="AG417" s="38" t="s">
        <v>857</v>
      </c>
      <c r="AH417" s="35"/>
      <c r="AI417" s="118">
        <f>4165.36+806216.08+307283.93+337406.26+123150.13</f>
        <v>1578221.7599999998</v>
      </c>
      <c r="AJ417" s="118">
        <f>637.05+123303.63+46996.36+51603.31+18834.72</f>
        <v>241375.07</v>
      </c>
    </row>
    <row r="418" spans="1:36" s="179" customFormat="1" ht="236.25" x14ac:dyDescent="0.25">
      <c r="A418" s="6">
        <v>415</v>
      </c>
      <c r="B418" s="31">
        <v>135121</v>
      </c>
      <c r="C418" s="11">
        <v>804</v>
      </c>
      <c r="D418" s="9" t="s">
        <v>1639</v>
      </c>
      <c r="E418" s="24" t="s">
        <v>1441</v>
      </c>
      <c r="F418" s="31" t="s">
        <v>1455</v>
      </c>
      <c r="G418" s="11" t="s">
        <v>1039</v>
      </c>
      <c r="H418" s="8" t="s">
        <v>151</v>
      </c>
      <c r="I418" s="32" t="s">
        <v>2863</v>
      </c>
      <c r="J418" s="25">
        <v>43959</v>
      </c>
      <c r="K418" s="25">
        <v>44873</v>
      </c>
      <c r="L418" s="26">
        <f t="shared" si="203"/>
        <v>85</v>
      </c>
      <c r="M418" s="39">
        <v>3</v>
      </c>
      <c r="N418" s="11" t="s">
        <v>1569</v>
      </c>
      <c r="O418" s="11" t="s">
        <v>489</v>
      </c>
      <c r="P418" s="27" t="s">
        <v>174</v>
      </c>
      <c r="Q418" s="11" t="s">
        <v>34</v>
      </c>
      <c r="R418" s="1">
        <f t="shared" si="204"/>
        <v>2517623.5</v>
      </c>
      <c r="S418" s="2">
        <v>2517623.5</v>
      </c>
      <c r="T418" s="2">
        <v>0</v>
      </c>
      <c r="U418" s="1">
        <f t="shared" si="205"/>
        <v>385048.3</v>
      </c>
      <c r="V418" s="28">
        <v>385048.3</v>
      </c>
      <c r="W418" s="28">
        <v>0</v>
      </c>
      <c r="X418" s="1">
        <f t="shared" si="206"/>
        <v>59238.2</v>
      </c>
      <c r="Y418" s="2">
        <v>59238.2</v>
      </c>
      <c r="Z418" s="2">
        <v>0</v>
      </c>
      <c r="AA418" s="2">
        <f t="shared" si="207"/>
        <v>0</v>
      </c>
      <c r="AB418" s="2">
        <v>0</v>
      </c>
      <c r="AC418" s="2">
        <v>0</v>
      </c>
      <c r="AD418" s="16">
        <f t="shared" si="200"/>
        <v>2961910</v>
      </c>
      <c r="AE418" s="2">
        <v>0</v>
      </c>
      <c r="AF418" s="2">
        <f t="shared" si="208"/>
        <v>2961910</v>
      </c>
      <c r="AG418" s="38" t="s">
        <v>486</v>
      </c>
      <c r="AH418" s="29" t="s">
        <v>151</v>
      </c>
      <c r="AI418" s="118">
        <v>29444.76</v>
      </c>
      <c r="AJ418" s="118">
        <v>4503.32</v>
      </c>
    </row>
    <row r="419" spans="1:36" s="179" customFormat="1" ht="189" x14ac:dyDescent="0.25">
      <c r="A419" s="6">
        <v>416</v>
      </c>
      <c r="B419" s="31">
        <v>135860</v>
      </c>
      <c r="C419" s="11">
        <v>811</v>
      </c>
      <c r="D419" s="9" t="s">
        <v>1639</v>
      </c>
      <c r="E419" s="24" t="s">
        <v>1441</v>
      </c>
      <c r="F419" s="31" t="s">
        <v>1568</v>
      </c>
      <c r="G419" s="11" t="s">
        <v>488</v>
      </c>
      <c r="H419" s="8" t="s">
        <v>151</v>
      </c>
      <c r="I419" s="32" t="s">
        <v>2864</v>
      </c>
      <c r="J419" s="25">
        <v>44018</v>
      </c>
      <c r="K419" s="25">
        <v>44932</v>
      </c>
      <c r="L419" s="26">
        <f t="shared" si="203"/>
        <v>85</v>
      </c>
      <c r="M419" s="39">
        <v>3</v>
      </c>
      <c r="N419" s="11" t="s">
        <v>1569</v>
      </c>
      <c r="O419" s="11" t="s">
        <v>1569</v>
      </c>
      <c r="P419" s="27" t="s">
        <v>174</v>
      </c>
      <c r="Q419" s="11" t="s">
        <v>34</v>
      </c>
      <c r="R419" s="1">
        <f t="shared" si="204"/>
        <v>3388860.75</v>
      </c>
      <c r="S419" s="2">
        <v>3388860.75</v>
      </c>
      <c r="T419" s="2">
        <v>0</v>
      </c>
      <c r="U419" s="1">
        <f t="shared" si="205"/>
        <v>518296.35</v>
      </c>
      <c r="V419" s="28">
        <v>518296.35</v>
      </c>
      <c r="W419" s="28">
        <v>0</v>
      </c>
      <c r="X419" s="1">
        <f t="shared" si="206"/>
        <v>79737.899999999994</v>
      </c>
      <c r="Y419" s="2">
        <v>79737.899999999994</v>
      </c>
      <c r="Z419" s="2">
        <v>0</v>
      </c>
      <c r="AA419" s="2">
        <f t="shared" si="207"/>
        <v>0</v>
      </c>
      <c r="AB419" s="2">
        <v>0</v>
      </c>
      <c r="AC419" s="2">
        <v>0</v>
      </c>
      <c r="AD419" s="16">
        <f t="shared" si="200"/>
        <v>3986895</v>
      </c>
      <c r="AE419" s="2">
        <v>0</v>
      </c>
      <c r="AF419" s="2">
        <f t="shared" si="208"/>
        <v>3986895</v>
      </c>
      <c r="AG419" s="38" t="s">
        <v>486</v>
      </c>
      <c r="AH419" s="29"/>
      <c r="AI419" s="118">
        <f>139842.93+110534+52909.1+64051.41</f>
        <v>367337.43999999994</v>
      </c>
      <c r="AJ419" s="118">
        <f>21387.74+16905.2+8091.98+9796.1</f>
        <v>56181.02</v>
      </c>
    </row>
    <row r="420" spans="1:36" s="179" customFormat="1" ht="330.75" x14ac:dyDescent="0.25">
      <c r="A420" s="6">
        <v>417</v>
      </c>
      <c r="B420" s="31">
        <v>136188</v>
      </c>
      <c r="C420" s="11">
        <v>842</v>
      </c>
      <c r="D420" s="9" t="s">
        <v>1639</v>
      </c>
      <c r="E420" s="24" t="s">
        <v>1441</v>
      </c>
      <c r="F420" s="31" t="s">
        <v>1596</v>
      </c>
      <c r="G420" s="11" t="s">
        <v>723</v>
      </c>
      <c r="H420" s="8" t="s">
        <v>151</v>
      </c>
      <c r="I420" s="32" t="s">
        <v>2865</v>
      </c>
      <c r="J420" s="25">
        <v>44039</v>
      </c>
      <c r="K420" s="25">
        <v>44922</v>
      </c>
      <c r="L420" s="26">
        <f t="shared" si="203"/>
        <v>84.999999881414638</v>
      </c>
      <c r="M420" s="39">
        <v>3</v>
      </c>
      <c r="N420" s="11" t="s">
        <v>1569</v>
      </c>
      <c r="O420" s="11" t="s">
        <v>724</v>
      </c>
      <c r="P420" s="27" t="s">
        <v>174</v>
      </c>
      <c r="Q420" s="11" t="s">
        <v>34</v>
      </c>
      <c r="R420" s="1">
        <f t="shared" si="204"/>
        <v>2150349.87</v>
      </c>
      <c r="S420" s="2">
        <v>2150349.87</v>
      </c>
      <c r="T420" s="2">
        <v>0</v>
      </c>
      <c r="U420" s="1">
        <f t="shared" si="205"/>
        <v>328877.03999999998</v>
      </c>
      <c r="V420" s="28">
        <v>328877.03999999998</v>
      </c>
      <c r="W420" s="28">
        <v>0</v>
      </c>
      <c r="X420" s="1">
        <f t="shared" si="206"/>
        <v>50596.47</v>
      </c>
      <c r="Y420" s="2">
        <v>50596.47</v>
      </c>
      <c r="Z420" s="2">
        <v>0</v>
      </c>
      <c r="AA420" s="2">
        <f t="shared" si="207"/>
        <v>0</v>
      </c>
      <c r="AB420" s="2">
        <v>0</v>
      </c>
      <c r="AC420" s="2">
        <v>0</v>
      </c>
      <c r="AD420" s="16">
        <f t="shared" si="200"/>
        <v>2529823.3800000004</v>
      </c>
      <c r="AE420" s="2">
        <v>0</v>
      </c>
      <c r="AF420" s="2">
        <f t="shared" si="208"/>
        <v>2529823.3800000004</v>
      </c>
      <c r="AG420" s="38" t="s">
        <v>486</v>
      </c>
      <c r="AH420" s="29"/>
      <c r="AI420" s="118">
        <f>60942.87+45517.5+214478.46+518737.66+1090477.92</f>
        <v>1930154.41</v>
      </c>
      <c r="AJ420" s="118">
        <f>9320.68+6961.5+32802.59+79336.35+166778.98</f>
        <v>295200.09999999998</v>
      </c>
    </row>
    <row r="421" spans="1:36" s="179" customFormat="1" ht="204.75" x14ac:dyDescent="0.25">
      <c r="A421" s="6">
        <v>418</v>
      </c>
      <c r="B421" s="31">
        <v>152017</v>
      </c>
      <c r="C421" s="11">
        <v>1127</v>
      </c>
      <c r="D421" s="9" t="s">
        <v>1640</v>
      </c>
      <c r="E421" s="24" t="s">
        <v>1807</v>
      </c>
      <c r="F421" s="31" t="s">
        <v>1865</v>
      </c>
      <c r="G421" s="11" t="s">
        <v>1039</v>
      </c>
      <c r="H421" s="8" t="s">
        <v>151</v>
      </c>
      <c r="I421" s="32" t="s">
        <v>2866</v>
      </c>
      <c r="J421" s="25">
        <v>44504</v>
      </c>
      <c r="K421" s="25">
        <v>44989</v>
      </c>
      <c r="L421" s="26">
        <f t="shared" si="203"/>
        <v>85.000003161665433</v>
      </c>
      <c r="M421" s="39">
        <v>3</v>
      </c>
      <c r="N421" s="11" t="s">
        <v>1569</v>
      </c>
      <c r="O421" s="11" t="s">
        <v>489</v>
      </c>
      <c r="P421" s="27" t="s">
        <v>174</v>
      </c>
      <c r="Q421" s="11" t="s">
        <v>34</v>
      </c>
      <c r="R421" s="1">
        <f t="shared" si="204"/>
        <v>268845.65999999997</v>
      </c>
      <c r="S421" s="2">
        <v>268845.65999999997</v>
      </c>
      <c r="T421" s="2">
        <v>0</v>
      </c>
      <c r="U421" s="1">
        <f t="shared" si="205"/>
        <v>41117.56</v>
      </c>
      <c r="V421" s="28">
        <v>41117.56</v>
      </c>
      <c r="W421" s="28">
        <v>0</v>
      </c>
      <c r="X421" s="1">
        <f t="shared" si="206"/>
        <v>6325.78</v>
      </c>
      <c r="Y421" s="2">
        <v>6325.78</v>
      </c>
      <c r="Z421" s="2">
        <v>0</v>
      </c>
      <c r="AA421" s="2">
        <f t="shared" si="207"/>
        <v>0</v>
      </c>
      <c r="AB421" s="2">
        <v>0</v>
      </c>
      <c r="AC421" s="2">
        <v>0</v>
      </c>
      <c r="AD421" s="16">
        <f t="shared" si="200"/>
        <v>316289</v>
      </c>
      <c r="AE421" s="2">
        <v>0</v>
      </c>
      <c r="AF421" s="2">
        <f t="shared" si="208"/>
        <v>316289</v>
      </c>
      <c r="AG421" s="38" t="s">
        <v>486</v>
      </c>
      <c r="AH421" s="29"/>
      <c r="AI421" s="118">
        <v>0</v>
      </c>
      <c r="AJ421" s="118">
        <v>0</v>
      </c>
    </row>
    <row r="422" spans="1:36" s="179" customFormat="1" ht="236.25" x14ac:dyDescent="0.25">
      <c r="A422" s="6">
        <v>419</v>
      </c>
      <c r="B422" s="31">
        <v>152079</v>
      </c>
      <c r="C422" s="11">
        <v>1129</v>
      </c>
      <c r="D422" s="9" t="s">
        <v>1640</v>
      </c>
      <c r="E422" s="24" t="s">
        <v>1807</v>
      </c>
      <c r="F422" s="31" t="s">
        <v>1873</v>
      </c>
      <c r="G422" s="11" t="s">
        <v>488</v>
      </c>
      <c r="H422" s="11" t="s">
        <v>1835</v>
      </c>
      <c r="I422" s="32" t="s">
        <v>1874</v>
      </c>
      <c r="J422" s="25">
        <v>44516</v>
      </c>
      <c r="K422" s="25">
        <v>45001</v>
      </c>
      <c r="L422" s="26">
        <f t="shared" si="203"/>
        <v>85.000002409748873</v>
      </c>
      <c r="M422" s="39">
        <v>3</v>
      </c>
      <c r="N422" s="11" t="s">
        <v>1569</v>
      </c>
      <c r="O422" s="11" t="s">
        <v>489</v>
      </c>
      <c r="P422" s="27" t="s">
        <v>174</v>
      </c>
      <c r="Q422" s="11" t="s">
        <v>34</v>
      </c>
      <c r="R422" s="1">
        <f t="shared" si="204"/>
        <v>352733.86</v>
      </c>
      <c r="S422" s="2">
        <v>352733.86</v>
      </c>
      <c r="T422" s="2">
        <v>0</v>
      </c>
      <c r="U422" s="1">
        <f t="shared" si="205"/>
        <v>46261.27</v>
      </c>
      <c r="V422" s="28">
        <v>46261.27</v>
      </c>
      <c r="W422" s="28">
        <v>0</v>
      </c>
      <c r="X422" s="1">
        <f t="shared" si="206"/>
        <v>15985.87</v>
      </c>
      <c r="Y422" s="2">
        <v>15985.87</v>
      </c>
      <c r="Z422" s="2">
        <v>0</v>
      </c>
      <c r="AA422" s="2">
        <f t="shared" si="207"/>
        <v>0</v>
      </c>
      <c r="AB422" s="2">
        <v>0</v>
      </c>
      <c r="AC422" s="2">
        <v>0</v>
      </c>
      <c r="AD422" s="16">
        <f t="shared" si="200"/>
        <v>414981</v>
      </c>
      <c r="AE422" s="2">
        <v>0</v>
      </c>
      <c r="AF422" s="2">
        <f t="shared" si="208"/>
        <v>414981</v>
      </c>
      <c r="AG422" s="38" t="s">
        <v>486</v>
      </c>
      <c r="AH422" s="29"/>
      <c r="AI422" s="118">
        <v>0</v>
      </c>
      <c r="AJ422" s="118">
        <v>0</v>
      </c>
    </row>
    <row r="423" spans="1:36" s="179" customFormat="1" ht="141.75" x14ac:dyDescent="0.25">
      <c r="A423" s="6">
        <v>420</v>
      </c>
      <c r="B423" s="31">
        <v>155116</v>
      </c>
      <c r="C423" s="11">
        <v>1244</v>
      </c>
      <c r="D423" s="9" t="s">
        <v>1639</v>
      </c>
      <c r="E423" s="24" t="s">
        <v>2024</v>
      </c>
      <c r="F423" s="31" t="s">
        <v>2210</v>
      </c>
      <c r="G423" s="11" t="s">
        <v>723</v>
      </c>
      <c r="H423" s="8" t="s">
        <v>151</v>
      </c>
      <c r="I423" s="32" t="s">
        <v>2867</v>
      </c>
      <c r="J423" s="25">
        <v>44690</v>
      </c>
      <c r="K423" s="25">
        <v>45116</v>
      </c>
      <c r="L423" s="26">
        <f t="shared" si="203"/>
        <v>85.00000256799494</v>
      </c>
      <c r="M423" s="39">
        <v>3</v>
      </c>
      <c r="N423" s="11" t="s">
        <v>1569</v>
      </c>
      <c r="O423" s="11" t="s">
        <v>724</v>
      </c>
      <c r="P423" s="27" t="s">
        <v>174</v>
      </c>
      <c r="Q423" s="11" t="s">
        <v>34</v>
      </c>
      <c r="R423" s="1">
        <f t="shared" si="204"/>
        <v>248248.16</v>
      </c>
      <c r="S423" s="2">
        <v>248248.16</v>
      </c>
      <c r="T423" s="2">
        <v>0</v>
      </c>
      <c r="U423" s="1">
        <f t="shared" si="205"/>
        <v>37967.360000000001</v>
      </c>
      <c r="V423" s="28">
        <v>37967.360000000001</v>
      </c>
      <c r="W423" s="28">
        <v>0</v>
      </c>
      <c r="X423" s="1">
        <f t="shared" si="206"/>
        <v>5841.13</v>
      </c>
      <c r="Y423" s="2">
        <v>5841.13</v>
      </c>
      <c r="Z423" s="2">
        <v>0</v>
      </c>
      <c r="AA423" s="2">
        <f t="shared" si="207"/>
        <v>0</v>
      </c>
      <c r="AB423" s="2">
        <v>0</v>
      </c>
      <c r="AC423" s="2">
        <v>0</v>
      </c>
      <c r="AD423" s="16">
        <f t="shared" si="200"/>
        <v>292056.65000000002</v>
      </c>
      <c r="AE423" s="2">
        <v>0</v>
      </c>
      <c r="AF423" s="2">
        <f t="shared" si="208"/>
        <v>292056.65000000002</v>
      </c>
      <c r="AG423" s="38" t="s">
        <v>486</v>
      </c>
      <c r="AH423" s="29"/>
      <c r="AI423" s="118">
        <v>0</v>
      </c>
      <c r="AJ423" s="118">
        <v>0</v>
      </c>
    </row>
    <row r="424" spans="1:36" s="179" customFormat="1" ht="204.75" x14ac:dyDescent="0.25">
      <c r="A424" s="6">
        <v>421</v>
      </c>
      <c r="B424" s="31">
        <v>120582</v>
      </c>
      <c r="C424" s="11">
        <v>109</v>
      </c>
      <c r="D424" s="9" t="s">
        <v>1639</v>
      </c>
      <c r="E424" s="24" t="s">
        <v>277</v>
      </c>
      <c r="F424" s="11" t="s">
        <v>177</v>
      </c>
      <c r="G424" s="11" t="s">
        <v>178</v>
      </c>
      <c r="H424" s="8" t="s">
        <v>151</v>
      </c>
      <c r="I424" s="46" t="s">
        <v>181</v>
      </c>
      <c r="J424" s="25">
        <v>43129</v>
      </c>
      <c r="K424" s="25">
        <v>43675</v>
      </c>
      <c r="L424" s="26">
        <f t="shared" ref="L424:L436" si="209">R424/AD424*100</f>
        <v>85.000000819683009</v>
      </c>
      <c r="M424" s="11">
        <v>1</v>
      </c>
      <c r="N424" s="11" t="s">
        <v>185</v>
      </c>
      <c r="O424" s="11" t="s">
        <v>185</v>
      </c>
      <c r="P424" s="27" t="s">
        <v>174</v>
      </c>
      <c r="Q424" s="11" t="s">
        <v>34</v>
      </c>
      <c r="R424" s="2">
        <f t="shared" ref="R424:R431" si="210">S424+T424</f>
        <v>518493.12</v>
      </c>
      <c r="S424" s="2">
        <v>518493.12</v>
      </c>
      <c r="T424" s="2">
        <v>0</v>
      </c>
      <c r="U424" s="1">
        <f t="shared" ref="U424:U436" si="211">V424+W424</f>
        <v>79298.94</v>
      </c>
      <c r="V424" s="28">
        <v>79298.94</v>
      </c>
      <c r="W424" s="28">
        <v>0</v>
      </c>
      <c r="X424" s="2">
        <f t="shared" ref="X424:X436" si="212">Y424+Z424</f>
        <v>12199.84</v>
      </c>
      <c r="Y424" s="2">
        <v>12199.84</v>
      </c>
      <c r="Z424" s="2">
        <v>0</v>
      </c>
      <c r="AA424" s="2">
        <f t="shared" ref="AA424:AA436" si="213">AB424+AC424</f>
        <v>0</v>
      </c>
      <c r="AB424" s="2">
        <v>0</v>
      </c>
      <c r="AC424" s="2">
        <v>0</v>
      </c>
      <c r="AD424" s="16">
        <f t="shared" si="200"/>
        <v>609991.9</v>
      </c>
      <c r="AE424" s="2">
        <v>0</v>
      </c>
      <c r="AF424" s="2">
        <f t="shared" ref="AF424:AF436" si="214">AD424+AE424</f>
        <v>609991.9</v>
      </c>
      <c r="AG424" s="21" t="s">
        <v>857</v>
      </c>
      <c r="AH424" s="29" t="s">
        <v>1046</v>
      </c>
      <c r="AI424" s="30">
        <v>460519.85000000003</v>
      </c>
      <c r="AJ424" s="130">
        <v>70432.44</v>
      </c>
    </row>
    <row r="425" spans="1:36" s="179" customFormat="1" ht="173.25" x14ac:dyDescent="0.25">
      <c r="A425" s="6">
        <v>422</v>
      </c>
      <c r="B425" s="31">
        <v>120630</v>
      </c>
      <c r="C425" s="11">
        <v>101</v>
      </c>
      <c r="D425" s="9" t="s">
        <v>1639</v>
      </c>
      <c r="E425" s="24" t="s">
        <v>277</v>
      </c>
      <c r="F425" s="11" t="s">
        <v>236</v>
      </c>
      <c r="G425" s="11" t="s">
        <v>1135</v>
      </c>
      <c r="H425" s="8" t="s">
        <v>151</v>
      </c>
      <c r="I425" s="12" t="s">
        <v>243</v>
      </c>
      <c r="J425" s="25">
        <v>43145</v>
      </c>
      <c r="K425" s="25">
        <v>43630</v>
      </c>
      <c r="L425" s="26">
        <f t="shared" si="209"/>
        <v>85.000000236289679</v>
      </c>
      <c r="M425" s="11">
        <v>1</v>
      </c>
      <c r="N425" s="11" t="s">
        <v>185</v>
      </c>
      <c r="O425" s="11" t="s">
        <v>242</v>
      </c>
      <c r="P425" s="27" t="s">
        <v>174</v>
      </c>
      <c r="Q425" s="11" t="s">
        <v>34</v>
      </c>
      <c r="R425" s="2">
        <f t="shared" si="210"/>
        <v>359727.94</v>
      </c>
      <c r="S425" s="2">
        <v>359727.94</v>
      </c>
      <c r="T425" s="2">
        <v>0</v>
      </c>
      <c r="U425" s="1">
        <f t="shared" si="211"/>
        <v>55017.21</v>
      </c>
      <c r="V425" s="28">
        <v>55017.21</v>
      </c>
      <c r="W425" s="28">
        <v>0</v>
      </c>
      <c r="X425" s="2">
        <f t="shared" si="212"/>
        <v>8464.19</v>
      </c>
      <c r="Y425" s="2">
        <v>8464.19</v>
      </c>
      <c r="Z425" s="2">
        <v>0</v>
      </c>
      <c r="AA425" s="2">
        <f t="shared" si="213"/>
        <v>0</v>
      </c>
      <c r="AB425" s="2">
        <v>0</v>
      </c>
      <c r="AC425" s="2">
        <v>0</v>
      </c>
      <c r="AD425" s="16">
        <f t="shared" si="200"/>
        <v>423209.34</v>
      </c>
      <c r="AE425" s="2">
        <v>0</v>
      </c>
      <c r="AF425" s="2">
        <f t="shared" si="214"/>
        <v>423209.34</v>
      </c>
      <c r="AG425" s="21" t="s">
        <v>857</v>
      </c>
      <c r="AH425" s="29"/>
      <c r="AI425" s="30">
        <v>270648.24</v>
      </c>
      <c r="AJ425" s="30">
        <v>41393.249999999993</v>
      </c>
    </row>
    <row r="426" spans="1:36" s="179" customFormat="1" ht="157.5" x14ac:dyDescent="0.25">
      <c r="A426" s="6">
        <v>423</v>
      </c>
      <c r="B426" s="31">
        <v>120672</v>
      </c>
      <c r="C426" s="11">
        <v>106</v>
      </c>
      <c r="D426" s="9" t="s">
        <v>1639</v>
      </c>
      <c r="E426" s="24" t="s">
        <v>277</v>
      </c>
      <c r="F426" s="11" t="s">
        <v>237</v>
      </c>
      <c r="G426" s="11" t="s">
        <v>916</v>
      </c>
      <c r="H426" s="8" t="s">
        <v>151</v>
      </c>
      <c r="I426" s="12" t="s">
        <v>244</v>
      </c>
      <c r="J426" s="25">
        <v>43145</v>
      </c>
      <c r="K426" s="25">
        <v>43630</v>
      </c>
      <c r="L426" s="26">
        <f t="shared" si="209"/>
        <v>84.999999174149096</v>
      </c>
      <c r="M426" s="11">
        <v>1</v>
      </c>
      <c r="N426" s="11" t="s">
        <v>185</v>
      </c>
      <c r="O426" s="11" t="s">
        <v>185</v>
      </c>
      <c r="P426" s="27" t="s">
        <v>174</v>
      </c>
      <c r="Q426" s="11" t="s">
        <v>34</v>
      </c>
      <c r="R426" s="2">
        <f t="shared" si="210"/>
        <v>360234.51</v>
      </c>
      <c r="S426" s="37">
        <v>360234.51</v>
      </c>
      <c r="T426" s="2">
        <v>0</v>
      </c>
      <c r="U426" s="1">
        <f t="shared" si="211"/>
        <v>55094.69</v>
      </c>
      <c r="V426" s="42">
        <v>55094.69</v>
      </c>
      <c r="W426" s="28">
        <v>0</v>
      </c>
      <c r="X426" s="103">
        <f t="shared" si="212"/>
        <v>8476.11</v>
      </c>
      <c r="Y426" s="37">
        <v>8476.11</v>
      </c>
      <c r="Z426" s="103">
        <v>0</v>
      </c>
      <c r="AA426" s="103">
        <f t="shared" si="213"/>
        <v>0</v>
      </c>
      <c r="AB426" s="2">
        <v>0</v>
      </c>
      <c r="AC426" s="2">
        <v>0</v>
      </c>
      <c r="AD426" s="16">
        <f t="shared" si="200"/>
        <v>423805.31</v>
      </c>
      <c r="AE426" s="2">
        <v>0</v>
      </c>
      <c r="AF426" s="2">
        <f t="shared" si="214"/>
        <v>423805.31</v>
      </c>
      <c r="AG426" s="21" t="s">
        <v>857</v>
      </c>
      <c r="AH426" s="29"/>
      <c r="AI426" s="30">
        <v>331258.69999999995</v>
      </c>
      <c r="AJ426" s="30">
        <v>50663.100000000006</v>
      </c>
    </row>
    <row r="427" spans="1:36" s="179" customFormat="1" ht="141.75" x14ac:dyDescent="0.25">
      <c r="A427" s="6">
        <v>424</v>
      </c>
      <c r="B427" s="31">
        <v>118196</v>
      </c>
      <c r="C427" s="11">
        <v>425</v>
      </c>
      <c r="D427" s="32" t="s">
        <v>1640</v>
      </c>
      <c r="E427" s="24" t="s">
        <v>507</v>
      </c>
      <c r="F427" s="11" t="s">
        <v>500</v>
      </c>
      <c r="G427" s="11" t="s">
        <v>503</v>
      </c>
      <c r="H427" s="8" t="s">
        <v>151</v>
      </c>
      <c r="I427" s="12" t="s">
        <v>501</v>
      </c>
      <c r="J427" s="25">
        <v>43269</v>
      </c>
      <c r="K427" s="25">
        <v>43756</v>
      </c>
      <c r="L427" s="26">
        <f t="shared" si="209"/>
        <v>85</v>
      </c>
      <c r="M427" s="11">
        <v>1</v>
      </c>
      <c r="N427" s="11" t="s">
        <v>185</v>
      </c>
      <c r="O427" s="11" t="s">
        <v>185</v>
      </c>
      <c r="P427" s="27" t="s">
        <v>174</v>
      </c>
      <c r="Q427" s="11" t="s">
        <v>34</v>
      </c>
      <c r="R427" s="37">
        <f t="shared" si="210"/>
        <v>339668.5</v>
      </c>
      <c r="S427" s="37">
        <v>339668.5</v>
      </c>
      <c r="T427" s="37">
        <v>0</v>
      </c>
      <c r="U427" s="1">
        <f t="shared" si="211"/>
        <v>51949.3</v>
      </c>
      <c r="V427" s="42">
        <v>51949.3</v>
      </c>
      <c r="W427" s="42">
        <v>0</v>
      </c>
      <c r="X427" s="103">
        <f t="shared" si="212"/>
        <v>7992.2</v>
      </c>
      <c r="Y427" s="37">
        <v>7992.2</v>
      </c>
      <c r="Z427" s="37">
        <v>0</v>
      </c>
      <c r="AA427" s="2">
        <f t="shared" si="213"/>
        <v>0</v>
      </c>
      <c r="AB427" s="2">
        <v>0</v>
      </c>
      <c r="AC427" s="2">
        <v>0</v>
      </c>
      <c r="AD427" s="16">
        <f t="shared" si="200"/>
        <v>399610</v>
      </c>
      <c r="AE427" s="37">
        <v>0</v>
      </c>
      <c r="AF427" s="2">
        <f t="shared" si="214"/>
        <v>399610</v>
      </c>
      <c r="AG427" s="21" t="s">
        <v>857</v>
      </c>
      <c r="AH427" s="29"/>
      <c r="AI427" s="30">
        <v>263215.08999999997</v>
      </c>
      <c r="AJ427" s="30">
        <v>40256.43</v>
      </c>
    </row>
    <row r="428" spans="1:36" s="179" customFormat="1" ht="141.75" x14ac:dyDescent="0.25">
      <c r="A428" s="6">
        <v>425</v>
      </c>
      <c r="B428" s="31">
        <v>126155</v>
      </c>
      <c r="C428" s="11">
        <v>544</v>
      </c>
      <c r="D428" s="9" t="s">
        <v>1639</v>
      </c>
      <c r="E428" s="24" t="s">
        <v>899</v>
      </c>
      <c r="F428" s="11" t="s">
        <v>909</v>
      </c>
      <c r="G428" s="11" t="s">
        <v>910</v>
      </c>
      <c r="H428" s="8" t="s">
        <v>151</v>
      </c>
      <c r="I428" s="12" t="s">
        <v>911</v>
      </c>
      <c r="J428" s="25">
        <v>43437</v>
      </c>
      <c r="K428" s="25">
        <v>44533</v>
      </c>
      <c r="L428" s="26">
        <f t="shared" si="209"/>
        <v>85.000000318097122</v>
      </c>
      <c r="M428" s="11">
        <v>1</v>
      </c>
      <c r="N428" s="11" t="s">
        <v>185</v>
      </c>
      <c r="O428" s="11" t="s">
        <v>185</v>
      </c>
      <c r="P428" s="27" t="s">
        <v>174</v>
      </c>
      <c r="Q428" s="11" t="s">
        <v>34</v>
      </c>
      <c r="R428" s="37">
        <f t="shared" si="210"/>
        <v>2672139.91</v>
      </c>
      <c r="S428" s="37">
        <v>2672139.91</v>
      </c>
      <c r="T428" s="37">
        <v>0</v>
      </c>
      <c r="U428" s="1">
        <f t="shared" si="211"/>
        <v>408680.21</v>
      </c>
      <c r="V428" s="42">
        <v>408680.21</v>
      </c>
      <c r="W428" s="42">
        <v>0</v>
      </c>
      <c r="X428" s="103">
        <f t="shared" si="212"/>
        <v>62873.88</v>
      </c>
      <c r="Y428" s="37">
        <v>62873.88</v>
      </c>
      <c r="Z428" s="37">
        <v>0</v>
      </c>
      <c r="AA428" s="2">
        <f t="shared" si="213"/>
        <v>0</v>
      </c>
      <c r="AB428" s="2">
        <v>0</v>
      </c>
      <c r="AC428" s="2">
        <v>0</v>
      </c>
      <c r="AD428" s="16">
        <f t="shared" si="200"/>
        <v>3143694</v>
      </c>
      <c r="AE428" s="37">
        <v>0</v>
      </c>
      <c r="AF428" s="2">
        <f t="shared" si="214"/>
        <v>3143694</v>
      </c>
      <c r="AG428" s="38" t="s">
        <v>857</v>
      </c>
      <c r="AH428" s="29" t="s">
        <v>1764</v>
      </c>
      <c r="AI428" s="30">
        <f>810585.98+89720.9+63383.91+272519.44+397180.87+679849.55</f>
        <v>2313240.6500000004</v>
      </c>
      <c r="AJ428" s="30">
        <f>123971.92+13722.02+9694+41679.44+60745.3+103976.99</f>
        <v>353789.67</v>
      </c>
    </row>
    <row r="429" spans="1:36" s="179" customFormat="1" ht="138" customHeight="1" x14ac:dyDescent="0.25">
      <c r="A429" s="6">
        <v>426</v>
      </c>
      <c r="B429" s="31">
        <v>125900</v>
      </c>
      <c r="C429" s="11">
        <v>518</v>
      </c>
      <c r="D429" s="9" t="s">
        <v>1639</v>
      </c>
      <c r="E429" s="24" t="s">
        <v>899</v>
      </c>
      <c r="F429" s="11" t="s">
        <v>915</v>
      </c>
      <c r="G429" s="11" t="s">
        <v>178</v>
      </c>
      <c r="H429" s="8" t="s">
        <v>151</v>
      </c>
      <c r="I429" s="12" t="s">
        <v>2868</v>
      </c>
      <c r="J429" s="25">
        <v>43439</v>
      </c>
      <c r="K429" s="25">
        <v>44109</v>
      </c>
      <c r="L429" s="26">
        <f t="shared" si="209"/>
        <v>85.000001224772731</v>
      </c>
      <c r="M429" s="11">
        <v>1</v>
      </c>
      <c r="N429" s="11" t="s">
        <v>185</v>
      </c>
      <c r="O429" s="11" t="s">
        <v>185</v>
      </c>
      <c r="P429" s="27" t="s">
        <v>174</v>
      </c>
      <c r="Q429" s="11" t="s">
        <v>34</v>
      </c>
      <c r="R429" s="37">
        <f t="shared" si="210"/>
        <v>694006.31</v>
      </c>
      <c r="S429" s="37">
        <v>694006.31</v>
      </c>
      <c r="T429" s="37">
        <v>0</v>
      </c>
      <c r="U429" s="1">
        <f t="shared" si="211"/>
        <v>106142.13</v>
      </c>
      <c r="V429" s="42">
        <v>106142.13</v>
      </c>
      <c r="W429" s="42">
        <v>0</v>
      </c>
      <c r="X429" s="103">
        <f t="shared" si="212"/>
        <v>16329.56</v>
      </c>
      <c r="Y429" s="37">
        <v>16329.56</v>
      </c>
      <c r="Z429" s="37">
        <v>0</v>
      </c>
      <c r="AA429" s="2">
        <f t="shared" si="213"/>
        <v>0</v>
      </c>
      <c r="AB429" s="37">
        <v>0</v>
      </c>
      <c r="AC429" s="37">
        <v>0</v>
      </c>
      <c r="AD429" s="16">
        <f t="shared" si="200"/>
        <v>816478.00000000012</v>
      </c>
      <c r="AE429" s="37">
        <v>0</v>
      </c>
      <c r="AF429" s="2">
        <f t="shared" si="214"/>
        <v>816478.00000000012</v>
      </c>
      <c r="AG429" s="38" t="s">
        <v>857</v>
      </c>
      <c r="AH429" s="29" t="s">
        <v>1517</v>
      </c>
      <c r="AI429" s="30">
        <f>233487.13+113184.8+158166.13</f>
        <v>504838.06</v>
      </c>
      <c r="AJ429" s="30">
        <f>35709.8+17310.62+24190.11</f>
        <v>77210.53</v>
      </c>
    </row>
    <row r="430" spans="1:36" s="179" customFormat="1" ht="157.5" x14ac:dyDescent="0.25">
      <c r="A430" s="6">
        <v>427</v>
      </c>
      <c r="B430" s="31">
        <v>126350</v>
      </c>
      <c r="C430" s="11">
        <v>570</v>
      </c>
      <c r="D430" s="9" t="s">
        <v>1639</v>
      </c>
      <c r="E430" s="24" t="s">
        <v>899</v>
      </c>
      <c r="F430" s="11" t="s">
        <v>1041</v>
      </c>
      <c r="G430" s="11" t="s">
        <v>916</v>
      </c>
      <c r="H430" s="8" t="s">
        <v>151</v>
      </c>
      <c r="I430" s="12" t="s">
        <v>2869</v>
      </c>
      <c r="J430" s="25">
        <v>43564</v>
      </c>
      <c r="K430" s="25">
        <v>44601</v>
      </c>
      <c r="L430" s="26">
        <f t="shared" si="209"/>
        <v>84.999999916591278</v>
      </c>
      <c r="M430" s="11">
        <v>1</v>
      </c>
      <c r="N430" s="11" t="s">
        <v>185</v>
      </c>
      <c r="O430" s="11" t="s">
        <v>185</v>
      </c>
      <c r="P430" s="27" t="s">
        <v>174</v>
      </c>
      <c r="Q430" s="11" t="s">
        <v>34</v>
      </c>
      <c r="R430" s="37">
        <f t="shared" si="210"/>
        <v>2038156.45</v>
      </c>
      <c r="S430" s="37">
        <v>2038156.45</v>
      </c>
      <c r="T430" s="37">
        <v>0</v>
      </c>
      <c r="U430" s="1">
        <f t="shared" si="211"/>
        <v>311718.05</v>
      </c>
      <c r="V430" s="42">
        <v>311718.05</v>
      </c>
      <c r="W430" s="42">
        <v>0</v>
      </c>
      <c r="X430" s="103">
        <f t="shared" si="212"/>
        <v>47956.62</v>
      </c>
      <c r="Y430" s="37">
        <v>47956.62</v>
      </c>
      <c r="Z430" s="37">
        <v>0</v>
      </c>
      <c r="AA430" s="2">
        <f t="shared" si="213"/>
        <v>0</v>
      </c>
      <c r="AB430" s="2">
        <v>0</v>
      </c>
      <c r="AC430" s="2">
        <v>0</v>
      </c>
      <c r="AD430" s="16">
        <f t="shared" si="200"/>
        <v>2397831.12</v>
      </c>
      <c r="AE430" s="37">
        <v>35700</v>
      </c>
      <c r="AF430" s="2">
        <f t="shared" si="214"/>
        <v>2433531.12</v>
      </c>
      <c r="AG430" s="38" t="s">
        <v>857</v>
      </c>
      <c r="AH430" s="29" t="s">
        <v>1973</v>
      </c>
      <c r="AI430" s="30">
        <f>167370.71+11789.5+6828.9+28082.3+927806.47+74593.07+568058.77+39557.59</f>
        <v>1824087.31</v>
      </c>
      <c r="AJ430" s="30">
        <f>25597.86+1803.1+1044.42+4294.94+141899.83+11408.35+86879.57+6049.98</f>
        <v>278978.05</v>
      </c>
    </row>
    <row r="431" spans="1:36" s="179" customFormat="1" ht="157.5" x14ac:dyDescent="0.25">
      <c r="A431" s="6">
        <v>428</v>
      </c>
      <c r="B431" s="31">
        <v>128787</v>
      </c>
      <c r="C431" s="11">
        <v>631</v>
      </c>
      <c r="D431" s="9" t="s">
        <v>1639</v>
      </c>
      <c r="E431" s="24" t="s">
        <v>1071</v>
      </c>
      <c r="F431" s="11" t="s">
        <v>1093</v>
      </c>
      <c r="G431" s="11" t="s">
        <v>1135</v>
      </c>
      <c r="H431" s="8" t="s">
        <v>151</v>
      </c>
      <c r="I431" s="12" t="s">
        <v>1094</v>
      </c>
      <c r="J431" s="25">
        <v>43622</v>
      </c>
      <c r="K431" s="25">
        <v>44810</v>
      </c>
      <c r="L431" s="26">
        <f t="shared" si="209"/>
        <v>84.999999929965156</v>
      </c>
      <c r="M431" s="11">
        <v>1</v>
      </c>
      <c r="N431" s="11" t="s">
        <v>185</v>
      </c>
      <c r="O431" s="11" t="s">
        <v>242</v>
      </c>
      <c r="P431" s="27" t="s">
        <v>174</v>
      </c>
      <c r="Q431" s="11" t="s">
        <v>34</v>
      </c>
      <c r="R431" s="37">
        <f t="shared" si="210"/>
        <v>3034203.56</v>
      </c>
      <c r="S431" s="37">
        <v>3034203.56</v>
      </c>
      <c r="T431" s="37">
        <v>0</v>
      </c>
      <c r="U431" s="37">
        <f t="shared" si="211"/>
        <v>464054.66</v>
      </c>
      <c r="V431" s="42">
        <v>464054.66</v>
      </c>
      <c r="W431" s="42">
        <v>0</v>
      </c>
      <c r="X431" s="131">
        <f t="shared" si="212"/>
        <v>71393.03</v>
      </c>
      <c r="Y431" s="132">
        <v>71393.03</v>
      </c>
      <c r="Z431" s="37">
        <v>0</v>
      </c>
      <c r="AA431" s="2">
        <f t="shared" si="213"/>
        <v>0</v>
      </c>
      <c r="AB431" s="37">
        <v>0</v>
      </c>
      <c r="AC431" s="37">
        <v>0</v>
      </c>
      <c r="AD431" s="16">
        <f t="shared" si="200"/>
        <v>3569651.25</v>
      </c>
      <c r="AE431" s="37">
        <v>0</v>
      </c>
      <c r="AF431" s="2">
        <f t="shared" si="214"/>
        <v>3569651.25</v>
      </c>
      <c r="AG431" s="38" t="s">
        <v>857</v>
      </c>
      <c r="AH431" s="29" t="s">
        <v>2217</v>
      </c>
      <c r="AI431" s="30">
        <f>504827.43-10178.86-5459.66-2835.27-2355.43+784894.2-14533.64+297128.13-2576.18+65322.5+475332.19+169411.38</f>
        <v>2258976.79</v>
      </c>
      <c r="AJ431" s="30">
        <f>22614.24+10178.86+5459.66+2835.27+2355.43+123050.81+14533.64+45443.12+2576.18+9990.5+75697.31+17755.37</f>
        <v>332490.39</v>
      </c>
    </row>
    <row r="432" spans="1:36" s="179" customFormat="1" ht="141.75" x14ac:dyDescent="0.25">
      <c r="A432" s="6">
        <v>429</v>
      </c>
      <c r="B432" s="31">
        <v>136326</v>
      </c>
      <c r="C432" s="11">
        <v>812</v>
      </c>
      <c r="D432" s="9" t="s">
        <v>1639</v>
      </c>
      <c r="E432" s="24" t="s">
        <v>1441</v>
      </c>
      <c r="F432" s="11" t="s">
        <v>1489</v>
      </c>
      <c r="G432" s="11" t="s">
        <v>916</v>
      </c>
      <c r="H432" s="8" t="s">
        <v>151</v>
      </c>
      <c r="I432" s="12" t="s">
        <v>2870</v>
      </c>
      <c r="J432" s="25">
        <v>43970</v>
      </c>
      <c r="K432" s="25">
        <v>44518</v>
      </c>
      <c r="L432" s="26">
        <f t="shared" si="209"/>
        <v>85.00000053912315</v>
      </c>
      <c r="M432" s="11">
        <v>1</v>
      </c>
      <c r="N432" s="11" t="s">
        <v>185</v>
      </c>
      <c r="O432" s="11" t="s">
        <v>185</v>
      </c>
      <c r="P432" s="27" t="s">
        <v>174</v>
      </c>
      <c r="Q432" s="11" t="s">
        <v>34</v>
      </c>
      <c r="R432" s="37">
        <f>S432+T432</f>
        <v>788317.12</v>
      </c>
      <c r="S432" s="37">
        <v>788317.12</v>
      </c>
      <c r="T432" s="37">
        <v>0</v>
      </c>
      <c r="U432" s="37">
        <f t="shared" si="211"/>
        <v>120566.14</v>
      </c>
      <c r="V432" s="42">
        <v>120566.14</v>
      </c>
      <c r="W432" s="42">
        <v>0</v>
      </c>
      <c r="X432" s="131">
        <f t="shared" si="212"/>
        <v>18548.64</v>
      </c>
      <c r="Y432" s="133">
        <v>18548.64</v>
      </c>
      <c r="Z432" s="37">
        <v>0</v>
      </c>
      <c r="AA432" s="2">
        <f t="shared" si="213"/>
        <v>0</v>
      </c>
      <c r="AB432" s="37">
        <v>0</v>
      </c>
      <c r="AC432" s="37">
        <v>0</v>
      </c>
      <c r="AD432" s="16">
        <f t="shared" si="200"/>
        <v>927431.9</v>
      </c>
      <c r="AE432" s="37">
        <v>0</v>
      </c>
      <c r="AF432" s="2">
        <f t="shared" si="214"/>
        <v>927431.9</v>
      </c>
      <c r="AG432" s="38" t="s">
        <v>857</v>
      </c>
      <c r="AH432" s="29"/>
      <c r="AI432" s="30">
        <f>16971.95+12398.1+17217.92+17584.8+352154.92</f>
        <v>416327.69</v>
      </c>
      <c r="AJ432" s="30">
        <f>2595.71+1896.18+2633.33+2689.44+53858.98</f>
        <v>63673.64</v>
      </c>
    </row>
    <row r="433" spans="1:109" s="179" customFormat="1" ht="236.25" x14ac:dyDescent="0.25">
      <c r="A433" s="6">
        <v>430</v>
      </c>
      <c r="B433" s="31">
        <v>136134</v>
      </c>
      <c r="C433" s="11">
        <v>829</v>
      </c>
      <c r="D433" s="9" t="s">
        <v>1639</v>
      </c>
      <c r="E433" s="24" t="s">
        <v>1441</v>
      </c>
      <c r="F433" s="11" t="s">
        <v>1565</v>
      </c>
      <c r="G433" s="11" t="s">
        <v>1135</v>
      </c>
      <c r="H433" s="8" t="s">
        <v>151</v>
      </c>
      <c r="I433" s="12" t="s">
        <v>2871</v>
      </c>
      <c r="J433" s="25">
        <v>44014</v>
      </c>
      <c r="K433" s="25">
        <v>44928</v>
      </c>
      <c r="L433" s="26">
        <f t="shared" si="209"/>
        <v>85</v>
      </c>
      <c r="M433" s="11">
        <v>1</v>
      </c>
      <c r="N433" s="11" t="s">
        <v>185</v>
      </c>
      <c r="O433" s="11" t="s">
        <v>242</v>
      </c>
      <c r="P433" s="27" t="s">
        <v>174</v>
      </c>
      <c r="Q433" s="11" t="s">
        <v>34</v>
      </c>
      <c r="R433" s="37">
        <f>S433+T433</f>
        <v>2452525.4</v>
      </c>
      <c r="S433" s="37">
        <v>2452525.4</v>
      </c>
      <c r="T433" s="37">
        <v>0</v>
      </c>
      <c r="U433" s="37">
        <f t="shared" si="211"/>
        <v>375092.12</v>
      </c>
      <c r="V433" s="42">
        <v>375092.12</v>
      </c>
      <c r="W433" s="42">
        <v>0</v>
      </c>
      <c r="X433" s="131">
        <f t="shared" si="212"/>
        <v>57706.48</v>
      </c>
      <c r="Y433" s="133">
        <v>57706.48</v>
      </c>
      <c r="Z433" s="37">
        <v>0</v>
      </c>
      <c r="AA433" s="2">
        <f t="shared" si="213"/>
        <v>0</v>
      </c>
      <c r="AB433" s="37">
        <v>0</v>
      </c>
      <c r="AC433" s="37">
        <v>0</v>
      </c>
      <c r="AD433" s="16">
        <f t="shared" si="200"/>
        <v>2885324</v>
      </c>
      <c r="AE433" s="37">
        <v>0</v>
      </c>
      <c r="AF433" s="2">
        <f t="shared" si="214"/>
        <v>2885324</v>
      </c>
      <c r="AG433" s="38" t="s">
        <v>486</v>
      </c>
      <c r="AH433" s="29"/>
      <c r="AI433" s="30">
        <f>28853-2863.19+142731.06-11903.65-3858.41+93859.89-3651.96-3026.27+675137.17</f>
        <v>915277.64000000013</v>
      </c>
      <c r="AJ433" s="30">
        <f>2863.19+11903.65+3858.41+3651.96+3026.27+105097.28</f>
        <v>130400.76</v>
      </c>
    </row>
    <row r="434" spans="1:109" s="179" customFormat="1" ht="299.25" x14ac:dyDescent="0.25">
      <c r="A434" s="6">
        <v>431</v>
      </c>
      <c r="B434" s="31">
        <v>152130</v>
      </c>
      <c r="C434" s="11">
        <v>1135</v>
      </c>
      <c r="D434" s="9" t="s">
        <v>1640</v>
      </c>
      <c r="E434" s="24" t="s">
        <v>1807</v>
      </c>
      <c r="F434" s="11" t="s">
        <v>1894</v>
      </c>
      <c r="G434" s="11" t="s">
        <v>916</v>
      </c>
      <c r="H434" s="11" t="s">
        <v>1835</v>
      </c>
      <c r="I434" s="12" t="s">
        <v>1895</v>
      </c>
      <c r="J434" s="25">
        <v>44524</v>
      </c>
      <c r="K434" s="25">
        <v>45009</v>
      </c>
      <c r="L434" s="26">
        <f t="shared" si="209"/>
        <v>85.000000482427481</v>
      </c>
      <c r="M434" s="11">
        <v>1</v>
      </c>
      <c r="N434" s="11" t="s">
        <v>185</v>
      </c>
      <c r="O434" s="11" t="s">
        <v>185</v>
      </c>
      <c r="P434" s="27" t="s">
        <v>174</v>
      </c>
      <c r="Q434" s="11" t="s">
        <v>34</v>
      </c>
      <c r="R434" s="37">
        <f>S434+T434</f>
        <v>352384.57</v>
      </c>
      <c r="S434" s="37">
        <v>352384.57</v>
      </c>
      <c r="T434" s="37">
        <v>0</v>
      </c>
      <c r="U434" s="37">
        <f t="shared" si="211"/>
        <v>50695.71</v>
      </c>
      <c r="V434" s="42">
        <v>50695.71</v>
      </c>
      <c r="W434" s="42">
        <v>0</v>
      </c>
      <c r="X434" s="131">
        <f t="shared" si="212"/>
        <v>11489.8</v>
      </c>
      <c r="Y434" s="133">
        <v>11489.8</v>
      </c>
      <c r="Z434" s="37">
        <v>0</v>
      </c>
      <c r="AA434" s="2">
        <f t="shared" si="213"/>
        <v>0</v>
      </c>
      <c r="AB434" s="37">
        <v>0</v>
      </c>
      <c r="AC434" s="37">
        <v>0</v>
      </c>
      <c r="AD434" s="16">
        <f t="shared" si="200"/>
        <v>414570.08</v>
      </c>
      <c r="AE434" s="37">
        <v>0</v>
      </c>
      <c r="AF434" s="2">
        <f t="shared" si="214"/>
        <v>414570.08</v>
      </c>
      <c r="AG434" s="38" t="s">
        <v>486</v>
      </c>
      <c r="AH434" s="29"/>
      <c r="AI434" s="30">
        <f>3649.49+12874.36</f>
        <v>16523.849999999999</v>
      </c>
      <c r="AJ434" s="30">
        <f>558.16+1969.02</f>
        <v>2527.1799999999998</v>
      </c>
    </row>
    <row r="435" spans="1:109" s="179" customFormat="1" ht="141.75" x14ac:dyDescent="0.25">
      <c r="A435" s="6">
        <v>432</v>
      </c>
      <c r="B435" s="31">
        <v>153593</v>
      </c>
      <c r="C435" s="11">
        <v>1223</v>
      </c>
      <c r="D435" s="9" t="s">
        <v>1639</v>
      </c>
      <c r="E435" s="24" t="s">
        <v>2024</v>
      </c>
      <c r="F435" s="11" t="s">
        <v>2192</v>
      </c>
      <c r="G435" s="11" t="s">
        <v>503</v>
      </c>
      <c r="H435" s="11" t="s">
        <v>151</v>
      </c>
      <c r="I435" s="12" t="s">
        <v>2872</v>
      </c>
      <c r="J435" s="25">
        <v>44680</v>
      </c>
      <c r="K435" s="25">
        <v>45167</v>
      </c>
      <c r="L435" s="26">
        <f t="shared" si="209"/>
        <v>84.999999866294942</v>
      </c>
      <c r="M435" s="11">
        <v>1</v>
      </c>
      <c r="N435" s="11" t="s">
        <v>185</v>
      </c>
      <c r="O435" s="11" t="s">
        <v>185</v>
      </c>
      <c r="P435" s="27" t="s">
        <v>174</v>
      </c>
      <c r="Q435" s="11" t="s">
        <v>34</v>
      </c>
      <c r="R435" s="37">
        <f>S435+T435</f>
        <v>2542910.52</v>
      </c>
      <c r="S435" s="37">
        <v>2542910.52</v>
      </c>
      <c r="T435" s="37">
        <v>0</v>
      </c>
      <c r="U435" s="37">
        <f t="shared" si="211"/>
        <v>388915.73</v>
      </c>
      <c r="V435" s="42">
        <v>388915.73</v>
      </c>
      <c r="W435" s="42">
        <v>0</v>
      </c>
      <c r="X435" s="131">
        <f t="shared" si="212"/>
        <v>59833.19</v>
      </c>
      <c r="Y435" s="133">
        <v>59833.19</v>
      </c>
      <c r="Z435" s="37">
        <v>0</v>
      </c>
      <c r="AA435" s="2">
        <f t="shared" si="213"/>
        <v>0</v>
      </c>
      <c r="AB435" s="37">
        <v>0</v>
      </c>
      <c r="AC435" s="37">
        <v>0</v>
      </c>
      <c r="AD435" s="16">
        <f t="shared" si="200"/>
        <v>2991659.44</v>
      </c>
      <c r="AE435" s="37">
        <v>0</v>
      </c>
      <c r="AF435" s="2">
        <f t="shared" si="214"/>
        <v>2991659.44</v>
      </c>
      <c r="AG435" s="38" t="s">
        <v>486</v>
      </c>
      <c r="AH435" s="29"/>
      <c r="AI435" s="30">
        <v>0</v>
      </c>
      <c r="AJ435" s="30">
        <v>0</v>
      </c>
    </row>
    <row r="436" spans="1:109" s="179" customFormat="1" ht="236.25" x14ac:dyDescent="0.25">
      <c r="A436" s="6">
        <v>433</v>
      </c>
      <c r="B436" s="31">
        <v>155098</v>
      </c>
      <c r="C436" s="11">
        <v>1249</v>
      </c>
      <c r="D436" s="9" t="s">
        <v>1639</v>
      </c>
      <c r="E436" s="24" t="s">
        <v>2024</v>
      </c>
      <c r="F436" s="11" t="s">
        <v>2260</v>
      </c>
      <c r="G436" s="11" t="s">
        <v>916</v>
      </c>
      <c r="H436" s="11" t="s">
        <v>151</v>
      </c>
      <c r="I436" s="12" t="s">
        <v>2873</v>
      </c>
      <c r="J436" s="25">
        <v>44715</v>
      </c>
      <c r="K436" s="25">
        <v>45202</v>
      </c>
      <c r="L436" s="26">
        <f t="shared" si="209"/>
        <v>85.000000181717979</v>
      </c>
      <c r="M436" s="11">
        <v>1</v>
      </c>
      <c r="N436" s="11" t="s">
        <v>185</v>
      </c>
      <c r="O436" s="11" t="s">
        <v>185</v>
      </c>
      <c r="P436" s="27" t="s">
        <v>174</v>
      </c>
      <c r="Q436" s="11" t="s">
        <v>34</v>
      </c>
      <c r="R436" s="37">
        <f>S436+T436</f>
        <v>2338788.86</v>
      </c>
      <c r="S436" s="37">
        <v>2338788.86</v>
      </c>
      <c r="T436" s="37">
        <v>0</v>
      </c>
      <c r="U436" s="37">
        <f t="shared" si="211"/>
        <v>357697.12</v>
      </c>
      <c r="V436" s="42">
        <v>357697.12</v>
      </c>
      <c r="W436" s="42">
        <v>0</v>
      </c>
      <c r="X436" s="131">
        <f t="shared" si="212"/>
        <v>55030.32</v>
      </c>
      <c r="Y436" s="133">
        <v>55030.32</v>
      </c>
      <c r="Z436" s="37">
        <v>0</v>
      </c>
      <c r="AA436" s="2">
        <f t="shared" si="213"/>
        <v>0</v>
      </c>
      <c r="AB436" s="37">
        <v>0</v>
      </c>
      <c r="AC436" s="37">
        <v>0</v>
      </c>
      <c r="AD436" s="16">
        <f t="shared" si="200"/>
        <v>2751516.3</v>
      </c>
      <c r="AE436" s="37">
        <v>0</v>
      </c>
      <c r="AF436" s="2">
        <f t="shared" si="214"/>
        <v>2751516.3</v>
      </c>
      <c r="AG436" s="38" t="s">
        <v>486</v>
      </c>
      <c r="AH436" s="29"/>
      <c r="AI436" s="30">
        <v>0</v>
      </c>
      <c r="AJ436" s="30">
        <v>0</v>
      </c>
    </row>
    <row r="437" spans="1:109" s="179" customFormat="1" ht="409.5" x14ac:dyDescent="0.25">
      <c r="A437" s="6">
        <v>434</v>
      </c>
      <c r="B437" s="31">
        <v>118788</v>
      </c>
      <c r="C437" s="11">
        <v>445</v>
      </c>
      <c r="D437" s="32" t="s">
        <v>1640</v>
      </c>
      <c r="E437" s="32" t="s">
        <v>507</v>
      </c>
      <c r="F437" s="11" t="s">
        <v>735</v>
      </c>
      <c r="G437" s="11" t="s">
        <v>736</v>
      </c>
      <c r="H437" s="8" t="s">
        <v>151</v>
      </c>
      <c r="I437" s="32" t="s">
        <v>737</v>
      </c>
      <c r="J437" s="25">
        <v>43325</v>
      </c>
      <c r="K437" s="25">
        <v>43690</v>
      </c>
      <c r="L437" s="26">
        <f t="shared" ref="L437:L445" si="215">R437/AD437*100</f>
        <v>85.000001253240569</v>
      </c>
      <c r="M437" s="11">
        <v>2</v>
      </c>
      <c r="N437" s="11" t="s">
        <v>1928</v>
      </c>
      <c r="O437" s="11" t="s">
        <v>738</v>
      </c>
      <c r="P437" s="11" t="s">
        <v>174</v>
      </c>
      <c r="Q437" s="11" t="s">
        <v>34</v>
      </c>
      <c r="R437" s="30">
        <f t="shared" ref="R437:R445" si="216">S437+T437</f>
        <v>339120.85</v>
      </c>
      <c r="S437" s="30">
        <v>339120.85</v>
      </c>
      <c r="T437" s="41">
        <v>0</v>
      </c>
      <c r="U437" s="30">
        <f t="shared" ref="U437:U445" si="217">V437+W437</f>
        <v>51865.54</v>
      </c>
      <c r="V437" s="42">
        <v>51865.54</v>
      </c>
      <c r="W437" s="42">
        <v>0</v>
      </c>
      <c r="X437" s="30">
        <f t="shared" ref="X437:X445" si="218">Y437+Z437</f>
        <v>7979.31</v>
      </c>
      <c r="Y437" s="30">
        <v>7979.31</v>
      </c>
      <c r="Z437" s="30">
        <v>0</v>
      </c>
      <c r="AA437" s="2">
        <f t="shared" ref="AA437:AA445" si="219">AB437+AC437</f>
        <v>0</v>
      </c>
      <c r="AB437" s="2">
        <v>0</v>
      </c>
      <c r="AC437" s="2">
        <v>0</v>
      </c>
      <c r="AD437" s="16">
        <f t="shared" si="200"/>
        <v>398965.69999999995</v>
      </c>
      <c r="AE437" s="38"/>
      <c r="AF437" s="2">
        <f t="shared" ref="AF437:AF445" si="220">AD437+AE437</f>
        <v>398965.69999999995</v>
      </c>
      <c r="AG437" s="21" t="s">
        <v>857</v>
      </c>
      <c r="AH437" s="38" t="s">
        <v>151</v>
      </c>
      <c r="AI437" s="30">
        <v>285754.77</v>
      </c>
      <c r="AJ437" s="30">
        <v>43703.66</v>
      </c>
    </row>
    <row r="438" spans="1:109" s="179" customFormat="1" ht="252" x14ac:dyDescent="0.25">
      <c r="A438" s="6">
        <v>435</v>
      </c>
      <c r="B438" s="31">
        <v>125665</v>
      </c>
      <c r="C438" s="11">
        <v>557</v>
      </c>
      <c r="D438" s="9" t="s">
        <v>1639</v>
      </c>
      <c r="E438" s="32" t="s">
        <v>899</v>
      </c>
      <c r="F438" s="11" t="s">
        <v>900</v>
      </c>
      <c r="G438" s="11" t="s">
        <v>1661</v>
      </c>
      <c r="H438" s="8" t="s">
        <v>151</v>
      </c>
      <c r="I438" s="32" t="s">
        <v>2874</v>
      </c>
      <c r="J438" s="25">
        <v>43425</v>
      </c>
      <c r="K438" s="25">
        <v>44916</v>
      </c>
      <c r="L438" s="26">
        <f t="shared" si="215"/>
        <v>84.999999890649349</v>
      </c>
      <c r="M438" s="11">
        <v>2</v>
      </c>
      <c r="N438" s="11" t="s">
        <v>1928</v>
      </c>
      <c r="O438" s="11" t="s">
        <v>738</v>
      </c>
      <c r="P438" s="11" t="s">
        <v>174</v>
      </c>
      <c r="Q438" s="11" t="s">
        <v>34</v>
      </c>
      <c r="R438" s="30">
        <f t="shared" si="216"/>
        <v>3497921.5</v>
      </c>
      <c r="S438" s="30">
        <v>3497921.5</v>
      </c>
      <c r="T438" s="41">
        <v>0</v>
      </c>
      <c r="U438" s="30">
        <f t="shared" si="217"/>
        <v>534976.2300000001</v>
      </c>
      <c r="V438" s="42">
        <v>534976.2300000001</v>
      </c>
      <c r="W438" s="42">
        <v>0</v>
      </c>
      <c r="X438" s="30">
        <f t="shared" si="218"/>
        <v>82304.039999999994</v>
      </c>
      <c r="Y438" s="30">
        <v>82304.039999999994</v>
      </c>
      <c r="Z438" s="30">
        <v>0</v>
      </c>
      <c r="AA438" s="2">
        <f t="shared" si="219"/>
        <v>0</v>
      </c>
      <c r="AB438" s="2">
        <v>0</v>
      </c>
      <c r="AC438" s="2">
        <v>0</v>
      </c>
      <c r="AD438" s="16">
        <f t="shared" si="200"/>
        <v>4115201.77</v>
      </c>
      <c r="AE438" s="38">
        <v>114240</v>
      </c>
      <c r="AF438" s="2">
        <f t="shared" si="220"/>
        <v>4229441.7699999996</v>
      </c>
      <c r="AG438" s="38" t="s">
        <v>486</v>
      </c>
      <c r="AH438" s="38" t="s">
        <v>2423</v>
      </c>
      <c r="AI438" s="30">
        <f>142406.78+91705.18</f>
        <v>234111.96</v>
      </c>
      <c r="AJ438" s="30">
        <f>21779.86+14025.5</f>
        <v>35805.360000000001</v>
      </c>
    </row>
    <row r="439" spans="1:109" s="179" customFormat="1" ht="157.5" x14ac:dyDescent="0.25">
      <c r="A439" s="6">
        <v>436</v>
      </c>
      <c r="B439" s="31">
        <v>136071</v>
      </c>
      <c r="C439" s="11">
        <v>768</v>
      </c>
      <c r="D439" s="9" t="s">
        <v>1639</v>
      </c>
      <c r="E439" s="24" t="s">
        <v>1441</v>
      </c>
      <c r="F439" s="31" t="s">
        <v>1451</v>
      </c>
      <c r="G439" s="11" t="s">
        <v>1661</v>
      </c>
      <c r="H439" s="8" t="s">
        <v>151</v>
      </c>
      <c r="I439" s="12" t="s">
        <v>2875</v>
      </c>
      <c r="J439" s="25">
        <v>43949</v>
      </c>
      <c r="K439" s="25">
        <v>44648</v>
      </c>
      <c r="L439" s="26">
        <f t="shared" si="215"/>
        <v>85</v>
      </c>
      <c r="M439" s="11">
        <v>2</v>
      </c>
      <c r="N439" s="11" t="s">
        <v>1928</v>
      </c>
      <c r="O439" s="11" t="s">
        <v>738</v>
      </c>
      <c r="P439" s="11" t="s">
        <v>174</v>
      </c>
      <c r="Q439" s="11" t="s">
        <v>34</v>
      </c>
      <c r="R439" s="30">
        <f t="shared" si="216"/>
        <v>576959.6</v>
      </c>
      <c r="S439" s="30">
        <v>576959.6</v>
      </c>
      <c r="T439" s="42">
        <v>0</v>
      </c>
      <c r="U439" s="30">
        <f t="shared" si="217"/>
        <v>88240.88</v>
      </c>
      <c r="V439" s="42">
        <v>88240.88</v>
      </c>
      <c r="W439" s="42">
        <v>0</v>
      </c>
      <c r="X439" s="30">
        <f t="shared" si="218"/>
        <v>13575.52</v>
      </c>
      <c r="Y439" s="30">
        <v>13575.52</v>
      </c>
      <c r="Z439" s="30">
        <v>0</v>
      </c>
      <c r="AA439" s="2">
        <f t="shared" si="219"/>
        <v>0</v>
      </c>
      <c r="AB439" s="2">
        <v>0</v>
      </c>
      <c r="AC439" s="2">
        <v>0</v>
      </c>
      <c r="AD439" s="16">
        <f t="shared" si="200"/>
        <v>678776</v>
      </c>
      <c r="AE439" s="38">
        <v>0</v>
      </c>
      <c r="AF439" s="2">
        <f t="shared" si="220"/>
        <v>678776</v>
      </c>
      <c r="AG439" s="38" t="s">
        <v>857</v>
      </c>
      <c r="AH439" s="38" t="s">
        <v>1801</v>
      </c>
      <c r="AI439" s="30">
        <f>112223.9+273641.1+143420.59</f>
        <v>529285.59</v>
      </c>
      <c r="AJ439" s="30">
        <f>17163.66+41850.99+21934.91</f>
        <v>80949.56</v>
      </c>
    </row>
    <row r="440" spans="1:109" s="179" customFormat="1" ht="157.5" x14ac:dyDescent="0.25">
      <c r="A440" s="6">
        <v>437</v>
      </c>
      <c r="B440" s="31">
        <v>136088</v>
      </c>
      <c r="C440" s="11">
        <v>813</v>
      </c>
      <c r="D440" s="9" t="s">
        <v>1639</v>
      </c>
      <c r="E440" s="24" t="s">
        <v>1441</v>
      </c>
      <c r="F440" s="31" t="s">
        <v>1529</v>
      </c>
      <c r="G440" s="11" t="s">
        <v>736</v>
      </c>
      <c r="H440" s="8" t="s">
        <v>151</v>
      </c>
      <c r="I440" s="12" t="s">
        <v>1530</v>
      </c>
      <c r="J440" s="25">
        <v>43998</v>
      </c>
      <c r="K440" s="25">
        <v>44697</v>
      </c>
      <c r="L440" s="26">
        <f t="shared" si="215"/>
        <v>85.00000001266109</v>
      </c>
      <c r="M440" s="11">
        <v>2</v>
      </c>
      <c r="N440" s="11" t="s">
        <v>1928</v>
      </c>
      <c r="O440" s="11" t="s">
        <v>1531</v>
      </c>
      <c r="P440" s="11" t="s">
        <v>174</v>
      </c>
      <c r="Q440" s="11" t="s">
        <v>34</v>
      </c>
      <c r="R440" s="30">
        <f t="shared" si="216"/>
        <v>3356741.18</v>
      </c>
      <c r="S440" s="30">
        <v>3356741.18</v>
      </c>
      <c r="T440" s="42">
        <v>0</v>
      </c>
      <c r="U440" s="30">
        <f t="shared" si="217"/>
        <v>513383.94</v>
      </c>
      <c r="V440" s="42">
        <v>513383.94</v>
      </c>
      <c r="W440" s="42">
        <v>0</v>
      </c>
      <c r="X440" s="30">
        <f t="shared" si="218"/>
        <v>78982.149999999994</v>
      </c>
      <c r="Y440" s="30">
        <v>78982.149999999994</v>
      </c>
      <c r="Z440" s="30">
        <v>0</v>
      </c>
      <c r="AA440" s="2">
        <f t="shared" si="219"/>
        <v>0</v>
      </c>
      <c r="AB440" s="2">
        <v>0</v>
      </c>
      <c r="AC440" s="2">
        <v>0</v>
      </c>
      <c r="AD440" s="16">
        <f t="shared" si="200"/>
        <v>3949107.27</v>
      </c>
      <c r="AE440" s="38">
        <v>0</v>
      </c>
      <c r="AF440" s="2">
        <f t="shared" si="220"/>
        <v>3949107.27</v>
      </c>
      <c r="AG440" s="38" t="s">
        <v>857</v>
      </c>
      <c r="AH440" s="38" t="s">
        <v>1755</v>
      </c>
      <c r="AI440" s="30">
        <f>52842.15+27804.95+103071.85+658319.58+1619716.52+9644.1+27866.69</f>
        <v>2499265.84</v>
      </c>
      <c r="AJ440" s="30">
        <f>8081.74+4252.52+15763.93+100684.17+247721.35+1474.98+4261.96</f>
        <v>382240.65</v>
      </c>
    </row>
    <row r="441" spans="1:109" s="179" customFormat="1" ht="141.75" x14ac:dyDescent="0.25">
      <c r="A441" s="6">
        <v>438</v>
      </c>
      <c r="B441" s="31">
        <v>152174</v>
      </c>
      <c r="C441" s="11">
        <v>1108</v>
      </c>
      <c r="D441" s="9" t="s">
        <v>1640</v>
      </c>
      <c r="E441" s="24" t="s">
        <v>1807</v>
      </c>
      <c r="F441" s="31" t="s">
        <v>1828</v>
      </c>
      <c r="G441" s="11" t="s">
        <v>1661</v>
      </c>
      <c r="H441" s="8" t="s">
        <v>151</v>
      </c>
      <c r="I441" s="12" t="s">
        <v>2876</v>
      </c>
      <c r="J441" s="25">
        <v>44481</v>
      </c>
      <c r="K441" s="25">
        <v>44969</v>
      </c>
      <c r="L441" s="26">
        <f t="shared" si="215"/>
        <v>85</v>
      </c>
      <c r="M441" s="11">
        <v>2</v>
      </c>
      <c r="N441" s="11" t="s">
        <v>1928</v>
      </c>
      <c r="O441" s="11" t="s">
        <v>738</v>
      </c>
      <c r="P441" s="11" t="s">
        <v>174</v>
      </c>
      <c r="Q441" s="11" t="s">
        <v>34</v>
      </c>
      <c r="R441" s="30">
        <f t="shared" si="216"/>
        <v>352639.5</v>
      </c>
      <c r="S441" s="30">
        <v>352639.5</v>
      </c>
      <c r="T441" s="42">
        <v>0</v>
      </c>
      <c r="U441" s="30">
        <f t="shared" si="217"/>
        <v>53933.1</v>
      </c>
      <c r="V441" s="42">
        <v>53933.1</v>
      </c>
      <c r="W441" s="42">
        <v>0</v>
      </c>
      <c r="X441" s="30">
        <f t="shared" si="218"/>
        <v>8297.4</v>
      </c>
      <c r="Y441" s="30">
        <v>8297.4</v>
      </c>
      <c r="Z441" s="30">
        <v>0</v>
      </c>
      <c r="AA441" s="2">
        <f t="shared" si="219"/>
        <v>0</v>
      </c>
      <c r="AB441" s="2">
        <v>0</v>
      </c>
      <c r="AC441" s="2">
        <v>0</v>
      </c>
      <c r="AD441" s="16">
        <f t="shared" si="200"/>
        <v>414870</v>
      </c>
      <c r="AE441" s="38">
        <v>0</v>
      </c>
      <c r="AF441" s="2">
        <f t="shared" si="220"/>
        <v>414870</v>
      </c>
      <c r="AG441" s="38" t="s">
        <v>486</v>
      </c>
      <c r="AH441" s="38"/>
      <c r="AI441" s="30">
        <v>4501.18</v>
      </c>
      <c r="AJ441" s="30">
        <v>688.42</v>
      </c>
    </row>
    <row r="442" spans="1:109" s="179" customFormat="1" ht="204.75" x14ac:dyDescent="0.25">
      <c r="A442" s="6">
        <v>439</v>
      </c>
      <c r="B442" s="31">
        <v>152199</v>
      </c>
      <c r="C442" s="11">
        <v>1142</v>
      </c>
      <c r="D442" s="9" t="s">
        <v>1640</v>
      </c>
      <c r="E442" s="24" t="s">
        <v>1807</v>
      </c>
      <c r="F442" s="31" t="s">
        <v>1961</v>
      </c>
      <c r="G442" s="11" t="s">
        <v>1960</v>
      </c>
      <c r="H442" s="8" t="s">
        <v>151</v>
      </c>
      <c r="I442" s="12" t="s">
        <v>2877</v>
      </c>
      <c r="J442" s="25">
        <v>44551</v>
      </c>
      <c r="K442" s="25">
        <v>44916</v>
      </c>
      <c r="L442" s="26">
        <f t="shared" si="215"/>
        <v>85</v>
      </c>
      <c r="M442" s="11">
        <v>2</v>
      </c>
      <c r="N442" s="11" t="s">
        <v>1928</v>
      </c>
      <c r="O442" s="11" t="s">
        <v>1962</v>
      </c>
      <c r="P442" s="11" t="s">
        <v>174</v>
      </c>
      <c r="Q442" s="11" t="s">
        <v>34</v>
      </c>
      <c r="R442" s="30">
        <f t="shared" si="216"/>
        <v>334870.25</v>
      </c>
      <c r="S442" s="30">
        <v>334870.25</v>
      </c>
      <c r="T442" s="42">
        <v>0</v>
      </c>
      <c r="U442" s="30">
        <f t="shared" si="217"/>
        <v>51215.45</v>
      </c>
      <c r="V442" s="42">
        <v>51215.45</v>
      </c>
      <c r="W442" s="42">
        <v>0</v>
      </c>
      <c r="X442" s="30">
        <f t="shared" si="218"/>
        <v>7879.3</v>
      </c>
      <c r="Y442" s="30">
        <v>7879.3</v>
      </c>
      <c r="Z442" s="30">
        <v>0</v>
      </c>
      <c r="AA442" s="2">
        <f t="shared" si="219"/>
        <v>0</v>
      </c>
      <c r="AB442" s="2">
        <v>0</v>
      </c>
      <c r="AC442" s="2">
        <v>0</v>
      </c>
      <c r="AD442" s="16">
        <f t="shared" si="200"/>
        <v>393965</v>
      </c>
      <c r="AE442" s="38">
        <v>0</v>
      </c>
      <c r="AF442" s="2">
        <f t="shared" si="220"/>
        <v>393965</v>
      </c>
      <c r="AG442" s="38" t="s">
        <v>486</v>
      </c>
      <c r="AH442" s="38"/>
      <c r="AI442" s="30">
        <v>0</v>
      </c>
      <c r="AJ442" s="30">
        <v>0</v>
      </c>
    </row>
    <row r="443" spans="1:109" s="179" customFormat="1" ht="173.25" x14ac:dyDescent="0.25">
      <c r="A443" s="6">
        <v>440</v>
      </c>
      <c r="B443" s="31">
        <v>154708</v>
      </c>
      <c r="C443" s="11">
        <v>1187</v>
      </c>
      <c r="D443" s="9" t="s">
        <v>1639</v>
      </c>
      <c r="E443" s="24" t="s">
        <v>2024</v>
      </c>
      <c r="F443" s="31" t="s">
        <v>2163</v>
      </c>
      <c r="G443" s="11" t="s">
        <v>736</v>
      </c>
      <c r="H443" s="8" t="s">
        <v>151</v>
      </c>
      <c r="I443" s="12" t="s">
        <v>2878</v>
      </c>
      <c r="J443" s="25">
        <v>44670</v>
      </c>
      <c r="K443" s="25">
        <v>45096</v>
      </c>
      <c r="L443" s="26">
        <f t="shared" si="215"/>
        <v>85.000000000000014</v>
      </c>
      <c r="M443" s="11">
        <v>2</v>
      </c>
      <c r="N443" s="11" t="s">
        <v>1928</v>
      </c>
      <c r="O443" s="11" t="s">
        <v>738</v>
      </c>
      <c r="P443" s="11" t="s">
        <v>174</v>
      </c>
      <c r="Q443" s="11" t="s">
        <v>34</v>
      </c>
      <c r="R443" s="30">
        <f t="shared" si="216"/>
        <v>514348.43</v>
      </c>
      <c r="S443" s="30">
        <v>514348.43</v>
      </c>
      <c r="T443" s="42">
        <v>0</v>
      </c>
      <c r="U443" s="30">
        <f t="shared" si="217"/>
        <v>78665.05</v>
      </c>
      <c r="V443" s="42">
        <v>78665.05</v>
      </c>
      <c r="W443" s="42">
        <v>0</v>
      </c>
      <c r="X443" s="30">
        <f t="shared" si="218"/>
        <v>12102.32</v>
      </c>
      <c r="Y443" s="30">
        <v>12102.32</v>
      </c>
      <c r="Z443" s="30">
        <v>0</v>
      </c>
      <c r="AA443" s="2">
        <f t="shared" si="219"/>
        <v>0</v>
      </c>
      <c r="AB443" s="2">
        <v>0</v>
      </c>
      <c r="AC443" s="2">
        <v>0</v>
      </c>
      <c r="AD443" s="16">
        <f t="shared" si="200"/>
        <v>605115.79999999993</v>
      </c>
      <c r="AE443" s="38">
        <v>0</v>
      </c>
      <c r="AF443" s="2">
        <f t="shared" si="220"/>
        <v>605115.79999999993</v>
      </c>
      <c r="AG443" s="38" t="s">
        <v>486</v>
      </c>
      <c r="AH443" s="38"/>
      <c r="AI443" s="30">
        <v>6059.4</v>
      </c>
      <c r="AJ443" s="30">
        <v>926.73</v>
      </c>
    </row>
    <row r="444" spans="1:109" s="179" customFormat="1" ht="157.5" x14ac:dyDescent="0.25">
      <c r="A444" s="6">
        <v>441</v>
      </c>
      <c r="B444" s="31">
        <v>155129</v>
      </c>
      <c r="C444" s="11">
        <v>1228</v>
      </c>
      <c r="D444" s="9" t="s">
        <v>1639</v>
      </c>
      <c r="E444" s="24" t="s">
        <v>2024</v>
      </c>
      <c r="F444" s="31" t="s">
        <v>2184</v>
      </c>
      <c r="G444" s="11" t="s">
        <v>1661</v>
      </c>
      <c r="H444" s="8" t="s">
        <v>151</v>
      </c>
      <c r="I444" s="12" t="s">
        <v>2879</v>
      </c>
      <c r="J444" s="25">
        <v>44678</v>
      </c>
      <c r="K444" s="25">
        <v>45165</v>
      </c>
      <c r="L444" s="26">
        <f t="shared" si="215"/>
        <v>85</v>
      </c>
      <c r="M444" s="11">
        <v>2</v>
      </c>
      <c r="N444" s="11" t="s">
        <v>1928</v>
      </c>
      <c r="O444" s="11" t="s">
        <v>738</v>
      </c>
      <c r="P444" s="11" t="s">
        <v>174</v>
      </c>
      <c r="Q444" s="11" t="s">
        <v>34</v>
      </c>
      <c r="R444" s="30">
        <f t="shared" si="216"/>
        <v>2541292.6</v>
      </c>
      <c r="S444" s="30">
        <v>2541292.6</v>
      </c>
      <c r="T444" s="42">
        <v>0</v>
      </c>
      <c r="U444" s="30">
        <f t="shared" si="217"/>
        <v>388668.28</v>
      </c>
      <c r="V444" s="42">
        <v>388668.28</v>
      </c>
      <c r="W444" s="42">
        <v>0</v>
      </c>
      <c r="X444" s="30">
        <f t="shared" si="218"/>
        <v>59795.12</v>
      </c>
      <c r="Y444" s="30">
        <v>59795.12</v>
      </c>
      <c r="Z444" s="30">
        <v>0</v>
      </c>
      <c r="AA444" s="2">
        <f t="shared" si="219"/>
        <v>0</v>
      </c>
      <c r="AB444" s="2">
        <v>0</v>
      </c>
      <c r="AC444" s="2">
        <v>0</v>
      </c>
      <c r="AD444" s="16">
        <f t="shared" si="200"/>
        <v>2989756</v>
      </c>
      <c r="AE444" s="38">
        <v>0</v>
      </c>
      <c r="AF444" s="2">
        <f t="shared" si="220"/>
        <v>2989756</v>
      </c>
      <c r="AG444" s="38" t="s">
        <v>486</v>
      </c>
      <c r="AH444" s="38"/>
      <c r="AI444" s="30">
        <v>0</v>
      </c>
      <c r="AJ444" s="30">
        <v>0</v>
      </c>
    </row>
    <row r="445" spans="1:109" s="179" customFormat="1" ht="267.75" x14ac:dyDescent="0.25">
      <c r="A445" s="6">
        <v>442</v>
      </c>
      <c r="B445" s="31">
        <v>154833</v>
      </c>
      <c r="C445" s="11">
        <v>1189</v>
      </c>
      <c r="D445" s="9" t="s">
        <v>1639</v>
      </c>
      <c r="E445" s="24" t="s">
        <v>2024</v>
      </c>
      <c r="F445" s="31" t="s">
        <v>2188</v>
      </c>
      <c r="G445" s="11" t="s">
        <v>1960</v>
      </c>
      <c r="H445" s="8" t="s">
        <v>151</v>
      </c>
      <c r="I445" s="12" t="s">
        <v>2880</v>
      </c>
      <c r="J445" s="25">
        <v>44680</v>
      </c>
      <c r="K445" s="25">
        <v>45167</v>
      </c>
      <c r="L445" s="26">
        <f t="shared" si="215"/>
        <v>85.000000088776247</v>
      </c>
      <c r="M445" s="11">
        <v>2</v>
      </c>
      <c r="N445" s="11" t="s">
        <v>1928</v>
      </c>
      <c r="O445" s="11" t="s">
        <v>1962</v>
      </c>
      <c r="P445" s="11" t="s">
        <v>174</v>
      </c>
      <c r="Q445" s="11" t="s">
        <v>34</v>
      </c>
      <c r="R445" s="30">
        <f t="shared" si="216"/>
        <v>3351121.51</v>
      </c>
      <c r="S445" s="30">
        <v>3351121.51</v>
      </c>
      <c r="T445" s="42">
        <v>0</v>
      </c>
      <c r="U445" s="30">
        <f t="shared" si="217"/>
        <v>512524.46</v>
      </c>
      <c r="V445" s="42">
        <v>512524.46</v>
      </c>
      <c r="W445" s="42">
        <v>0</v>
      </c>
      <c r="X445" s="30">
        <f t="shared" si="218"/>
        <v>78849.919999999998</v>
      </c>
      <c r="Y445" s="30">
        <v>78849.919999999998</v>
      </c>
      <c r="Z445" s="30">
        <v>0</v>
      </c>
      <c r="AA445" s="2">
        <f t="shared" si="219"/>
        <v>0</v>
      </c>
      <c r="AB445" s="2">
        <v>0</v>
      </c>
      <c r="AC445" s="2">
        <v>0</v>
      </c>
      <c r="AD445" s="16">
        <f t="shared" si="200"/>
        <v>3942495.8899999997</v>
      </c>
      <c r="AE445" s="38">
        <v>0</v>
      </c>
      <c r="AF445" s="2">
        <f t="shared" si="220"/>
        <v>3942495.8899999997</v>
      </c>
      <c r="AG445" s="38" t="s">
        <v>486</v>
      </c>
      <c r="AH445" s="38"/>
      <c r="AI445" s="30">
        <v>0</v>
      </c>
      <c r="AJ445" s="30">
        <v>0</v>
      </c>
    </row>
    <row r="446" spans="1:109" s="179" customFormat="1" ht="141.75" x14ac:dyDescent="0.25">
      <c r="A446" s="6">
        <v>443</v>
      </c>
      <c r="B446" s="31">
        <v>118894</v>
      </c>
      <c r="C446" s="11">
        <v>15</v>
      </c>
      <c r="D446" s="11" t="s">
        <v>143</v>
      </c>
      <c r="E446" s="10" t="s">
        <v>107</v>
      </c>
      <c r="F446" s="11" t="s">
        <v>58</v>
      </c>
      <c r="G446" s="27" t="s">
        <v>1739</v>
      </c>
      <c r="H446" s="8" t="s">
        <v>151</v>
      </c>
      <c r="I446" s="46" t="s">
        <v>59</v>
      </c>
      <c r="J446" s="25">
        <v>42717</v>
      </c>
      <c r="K446" s="25">
        <v>43995</v>
      </c>
      <c r="L446" s="26">
        <f t="shared" ref="L446:L454" si="221">R446/AD446*100</f>
        <v>83.983863051796376</v>
      </c>
      <c r="M446" s="11" t="s">
        <v>136</v>
      </c>
      <c r="N446" s="11" t="s">
        <v>261</v>
      </c>
      <c r="O446" s="11" t="s">
        <v>261</v>
      </c>
      <c r="P446" s="27" t="s">
        <v>138</v>
      </c>
      <c r="Q446" s="11" t="s">
        <v>34</v>
      </c>
      <c r="R446" s="2">
        <f t="shared" ref="R446:R454" si="222">S446+T446</f>
        <v>2106832.29</v>
      </c>
      <c r="S446" s="2">
        <v>1698976.68</v>
      </c>
      <c r="T446" s="2">
        <v>407855.61</v>
      </c>
      <c r="U446" s="2">
        <f t="shared" ref="U446:U454" si="223">V446+W446</f>
        <v>0</v>
      </c>
      <c r="V446" s="28">
        <v>0</v>
      </c>
      <c r="W446" s="28">
        <v>0</v>
      </c>
      <c r="X446" s="2">
        <f t="shared" ref="X446:X454" si="224">Y446+Z446</f>
        <v>401783.30999999994</v>
      </c>
      <c r="Y446" s="2">
        <v>299819.40999999997</v>
      </c>
      <c r="Z446" s="2">
        <v>101963.9</v>
      </c>
      <c r="AA446" s="2">
        <f t="shared" ref="AA446:AA454" si="225">AB446+AC446</f>
        <v>0</v>
      </c>
      <c r="AB446" s="2">
        <v>0</v>
      </c>
      <c r="AC446" s="2">
        <v>0</v>
      </c>
      <c r="AD446" s="16">
        <f t="shared" si="200"/>
        <v>2508615.6</v>
      </c>
      <c r="AE446" s="2">
        <v>154711.20000000001</v>
      </c>
      <c r="AF446" s="2">
        <f t="shared" ref="AF446:AF454" si="226">AD446+AE446</f>
        <v>2663326.8000000003</v>
      </c>
      <c r="AG446" s="38" t="s">
        <v>857</v>
      </c>
      <c r="AH446" s="29" t="s">
        <v>1206</v>
      </c>
      <c r="AI446" s="30">
        <f>749071.73+539901.84+5494.22</f>
        <v>1294467.7899999998</v>
      </c>
      <c r="AJ446" s="30">
        <v>0</v>
      </c>
    </row>
    <row r="447" spans="1:109" s="43" customFormat="1" ht="141.75" x14ac:dyDescent="0.25">
      <c r="A447" s="6">
        <v>444</v>
      </c>
      <c r="B447" s="31">
        <v>119196</v>
      </c>
      <c r="C447" s="11">
        <v>20</v>
      </c>
      <c r="D447" s="11" t="s">
        <v>143</v>
      </c>
      <c r="E447" s="10" t="s">
        <v>107</v>
      </c>
      <c r="F447" s="11" t="s">
        <v>65</v>
      </c>
      <c r="G447" s="27" t="s">
        <v>1679</v>
      </c>
      <c r="H447" s="11" t="s">
        <v>168</v>
      </c>
      <c r="I447" s="46" t="s">
        <v>66</v>
      </c>
      <c r="J447" s="25">
        <v>42464</v>
      </c>
      <c r="K447" s="25">
        <v>44351</v>
      </c>
      <c r="L447" s="26">
        <f t="shared" si="221"/>
        <v>83.983862957234891</v>
      </c>
      <c r="M447" s="11" t="s">
        <v>136</v>
      </c>
      <c r="N447" s="11" t="s">
        <v>261</v>
      </c>
      <c r="O447" s="11" t="s">
        <v>261</v>
      </c>
      <c r="P447" s="27" t="s">
        <v>138</v>
      </c>
      <c r="Q447" s="11" t="s">
        <v>34</v>
      </c>
      <c r="R447" s="2">
        <f t="shared" si="222"/>
        <v>14714221.08</v>
      </c>
      <c r="S447" s="2">
        <v>11865737.33</v>
      </c>
      <c r="T447" s="2">
        <v>2848483.75</v>
      </c>
      <c r="U447" s="2">
        <f t="shared" si="223"/>
        <v>0</v>
      </c>
      <c r="V447" s="28">
        <v>0</v>
      </c>
      <c r="W447" s="28">
        <v>0</v>
      </c>
      <c r="X447" s="2">
        <f t="shared" si="224"/>
        <v>2806074.56</v>
      </c>
      <c r="Y447" s="2">
        <v>2093953.62</v>
      </c>
      <c r="Z447" s="2">
        <v>712120.94</v>
      </c>
      <c r="AA447" s="2">
        <f t="shared" si="225"/>
        <v>0</v>
      </c>
      <c r="AB447" s="2">
        <v>0</v>
      </c>
      <c r="AC447" s="2">
        <v>0</v>
      </c>
      <c r="AD447" s="16">
        <f t="shared" si="200"/>
        <v>17520295.640000001</v>
      </c>
      <c r="AE447" s="2">
        <v>0</v>
      </c>
      <c r="AF447" s="2">
        <f t="shared" si="226"/>
        <v>17520295.640000001</v>
      </c>
      <c r="AG447" s="38" t="s">
        <v>857</v>
      </c>
      <c r="AH447" s="29" t="s">
        <v>1726</v>
      </c>
      <c r="AI447" s="118">
        <f>8318831+1813378.18+1752669.98+348361.29+643650.68+1117000.18</f>
        <v>13993891.309999999</v>
      </c>
      <c r="AJ447" s="30">
        <v>0</v>
      </c>
      <c r="AK447" s="179"/>
      <c r="AL447" s="179"/>
      <c r="AM447" s="179"/>
      <c r="AN447" s="179"/>
      <c r="AO447" s="179"/>
      <c r="AP447" s="179"/>
      <c r="AQ447" s="179"/>
      <c r="AR447" s="179"/>
      <c r="AS447" s="179"/>
      <c r="AT447" s="179"/>
      <c r="AU447" s="179"/>
      <c r="AV447" s="179"/>
      <c r="AW447" s="179"/>
      <c r="AX447" s="179"/>
      <c r="AY447" s="179"/>
      <c r="AZ447" s="179"/>
      <c r="BA447" s="179"/>
      <c r="BB447" s="179"/>
      <c r="BC447" s="179"/>
      <c r="BD447" s="179"/>
      <c r="BE447" s="179"/>
      <c r="BF447" s="179"/>
      <c r="BG447" s="179"/>
      <c r="BH447" s="179"/>
      <c r="BI447" s="179"/>
      <c r="BJ447" s="179"/>
      <c r="BK447" s="179"/>
      <c r="BL447" s="179"/>
      <c r="BM447" s="179"/>
      <c r="BN447" s="179"/>
      <c r="BO447" s="179"/>
      <c r="BP447" s="179"/>
      <c r="BQ447" s="179"/>
      <c r="BR447" s="179"/>
      <c r="BS447" s="179"/>
      <c r="BT447" s="179"/>
      <c r="BU447" s="179"/>
      <c r="BV447" s="179"/>
      <c r="BW447" s="179"/>
      <c r="BX447" s="179"/>
      <c r="BY447" s="179"/>
      <c r="BZ447" s="179"/>
      <c r="CA447" s="179"/>
      <c r="CB447" s="179"/>
      <c r="CC447" s="179"/>
      <c r="CD447" s="179"/>
      <c r="CE447" s="179"/>
      <c r="CF447" s="179"/>
      <c r="CG447" s="179"/>
      <c r="CH447" s="179"/>
      <c r="CI447" s="179"/>
      <c r="CJ447" s="179"/>
      <c r="CK447" s="179"/>
      <c r="CL447" s="179"/>
      <c r="CM447" s="179"/>
      <c r="CN447" s="179"/>
      <c r="CO447" s="179"/>
      <c r="CP447" s="179"/>
      <c r="CQ447" s="179"/>
      <c r="CR447" s="179"/>
      <c r="CS447" s="179"/>
      <c r="CT447" s="179"/>
      <c r="CU447" s="179"/>
      <c r="CV447" s="179"/>
      <c r="CW447" s="179"/>
      <c r="CX447" s="179"/>
      <c r="CY447" s="179"/>
      <c r="CZ447" s="179"/>
      <c r="DA447" s="179"/>
      <c r="DB447" s="179"/>
      <c r="DC447" s="179"/>
      <c r="DD447" s="179"/>
      <c r="DE447" s="179"/>
    </row>
    <row r="448" spans="1:109" s="43" customFormat="1" ht="141.75" x14ac:dyDescent="0.25">
      <c r="A448" s="6">
        <v>445</v>
      </c>
      <c r="B448" s="31">
        <v>119622</v>
      </c>
      <c r="C448" s="11">
        <v>45</v>
      </c>
      <c r="D448" s="11" t="s">
        <v>144</v>
      </c>
      <c r="E448" s="10" t="s">
        <v>148</v>
      </c>
      <c r="F448" s="11" t="s">
        <v>105</v>
      </c>
      <c r="G448" s="11" t="s">
        <v>104</v>
      </c>
      <c r="H448" s="8" t="s">
        <v>151</v>
      </c>
      <c r="I448" s="46" t="s">
        <v>106</v>
      </c>
      <c r="J448" s="25">
        <v>42793</v>
      </c>
      <c r="K448" s="25">
        <v>45287</v>
      </c>
      <c r="L448" s="26">
        <f t="shared" si="221"/>
        <v>83.983862948301422</v>
      </c>
      <c r="M448" s="11" t="s">
        <v>136</v>
      </c>
      <c r="N448" s="11" t="s">
        <v>261</v>
      </c>
      <c r="O448" s="11" t="s">
        <v>137</v>
      </c>
      <c r="P448" s="27" t="s">
        <v>138</v>
      </c>
      <c r="Q448" s="11" t="s">
        <v>34</v>
      </c>
      <c r="R448" s="2">
        <f t="shared" si="222"/>
        <v>37233996.5</v>
      </c>
      <c r="S448" s="2">
        <v>30025974.129999999</v>
      </c>
      <c r="T448" s="2">
        <v>7208022.3700000001</v>
      </c>
      <c r="U448" s="2">
        <f t="shared" si="223"/>
        <v>0</v>
      </c>
      <c r="V448" s="28">
        <v>0</v>
      </c>
      <c r="W448" s="28">
        <v>0</v>
      </c>
      <c r="X448" s="2">
        <f t="shared" si="224"/>
        <v>7100706.8499999996</v>
      </c>
      <c r="Y448" s="2">
        <v>5298701.3</v>
      </c>
      <c r="Z448" s="2">
        <v>1802005.55</v>
      </c>
      <c r="AA448" s="2">
        <f t="shared" si="225"/>
        <v>0</v>
      </c>
      <c r="AB448" s="2">
        <v>0</v>
      </c>
      <c r="AC448" s="2">
        <v>0</v>
      </c>
      <c r="AD448" s="16">
        <f t="shared" si="200"/>
        <v>44334703.350000001</v>
      </c>
      <c r="AE448" s="2">
        <v>427346.26</v>
      </c>
      <c r="AF448" s="2">
        <f t="shared" si="226"/>
        <v>44762049.609999999</v>
      </c>
      <c r="AG448" s="38" t="s">
        <v>486</v>
      </c>
      <c r="AH448" s="115" t="s">
        <v>1791</v>
      </c>
      <c r="AI448" s="118">
        <f>21632358.61+914374.27+187341.96</f>
        <v>22734074.84</v>
      </c>
      <c r="AJ448" s="30">
        <v>0</v>
      </c>
      <c r="AK448" s="179"/>
      <c r="AL448" s="179"/>
      <c r="AM448" s="179"/>
      <c r="AN448" s="179"/>
      <c r="AO448" s="179"/>
      <c r="AP448" s="179"/>
      <c r="AQ448" s="179"/>
      <c r="AR448" s="179"/>
      <c r="AS448" s="179"/>
      <c r="AT448" s="179"/>
      <c r="AU448" s="179"/>
      <c r="AV448" s="179"/>
      <c r="AW448" s="179"/>
      <c r="AX448" s="179"/>
      <c r="AY448" s="179"/>
      <c r="AZ448" s="179"/>
      <c r="BA448" s="179"/>
      <c r="BB448" s="179"/>
      <c r="BC448" s="179"/>
      <c r="BD448" s="179"/>
      <c r="BE448" s="179"/>
      <c r="BF448" s="179"/>
      <c r="BG448" s="179"/>
      <c r="BH448" s="179"/>
      <c r="BI448" s="179"/>
      <c r="BJ448" s="179"/>
      <c r="BK448" s="179"/>
      <c r="BL448" s="179"/>
      <c r="BM448" s="179"/>
      <c r="BN448" s="179"/>
      <c r="BO448" s="179"/>
      <c r="BP448" s="179"/>
      <c r="BQ448" s="179"/>
      <c r="BR448" s="179"/>
      <c r="BS448" s="179"/>
      <c r="BT448" s="179"/>
      <c r="BU448" s="179"/>
      <c r="BV448" s="179"/>
      <c r="BW448" s="179"/>
      <c r="BX448" s="179"/>
      <c r="BY448" s="179"/>
      <c r="BZ448" s="179"/>
      <c r="CA448" s="179"/>
      <c r="CB448" s="179"/>
      <c r="CC448" s="179"/>
      <c r="CD448" s="179"/>
      <c r="CE448" s="179"/>
      <c r="CF448" s="179"/>
      <c r="CG448" s="179"/>
      <c r="CH448" s="179"/>
      <c r="CI448" s="179"/>
      <c r="CJ448" s="179"/>
      <c r="CK448" s="179"/>
      <c r="CL448" s="179"/>
      <c r="CM448" s="179"/>
      <c r="CN448" s="179"/>
      <c r="CO448" s="179"/>
      <c r="CP448" s="179"/>
      <c r="CQ448" s="179"/>
      <c r="CR448" s="179"/>
      <c r="CS448" s="179"/>
      <c r="CT448" s="179"/>
      <c r="CU448" s="179"/>
      <c r="CV448" s="179"/>
      <c r="CW448" s="179"/>
      <c r="CX448" s="179"/>
      <c r="CY448" s="179"/>
      <c r="CZ448" s="179"/>
      <c r="DA448" s="179"/>
      <c r="DB448" s="179"/>
      <c r="DC448" s="179"/>
      <c r="DD448" s="179"/>
      <c r="DE448" s="179"/>
    </row>
    <row r="449" spans="1:109" s="43" customFormat="1" ht="157.5" x14ac:dyDescent="0.25">
      <c r="A449" s="6">
        <v>446</v>
      </c>
      <c r="B449" s="31">
        <v>126388</v>
      </c>
      <c r="C449" s="11">
        <v>494</v>
      </c>
      <c r="D449" s="98" t="s">
        <v>1641</v>
      </c>
      <c r="E449" s="32" t="s">
        <v>983</v>
      </c>
      <c r="F449" s="11" t="s">
        <v>1005</v>
      </c>
      <c r="G449" s="11" t="s">
        <v>1006</v>
      </c>
      <c r="H449" s="8" t="s">
        <v>151</v>
      </c>
      <c r="I449" s="46" t="s">
        <v>1007</v>
      </c>
      <c r="J449" s="25">
        <v>43531</v>
      </c>
      <c r="K449" s="25">
        <v>44354</v>
      </c>
      <c r="L449" s="26">
        <f t="shared" si="221"/>
        <v>83.300001414159638</v>
      </c>
      <c r="M449" s="11">
        <v>3</v>
      </c>
      <c r="N449" s="11" t="s">
        <v>1008</v>
      </c>
      <c r="O449" s="11" t="s">
        <v>1008</v>
      </c>
      <c r="P449" s="11" t="s">
        <v>274</v>
      </c>
      <c r="Q449" s="11" t="s">
        <v>34</v>
      </c>
      <c r="R449" s="30">
        <f t="shared" si="222"/>
        <v>2043977.2</v>
      </c>
      <c r="S449" s="2">
        <v>2043977.2</v>
      </c>
      <c r="T449" s="2">
        <v>0</v>
      </c>
      <c r="U449" s="30">
        <f t="shared" si="223"/>
        <v>360701.81</v>
      </c>
      <c r="V449" s="28">
        <v>360701.81</v>
      </c>
      <c r="W449" s="28">
        <v>0</v>
      </c>
      <c r="X449" s="30">
        <f t="shared" si="224"/>
        <v>0</v>
      </c>
      <c r="Y449" s="2">
        <v>0</v>
      </c>
      <c r="Z449" s="2">
        <v>0</v>
      </c>
      <c r="AA449" s="2">
        <f t="shared" si="225"/>
        <v>49075.09</v>
      </c>
      <c r="AB449" s="2">
        <v>49075.09</v>
      </c>
      <c r="AC449" s="2">
        <v>0</v>
      </c>
      <c r="AD449" s="16">
        <f t="shared" si="200"/>
        <v>2453754.0999999996</v>
      </c>
      <c r="AE449" s="2">
        <v>0</v>
      </c>
      <c r="AF449" s="2">
        <f t="shared" si="226"/>
        <v>2453754.0999999996</v>
      </c>
      <c r="AG449" s="38" t="s">
        <v>857</v>
      </c>
      <c r="AH449" s="29" t="s">
        <v>1728</v>
      </c>
      <c r="AI449" s="118">
        <f>977058.3-20264.24+135094.98+54047.52-25686.26+171241.85+74985.72+121676.73-18717.97+270523.91-58965.53-27215.18</f>
        <v>1653779.83</v>
      </c>
      <c r="AJ449" s="30">
        <f>20492.1+14114.96+30257.86+15716.19+49417.45+20264.24+9537.82+25686.26+13232.76+21472.38+18717.97+25718.38+27215.18</f>
        <v>291843.55</v>
      </c>
    </row>
    <row r="450" spans="1:109" s="43" customFormat="1" ht="189" x14ac:dyDescent="0.25">
      <c r="A450" s="6">
        <v>447</v>
      </c>
      <c r="B450" s="31">
        <v>121858</v>
      </c>
      <c r="C450" s="11">
        <v>50</v>
      </c>
      <c r="D450" s="11" t="s">
        <v>143</v>
      </c>
      <c r="E450" s="24" t="s">
        <v>110</v>
      </c>
      <c r="F450" s="11" t="s">
        <v>376</v>
      </c>
      <c r="G450" s="27" t="s">
        <v>1719</v>
      </c>
      <c r="H450" s="8" t="s">
        <v>151</v>
      </c>
      <c r="I450" s="12" t="s">
        <v>377</v>
      </c>
      <c r="J450" s="25">
        <v>43229</v>
      </c>
      <c r="K450" s="25">
        <v>45239</v>
      </c>
      <c r="L450" s="26">
        <f t="shared" si="221"/>
        <v>83.983863026398055</v>
      </c>
      <c r="M450" s="11" t="s">
        <v>272</v>
      </c>
      <c r="N450" s="11" t="s">
        <v>261</v>
      </c>
      <c r="O450" s="11" t="s">
        <v>304</v>
      </c>
      <c r="P450" s="27" t="s">
        <v>138</v>
      </c>
      <c r="Q450" s="11" t="s">
        <v>34</v>
      </c>
      <c r="R450" s="2">
        <f t="shared" si="222"/>
        <v>9622258.8000000007</v>
      </c>
      <c r="S450" s="2">
        <v>7759513.3600000003</v>
      </c>
      <c r="T450" s="2">
        <v>1862745.44</v>
      </c>
      <c r="U450" s="2">
        <f t="shared" si="223"/>
        <v>0</v>
      </c>
      <c r="V450" s="28">
        <v>0</v>
      </c>
      <c r="W450" s="28">
        <v>0</v>
      </c>
      <c r="X450" s="2">
        <f t="shared" si="224"/>
        <v>1835012.22</v>
      </c>
      <c r="Y450" s="1">
        <v>1369325.89</v>
      </c>
      <c r="Z450" s="2">
        <v>465686.33</v>
      </c>
      <c r="AA450" s="2">
        <f t="shared" si="225"/>
        <v>0</v>
      </c>
      <c r="AB450" s="2">
        <v>0</v>
      </c>
      <c r="AC450" s="2">
        <v>0</v>
      </c>
      <c r="AD450" s="16">
        <f t="shared" si="200"/>
        <v>11457271.020000001</v>
      </c>
      <c r="AE450" s="2">
        <v>0</v>
      </c>
      <c r="AF450" s="2">
        <f t="shared" si="226"/>
        <v>11457271.020000001</v>
      </c>
      <c r="AG450" s="38" t="s">
        <v>486</v>
      </c>
      <c r="AH450" s="29" t="s">
        <v>2322</v>
      </c>
      <c r="AI450" s="118">
        <f>758641.61+55509.97+186093.97+162888.38+33585.15+36431.36+580054.7+101538.17+49467.34+688146.13+220422.7</f>
        <v>2872779.48</v>
      </c>
      <c r="AJ450" s="30">
        <v>0</v>
      </c>
      <c r="AK450" s="179"/>
      <c r="AL450" s="179"/>
      <c r="AM450" s="179"/>
      <c r="AN450" s="179"/>
      <c r="AO450" s="179"/>
      <c r="AP450" s="179"/>
      <c r="AQ450" s="179"/>
      <c r="AR450" s="179"/>
      <c r="AS450" s="179"/>
      <c r="AT450" s="179"/>
      <c r="AU450" s="179"/>
      <c r="AV450" s="179"/>
      <c r="AW450" s="179"/>
      <c r="AX450" s="179"/>
      <c r="AY450" s="179"/>
      <c r="AZ450" s="179"/>
      <c r="BA450" s="179"/>
      <c r="BB450" s="179"/>
      <c r="BC450" s="179"/>
      <c r="BD450" s="179"/>
      <c r="BE450" s="179"/>
      <c r="BF450" s="179"/>
      <c r="BG450" s="179"/>
      <c r="BH450" s="179"/>
      <c r="BI450" s="179"/>
      <c r="BJ450" s="179"/>
      <c r="BK450" s="179"/>
      <c r="BL450" s="179"/>
      <c r="BM450" s="179"/>
      <c r="BN450" s="179"/>
      <c r="BO450" s="179"/>
      <c r="BP450" s="179"/>
      <c r="BQ450" s="179"/>
      <c r="BR450" s="179"/>
      <c r="BS450" s="179"/>
      <c r="BT450" s="179"/>
      <c r="BU450" s="179"/>
      <c r="BV450" s="179"/>
      <c r="BW450" s="179"/>
      <c r="BX450" s="179"/>
      <c r="BY450" s="179"/>
      <c r="BZ450" s="179"/>
      <c r="CA450" s="179"/>
      <c r="CB450" s="179"/>
      <c r="CC450" s="179"/>
      <c r="CD450" s="179"/>
      <c r="CE450" s="179"/>
      <c r="CF450" s="179"/>
      <c r="CG450" s="179"/>
      <c r="CH450" s="179"/>
      <c r="CI450" s="179"/>
      <c r="CJ450" s="179"/>
      <c r="CK450" s="179"/>
      <c r="CL450" s="179"/>
      <c r="CM450" s="179"/>
      <c r="CN450" s="179"/>
      <c r="CO450" s="179"/>
      <c r="CP450" s="179"/>
      <c r="CQ450" s="179"/>
      <c r="CR450" s="179"/>
      <c r="CS450" s="179"/>
      <c r="CT450" s="179"/>
      <c r="CU450" s="179"/>
      <c r="CV450" s="179"/>
      <c r="CW450" s="179"/>
      <c r="CX450" s="179"/>
      <c r="CY450" s="179"/>
      <c r="CZ450" s="179"/>
      <c r="DA450" s="179"/>
      <c r="DB450" s="179"/>
      <c r="DC450" s="179"/>
      <c r="DD450" s="179"/>
      <c r="DE450" s="179"/>
    </row>
    <row r="451" spans="1:109" s="179" customFormat="1" ht="173.25" x14ac:dyDescent="0.25">
      <c r="A451" s="6">
        <v>448</v>
      </c>
      <c r="B451" s="31">
        <v>120194</v>
      </c>
      <c r="C451" s="11">
        <v>52</v>
      </c>
      <c r="D451" s="11" t="s">
        <v>143</v>
      </c>
      <c r="E451" s="10" t="s">
        <v>110</v>
      </c>
      <c r="F451" s="11" t="s">
        <v>118</v>
      </c>
      <c r="G451" s="11" t="s">
        <v>117</v>
      </c>
      <c r="H451" s="8" t="s">
        <v>151</v>
      </c>
      <c r="I451" s="46" t="s">
        <v>119</v>
      </c>
      <c r="J451" s="25">
        <v>42963</v>
      </c>
      <c r="K451" s="25">
        <v>44212</v>
      </c>
      <c r="L451" s="26">
        <f t="shared" si="221"/>
        <v>83.983862831024851</v>
      </c>
      <c r="M451" s="11" t="s">
        <v>136</v>
      </c>
      <c r="N451" s="11" t="s">
        <v>261</v>
      </c>
      <c r="O451" s="11" t="s">
        <v>261</v>
      </c>
      <c r="P451" s="27" t="s">
        <v>138</v>
      </c>
      <c r="Q451" s="11" t="s">
        <v>34</v>
      </c>
      <c r="R451" s="2">
        <f t="shared" si="222"/>
        <v>12243037.969999999</v>
      </c>
      <c r="S451" s="2">
        <v>9872943.4499999993</v>
      </c>
      <c r="T451" s="2">
        <v>2370094.52</v>
      </c>
      <c r="U451" s="2">
        <f t="shared" si="223"/>
        <v>0</v>
      </c>
      <c r="V451" s="28">
        <v>0</v>
      </c>
      <c r="W451" s="28">
        <v>0</v>
      </c>
      <c r="X451" s="2">
        <f t="shared" si="224"/>
        <v>2334807.77</v>
      </c>
      <c r="Y451" s="2">
        <v>1742284.14</v>
      </c>
      <c r="Z451" s="2">
        <v>592523.63</v>
      </c>
      <c r="AA451" s="2">
        <f t="shared" si="225"/>
        <v>0</v>
      </c>
      <c r="AB451" s="2">
        <v>0</v>
      </c>
      <c r="AC451" s="2">
        <v>0</v>
      </c>
      <c r="AD451" s="16">
        <f t="shared" si="200"/>
        <v>14577845.739999998</v>
      </c>
      <c r="AE451" s="2">
        <v>0</v>
      </c>
      <c r="AF451" s="2">
        <f t="shared" si="226"/>
        <v>14577845.739999998</v>
      </c>
      <c r="AG451" s="38" t="s">
        <v>857</v>
      </c>
      <c r="AH451" s="22" t="s">
        <v>1204</v>
      </c>
      <c r="AI451" s="118">
        <f>2619250.29+2687296.53+82985.27+2490702.85+40178.04</f>
        <v>7920412.9799999995</v>
      </c>
      <c r="AJ451" s="118">
        <v>0</v>
      </c>
      <c r="AK451" s="188"/>
      <c r="AL451" s="188"/>
      <c r="AM451" s="188"/>
      <c r="AN451" s="188"/>
      <c r="AO451" s="188"/>
      <c r="AP451" s="188"/>
      <c r="AQ451" s="188"/>
      <c r="AR451" s="188"/>
      <c r="AS451" s="188"/>
      <c r="AT451" s="188"/>
      <c r="AU451" s="188"/>
      <c r="AV451" s="188"/>
      <c r="AW451" s="188"/>
      <c r="AX451" s="188"/>
      <c r="AY451" s="188"/>
      <c r="AZ451" s="188"/>
      <c r="BA451" s="188"/>
      <c r="BB451" s="188"/>
      <c r="BC451" s="188"/>
      <c r="BD451" s="188"/>
      <c r="BE451" s="188"/>
      <c r="BF451" s="188"/>
      <c r="BG451" s="188"/>
      <c r="BH451" s="188"/>
      <c r="BI451" s="188"/>
      <c r="BJ451" s="188"/>
      <c r="BK451" s="188"/>
      <c r="BL451" s="188"/>
      <c r="BM451" s="188"/>
      <c r="BN451" s="188"/>
      <c r="BO451" s="188"/>
      <c r="BP451" s="188"/>
      <c r="BQ451" s="188"/>
      <c r="BR451" s="188"/>
      <c r="BS451" s="188"/>
      <c r="BT451" s="188"/>
      <c r="BU451" s="188"/>
      <c r="BV451" s="188"/>
      <c r="BW451" s="188"/>
      <c r="BX451" s="188"/>
      <c r="BY451" s="188"/>
      <c r="BZ451" s="188"/>
      <c r="CA451" s="188"/>
      <c r="CB451" s="188"/>
      <c r="CC451" s="188"/>
      <c r="CD451" s="188"/>
      <c r="CE451" s="188"/>
      <c r="CF451" s="188"/>
      <c r="CG451" s="188"/>
      <c r="CH451" s="188"/>
      <c r="CI451" s="188"/>
      <c r="CJ451" s="188"/>
      <c r="CK451" s="188"/>
      <c r="CL451" s="188"/>
      <c r="CM451" s="188"/>
      <c r="CN451" s="188"/>
      <c r="CO451" s="188"/>
      <c r="CP451" s="188"/>
      <c r="CQ451" s="188"/>
      <c r="CR451" s="188"/>
      <c r="CS451" s="188"/>
      <c r="CT451" s="188"/>
      <c r="CU451" s="188"/>
      <c r="CV451" s="188"/>
      <c r="CW451" s="188"/>
      <c r="CX451" s="188"/>
      <c r="CY451" s="188"/>
      <c r="CZ451" s="188"/>
      <c r="DA451" s="188"/>
      <c r="DB451" s="188"/>
      <c r="DC451" s="188"/>
      <c r="DD451" s="188"/>
      <c r="DE451" s="188"/>
    </row>
    <row r="452" spans="1:109" s="179" customFormat="1" ht="141.75" x14ac:dyDescent="0.25">
      <c r="A452" s="6">
        <v>449</v>
      </c>
      <c r="B452" s="31">
        <v>119689</v>
      </c>
      <c r="C452" s="11">
        <v>53</v>
      </c>
      <c r="D452" s="11" t="s">
        <v>145</v>
      </c>
      <c r="E452" s="10" t="s">
        <v>123</v>
      </c>
      <c r="F452" s="11" t="s">
        <v>95</v>
      </c>
      <c r="G452" s="11" t="s">
        <v>94</v>
      </c>
      <c r="H452" s="8" t="s">
        <v>151</v>
      </c>
      <c r="I452" s="46" t="s">
        <v>96</v>
      </c>
      <c r="J452" s="25">
        <v>42943</v>
      </c>
      <c r="K452" s="25">
        <v>44739</v>
      </c>
      <c r="L452" s="26">
        <f t="shared" si="221"/>
        <v>83.983862837568367</v>
      </c>
      <c r="M452" s="11" t="s">
        <v>136</v>
      </c>
      <c r="N452" s="11" t="s">
        <v>261</v>
      </c>
      <c r="O452" s="11" t="s">
        <v>261</v>
      </c>
      <c r="P452" s="27" t="s">
        <v>138</v>
      </c>
      <c r="Q452" s="11" t="s">
        <v>34</v>
      </c>
      <c r="R452" s="2">
        <f t="shared" si="222"/>
        <v>39276554.340000004</v>
      </c>
      <c r="S452" s="2">
        <v>31673119.100000001</v>
      </c>
      <c r="T452" s="2">
        <v>7603435.2400000002</v>
      </c>
      <c r="U452" s="2">
        <f t="shared" si="223"/>
        <v>0</v>
      </c>
      <c r="V452" s="28">
        <v>0</v>
      </c>
      <c r="W452" s="28">
        <v>0</v>
      </c>
      <c r="X452" s="2">
        <f t="shared" si="224"/>
        <v>7490232.7699999996</v>
      </c>
      <c r="Y452" s="2">
        <v>5589373.96</v>
      </c>
      <c r="Z452" s="2">
        <v>1900858.81</v>
      </c>
      <c r="AA452" s="2">
        <f t="shared" si="225"/>
        <v>0</v>
      </c>
      <c r="AB452" s="2">
        <v>0</v>
      </c>
      <c r="AC452" s="2">
        <v>0</v>
      </c>
      <c r="AD452" s="16">
        <f t="shared" si="200"/>
        <v>46766787.109999999</v>
      </c>
      <c r="AE452" s="2">
        <v>8017329.8399999999</v>
      </c>
      <c r="AF452" s="2">
        <f t="shared" si="226"/>
        <v>54784116.950000003</v>
      </c>
      <c r="AG452" s="38" t="s">
        <v>857</v>
      </c>
      <c r="AH452" s="29" t="s">
        <v>1861</v>
      </c>
      <c r="AI452" s="118">
        <f>893011.08+57943.42+89664.62+27536822.34+524337.27+55114.41+71307.34+1108602.27+882017.59</f>
        <v>31218820.34</v>
      </c>
      <c r="AJ452" s="30">
        <v>0</v>
      </c>
    </row>
    <row r="453" spans="1:109" s="179" customFormat="1" ht="409.5" x14ac:dyDescent="0.25">
      <c r="A453" s="6">
        <v>450</v>
      </c>
      <c r="B453" s="31">
        <v>125819</v>
      </c>
      <c r="C453" s="11">
        <v>497</v>
      </c>
      <c r="D453" s="98" t="s">
        <v>1641</v>
      </c>
      <c r="E453" s="32" t="s">
        <v>983</v>
      </c>
      <c r="F453" s="31" t="s">
        <v>1067</v>
      </c>
      <c r="G453" s="11" t="s">
        <v>1065</v>
      </c>
      <c r="H453" s="8" t="s">
        <v>151</v>
      </c>
      <c r="I453" s="134" t="s">
        <v>2881</v>
      </c>
      <c r="J453" s="25">
        <v>43608</v>
      </c>
      <c r="K453" s="25">
        <v>44918</v>
      </c>
      <c r="L453" s="26">
        <f t="shared" si="221"/>
        <v>83.30000063911281</v>
      </c>
      <c r="M453" s="39" t="s">
        <v>1070</v>
      </c>
      <c r="N453" s="11" t="s">
        <v>1069</v>
      </c>
      <c r="O453" s="11" t="s">
        <v>1069</v>
      </c>
      <c r="P453" s="11" t="s">
        <v>274</v>
      </c>
      <c r="Q453" s="11" t="s">
        <v>34</v>
      </c>
      <c r="R453" s="30">
        <f t="shared" si="222"/>
        <v>1444133.16</v>
      </c>
      <c r="S453" s="95">
        <v>1444133.16</v>
      </c>
      <c r="T453" s="34">
        <v>0</v>
      </c>
      <c r="U453" s="30">
        <f t="shared" si="223"/>
        <v>254847.02</v>
      </c>
      <c r="V453" s="42">
        <v>254847.02</v>
      </c>
      <c r="W453" s="42">
        <v>0</v>
      </c>
      <c r="X453" s="30">
        <f t="shared" si="224"/>
        <v>0</v>
      </c>
      <c r="Y453" s="34">
        <v>0</v>
      </c>
      <c r="Z453" s="34">
        <v>0</v>
      </c>
      <c r="AA453" s="2">
        <f t="shared" si="225"/>
        <v>34673.06</v>
      </c>
      <c r="AB453" s="95">
        <v>34673.06</v>
      </c>
      <c r="AC453" s="34">
        <v>0</v>
      </c>
      <c r="AD453" s="16">
        <f t="shared" ref="AD453:AD516" si="227">R453+U453+X453+AA453</f>
        <v>1733653.24</v>
      </c>
      <c r="AE453" s="35">
        <v>0</v>
      </c>
      <c r="AF453" s="2">
        <f t="shared" si="226"/>
        <v>1733653.24</v>
      </c>
      <c r="AG453" s="38" t="s">
        <v>486</v>
      </c>
      <c r="AH453" s="38" t="s">
        <v>1880</v>
      </c>
      <c r="AI453" s="118">
        <v>876419.52999999991</v>
      </c>
      <c r="AJ453" s="30">
        <v>124068.47000000002</v>
      </c>
    </row>
    <row r="454" spans="1:109" s="179" customFormat="1" ht="409.5" x14ac:dyDescent="0.25">
      <c r="A454" s="6">
        <v>451</v>
      </c>
      <c r="B454" s="31">
        <v>126526</v>
      </c>
      <c r="C454" s="11">
        <v>498</v>
      </c>
      <c r="D454" s="98" t="s">
        <v>1641</v>
      </c>
      <c r="E454" s="32" t="s">
        <v>983</v>
      </c>
      <c r="F454" s="31" t="s">
        <v>1068</v>
      </c>
      <c r="G454" s="11" t="s">
        <v>1066</v>
      </c>
      <c r="H454" s="8" t="s">
        <v>151</v>
      </c>
      <c r="I454" s="134" t="s">
        <v>2882</v>
      </c>
      <c r="J454" s="25">
        <v>43608</v>
      </c>
      <c r="K454" s="25">
        <v>45069</v>
      </c>
      <c r="L454" s="26">
        <f t="shared" si="221"/>
        <v>83.30000063911281</v>
      </c>
      <c r="M454" s="39" t="s">
        <v>1070</v>
      </c>
      <c r="N454" s="11" t="s">
        <v>1069</v>
      </c>
      <c r="O454" s="11" t="s">
        <v>1069</v>
      </c>
      <c r="P454" s="11" t="s">
        <v>274</v>
      </c>
      <c r="Q454" s="11" t="s">
        <v>34</v>
      </c>
      <c r="R454" s="30">
        <f t="shared" si="222"/>
        <v>1444133.16</v>
      </c>
      <c r="S454" s="95">
        <v>1444133.16</v>
      </c>
      <c r="T454" s="34">
        <v>0</v>
      </c>
      <c r="U454" s="30">
        <f t="shared" si="223"/>
        <v>254847.02</v>
      </c>
      <c r="V454" s="42">
        <v>254847.02</v>
      </c>
      <c r="W454" s="42">
        <v>0</v>
      </c>
      <c r="X454" s="30">
        <f t="shared" si="224"/>
        <v>0</v>
      </c>
      <c r="Y454" s="34">
        <v>0</v>
      </c>
      <c r="Z454" s="34">
        <v>0</v>
      </c>
      <c r="AA454" s="2">
        <f t="shared" si="225"/>
        <v>34673.06</v>
      </c>
      <c r="AB454" s="95">
        <v>34673.06</v>
      </c>
      <c r="AC454" s="34">
        <v>0</v>
      </c>
      <c r="AD454" s="16">
        <f t="shared" si="227"/>
        <v>1733653.24</v>
      </c>
      <c r="AE454" s="35">
        <v>0</v>
      </c>
      <c r="AF454" s="2">
        <f t="shared" si="226"/>
        <v>1733653.24</v>
      </c>
      <c r="AG454" s="38" t="s">
        <v>486</v>
      </c>
      <c r="AH454" s="38" t="s">
        <v>2154</v>
      </c>
      <c r="AI454" s="118">
        <v>790001.63</v>
      </c>
      <c r="AJ454" s="30">
        <f>21800.36+70103.02+16914.85</f>
        <v>108818.23000000001</v>
      </c>
    </row>
    <row r="455" spans="1:109" s="179" customFormat="1" ht="173.25" x14ac:dyDescent="0.25">
      <c r="A455" s="6">
        <v>452</v>
      </c>
      <c r="B455" s="31">
        <v>126480</v>
      </c>
      <c r="C455" s="31">
        <v>495</v>
      </c>
      <c r="D455" s="98" t="s">
        <v>1641</v>
      </c>
      <c r="E455" s="32" t="s">
        <v>983</v>
      </c>
      <c r="F455" s="11" t="s">
        <v>1029</v>
      </c>
      <c r="G455" s="11" t="s">
        <v>1030</v>
      </c>
      <c r="H455" s="8" t="s">
        <v>151</v>
      </c>
      <c r="I455" s="134" t="s">
        <v>2883</v>
      </c>
      <c r="J455" s="25">
        <v>43553</v>
      </c>
      <c r="K455" s="25">
        <v>43980</v>
      </c>
      <c r="L455" s="26">
        <f>R455/AD455*100</f>
        <v>83.300002424250337</v>
      </c>
      <c r="M455" s="39">
        <v>6</v>
      </c>
      <c r="N455" s="135" t="s">
        <v>182</v>
      </c>
      <c r="O455" s="135" t="s">
        <v>182</v>
      </c>
      <c r="P455" s="11" t="s">
        <v>274</v>
      </c>
      <c r="Q455" s="11" t="s">
        <v>34</v>
      </c>
      <c r="R455" s="30">
        <f>S455+T455</f>
        <v>876896.26</v>
      </c>
      <c r="S455" s="95">
        <v>876896.26</v>
      </c>
      <c r="T455" s="34">
        <v>0</v>
      </c>
      <c r="U455" s="30">
        <f>V455+W455</f>
        <v>154746.38</v>
      </c>
      <c r="V455" s="42">
        <v>154746.38</v>
      </c>
      <c r="W455" s="42">
        <v>0</v>
      </c>
      <c r="X455" s="30">
        <f>Y455+Z455</f>
        <v>0</v>
      </c>
      <c r="Y455" s="34">
        <v>0</v>
      </c>
      <c r="Z455" s="34">
        <v>0</v>
      </c>
      <c r="AA455" s="2">
        <f>AB455+AC455</f>
        <v>21053.919999999998</v>
      </c>
      <c r="AB455" s="95">
        <v>21053.919999999998</v>
      </c>
      <c r="AC455" s="34">
        <v>0</v>
      </c>
      <c r="AD455" s="16">
        <f t="shared" si="227"/>
        <v>1052696.56</v>
      </c>
      <c r="AE455" s="37">
        <v>10640</v>
      </c>
      <c r="AF455" s="2">
        <f>AD455+AE455</f>
        <v>1063336.56</v>
      </c>
      <c r="AG455" s="38" t="s">
        <v>857</v>
      </c>
      <c r="AH455" s="38" t="s">
        <v>1439</v>
      </c>
      <c r="AI455" s="30">
        <f>758406.35-27875.87</f>
        <v>730530.48</v>
      </c>
      <c r="AJ455" s="30">
        <f>115306.95+13610.14</f>
        <v>128917.09</v>
      </c>
    </row>
    <row r="456" spans="1:109" s="43" customFormat="1" ht="173.25" x14ac:dyDescent="0.25">
      <c r="A456" s="6">
        <v>453</v>
      </c>
      <c r="B456" s="31">
        <v>151021</v>
      </c>
      <c r="C456" s="11">
        <v>957</v>
      </c>
      <c r="D456" s="11" t="s">
        <v>1639</v>
      </c>
      <c r="E456" s="24" t="s">
        <v>2271</v>
      </c>
      <c r="F456" s="11" t="s">
        <v>2273</v>
      </c>
      <c r="G456" s="27" t="s">
        <v>2272</v>
      </c>
      <c r="H456" s="8" t="s">
        <v>151</v>
      </c>
      <c r="I456" s="46" t="s">
        <v>2884</v>
      </c>
      <c r="J456" s="25">
        <v>44727</v>
      </c>
      <c r="K456" s="25">
        <v>45092</v>
      </c>
      <c r="L456" s="26">
        <f t="shared" ref="L456:L594" si="228">R456/AD456*100</f>
        <v>83.300000000000011</v>
      </c>
      <c r="M456" s="11" t="s">
        <v>2278</v>
      </c>
      <c r="N456" s="11" t="s">
        <v>2274</v>
      </c>
      <c r="O456" s="11" t="s">
        <v>2275</v>
      </c>
      <c r="P456" s="11" t="s">
        <v>274</v>
      </c>
      <c r="Q456" s="11" t="s">
        <v>34</v>
      </c>
      <c r="R456" s="2">
        <f>S456+T456</f>
        <v>308185.01</v>
      </c>
      <c r="S456" s="2">
        <v>308185.01</v>
      </c>
      <c r="T456" s="2">
        <v>0</v>
      </c>
      <c r="U456" s="2">
        <f>V456+W456</f>
        <v>54385.59</v>
      </c>
      <c r="V456" s="28">
        <v>54385.59</v>
      </c>
      <c r="W456" s="28">
        <v>0</v>
      </c>
      <c r="X456" s="2">
        <f>Y456+Z456</f>
        <v>0</v>
      </c>
      <c r="Y456" s="2">
        <v>0</v>
      </c>
      <c r="Z456" s="2">
        <v>0</v>
      </c>
      <c r="AA456" s="2">
        <f>AB456+AC456</f>
        <v>7399.4</v>
      </c>
      <c r="AB456" s="2">
        <v>7399.4</v>
      </c>
      <c r="AC456" s="2">
        <v>0</v>
      </c>
      <c r="AD456" s="16">
        <f t="shared" si="227"/>
        <v>369970</v>
      </c>
      <c r="AE456" s="2">
        <v>0</v>
      </c>
      <c r="AF456" s="2">
        <f>AD456+AE456</f>
        <v>369970</v>
      </c>
      <c r="AG456" s="38" t="s">
        <v>486</v>
      </c>
      <c r="AH456" s="29"/>
      <c r="AI456" s="118">
        <v>36997</v>
      </c>
      <c r="AJ456" s="30">
        <v>0</v>
      </c>
      <c r="AK456" s="179"/>
    </row>
    <row r="457" spans="1:109" s="43" customFormat="1" ht="141.75" x14ac:dyDescent="0.25">
      <c r="A457" s="6">
        <v>454</v>
      </c>
      <c r="B457" s="31">
        <v>151312</v>
      </c>
      <c r="C457" s="11">
        <v>973</v>
      </c>
      <c r="D457" s="11" t="s">
        <v>1639</v>
      </c>
      <c r="E457" s="24" t="s">
        <v>2271</v>
      </c>
      <c r="F457" s="11" t="s">
        <v>2277</v>
      </c>
      <c r="G457" s="27" t="s">
        <v>2276</v>
      </c>
      <c r="H457" s="8" t="s">
        <v>151</v>
      </c>
      <c r="I457" s="46" t="s">
        <v>2279</v>
      </c>
      <c r="J457" s="25">
        <v>44728</v>
      </c>
      <c r="K457" s="25">
        <v>45154</v>
      </c>
      <c r="L457" s="26">
        <f t="shared" si="228"/>
        <v>83.300001696186598</v>
      </c>
      <c r="M457" s="11">
        <v>6</v>
      </c>
      <c r="N457" s="11" t="s">
        <v>416</v>
      </c>
      <c r="O457" s="11" t="s">
        <v>678</v>
      </c>
      <c r="P457" s="11" t="s">
        <v>274</v>
      </c>
      <c r="Q457" s="11" t="s">
        <v>34</v>
      </c>
      <c r="R457" s="2">
        <f t="shared" ref="R457:R519" si="229">S457+T457</f>
        <v>353593.18</v>
      </c>
      <c r="S457" s="2">
        <v>353593.18</v>
      </c>
      <c r="T457" s="2">
        <v>0</v>
      </c>
      <c r="U457" s="2">
        <f t="shared" ref="U457:U519" si="230">V457+W457</f>
        <v>62398.78</v>
      </c>
      <c r="V457" s="28">
        <v>62398.78</v>
      </c>
      <c r="W457" s="28">
        <v>0</v>
      </c>
      <c r="X457" s="2">
        <f t="shared" ref="X457:X519" si="231">Y457+Z457</f>
        <v>0</v>
      </c>
      <c r="Y457" s="2">
        <v>0</v>
      </c>
      <c r="Z457" s="2">
        <v>0</v>
      </c>
      <c r="AA457" s="2">
        <f t="shared" ref="AA457:AA519" si="232">AB457+AC457</f>
        <v>8489.64</v>
      </c>
      <c r="AB457" s="2">
        <v>8489.64</v>
      </c>
      <c r="AC457" s="2">
        <v>0</v>
      </c>
      <c r="AD457" s="16">
        <f t="shared" si="227"/>
        <v>424481.6</v>
      </c>
      <c r="AE457" s="2">
        <v>0</v>
      </c>
      <c r="AF457" s="2">
        <f t="shared" ref="AF457:AF519" si="233">AD457+AE457</f>
        <v>424481.6</v>
      </c>
      <c r="AG457" s="38" t="s">
        <v>486</v>
      </c>
      <c r="AH457" s="29"/>
      <c r="AI457" s="118">
        <v>41599</v>
      </c>
      <c r="AJ457" s="30">
        <v>0</v>
      </c>
      <c r="AK457" s="179"/>
    </row>
    <row r="458" spans="1:109" s="43" customFormat="1" ht="157.5" x14ac:dyDescent="0.25">
      <c r="A458" s="6">
        <v>455</v>
      </c>
      <c r="B458" s="31">
        <v>151314</v>
      </c>
      <c r="C458" s="11">
        <v>974</v>
      </c>
      <c r="D458" s="11" t="s">
        <v>1639</v>
      </c>
      <c r="E458" s="24" t="s">
        <v>2271</v>
      </c>
      <c r="F458" s="11" t="s">
        <v>2281</v>
      </c>
      <c r="G458" s="27" t="s">
        <v>2280</v>
      </c>
      <c r="H458" s="8" t="s">
        <v>151</v>
      </c>
      <c r="I458" s="46" t="s">
        <v>2284</v>
      </c>
      <c r="J458" s="25">
        <v>44726</v>
      </c>
      <c r="K458" s="25">
        <v>45152</v>
      </c>
      <c r="L458" s="26">
        <f t="shared" si="228"/>
        <v>83.299999762874137</v>
      </c>
      <c r="M458" s="11">
        <v>5</v>
      </c>
      <c r="N458" s="11" t="s">
        <v>2282</v>
      </c>
      <c r="O458" s="11" t="s">
        <v>2283</v>
      </c>
      <c r="P458" s="11" t="s">
        <v>274</v>
      </c>
      <c r="Q458" s="11" t="s">
        <v>34</v>
      </c>
      <c r="R458" s="2">
        <f t="shared" si="229"/>
        <v>351290.26</v>
      </c>
      <c r="S458" s="2">
        <v>351290.26</v>
      </c>
      <c r="T458" s="2">
        <v>0</v>
      </c>
      <c r="U458" s="2">
        <f t="shared" si="230"/>
        <v>61992.4</v>
      </c>
      <c r="V458" s="28">
        <v>61992.4</v>
      </c>
      <c r="W458" s="28">
        <v>0</v>
      </c>
      <c r="X458" s="2">
        <f t="shared" si="231"/>
        <v>0</v>
      </c>
      <c r="Y458" s="2">
        <v>0</v>
      </c>
      <c r="Z458" s="2">
        <v>0</v>
      </c>
      <c r="AA458" s="2">
        <f t="shared" si="232"/>
        <v>8434.34</v>
      </c>
      <c r="AB458" s="2">
        <v>8434.34</v>
      </c>
      <c r="AC458" s="2">
        <v>0</v>
      </c>
      <c r="AD458" s="16">
        <f t="shared" si="227"/>
        <v>421717.00000000006</v>
      </c>
      <c r="AE458" s="2">
        <v>0</v>
      </c>
      <c r="AF458" s="2">
        <f t="shared" si="233"/>
        <v>421717.00000000006</v>
      </c>
      <c r="AG458" s="38" t="s">
        <v>486</v>
      </c>
      <c r="AH458" s="29"/>
      <c r="AI458" s="118">
        <v>42171.7</v>
      </c>
      <c r="AJ458" s="30">
        <v>0</v>
      </c>
      <c r="AK458" s="179"/>
    </row>
    <row r="459" spans="1:109" s="43" customFormat="1" ht="173.25" x14ac:dyDescent="0.25">
      <c r="A459" s="6">
        <v>456</v>
      </c>
      <c r="B459" s="31">
        <v>151401</v>
      </c>
      <c r="C459" s="11">
        <v>981</v>
      </c>
      <c r="D459" s="11" t="s">
        <v>1639</v>
      </c>
      <c r="E459" s="24" t="s">
        <v>2271</v>
      </c>
      <c r="F459" s="11" t="s">
        <v>2286</v>
      </c>
      <c r="G459" s="27" t="s">
        <v>2285</v>
      </c>
      <c r="H459" s="8" t="s">
        <v>151</v>
      </c>
      <c r="I459" s="46" t="s">
        <v>2885</v>
      </c>
      <c r="J459" s="25">
        <v>44727</v>
      </c>
      <c r="K459" s="25">
        <v>45153</v>
      </c>
      <c r="L459" s="26">
        <f t="shared" si="228"/>
        <v>83.300001771908171</v>
      </c>
      <c r="M459" s="11">
        <v>1</v>
      </c>
      <c r="N459" s="11" t="s">
        <v>361</v>
      </c>
      <c r="O459" s="11" t="s">
        <v>361</v>
      </c>
      <c r="P459" s="11" t="s">
        <v>274</v>
      </c>
      <c r="Q459" s="11" t="s">
        <v>34</v>
      </c>
      <c r="R459" s="2">
        <f t="shared" si="229"/>
        <v>352586</v>
      </c>
      <c r="S459" s="2">
        <v>352586</v>
      </c>
      <c r="T459" s="2">
        <v>0</v>
      </c>
      <c r="U459" s="2">
        <f t="shared" si="230"/>
        <v>62221.05</v>
      </c>
      <c r="V459" s="28">
        <v>62221.05</v>
      </c>
      <c r="W459" s="28">
        <v>0</v>
      </c>
      <c r="X459" s="2">
        <f t="shared" si="231"/>
        <v>0</v>
      </c>
      <c r="Y459" s="2">
        <v>0</v>
      </c>
      <c r="Z459" s="2">
        <v>0</v>
      </c>
      <c r="AA459" s="2">
        <f t="shared" si="232"/>
        <v>8465.4500000000007</v>
      </c>
      <c r="AB459" s="2">
        <v>8465.4500000000007</v>
      </c>
      <c r="AC459" s="2">
        <v>0</v>
      </c>
      <c r="AD459" s="16">
        <f t="shared" si="227"/>
        <v>423272.5</v>
      </c>
      <c r="AE459" s="2">
        <v>0</v>
      </c>
      <c r="AF459" s="2">
        <f t="shared" si="233"/>
        <v>423272.5</v>
      </c>
      <c r="AG459" s="38" t="s">
        <v>486</v>
      </c>
      <c r="AH459" s="29"/>
      <c r="AI459" s="118">
        <v>42327.25</v>
      </c>
      <c r="AJ459" s="30">
        <v>0</v>
      </c>
      <c r="AK459" s="179"/>
    </row>
    <row r="460" spans="1:109" s="43" customFormat="1" ht="315" x14ac:dyDescent="0.25">
      <c r="A460" s="6">
        <v>457</v>
      </c>
      <c r="B460" s="31">
        <v>150983</v>
      </c>
      <c r="C460" s="11">
        <v>982</v>
      </c>
      <c r="D460" s="11" t="s">
        <v>1639</v>
      </c>
      <c r="E460" s="24" t="s">
        <v>2271</v>
      </c>
      <c r="F460" s="11" t="s">
        <v>2288</v>
      </c>
      <c r="G460" s="27" t="s">
        <v>2287</v>
      </c>
      <c r="H460" s="8" t="s">
        <v>151</v>
      </c>
      <c r="I460" s="46" t="s">
        <v>2290</v>
      </c>
      <c r="J460" s="25">
        <v>44726</v>
      </c>
      <c r="K460" s="25">
        <v>45152</v>
      </c>
      <c r="L460" s="26">
        <f t="shared" si="228"/>
        <v>83.300000244784727</v>
      </c>
      <c r="M460" s="11">
        <v>5</v>
      </c>
      <c r="N460" s="11" t="s">
        <v>592</v>
      </c>
      <c r="O460" s="11" t="s">
        <v>2289</v>
      </c>
      <c r="P460" s="11" t="s">
        <v>274</v>
      </c>
      <c r="Q460" s="11" t="s">
        <v>34</v>
      </c>
      <c r="R460" s="2">
        <f t="shared" si="229"/>
        <v>353910.98</v>
      </c>
      <c r="S460" s="2">
        <v>353910.98</v>
      </c>
      <c r="T460" s="2">
        <v>0</v>
      </c>
      <c r="U460" s="2">
        <f t="shared" si="230"/>
        <v>62454.879999999997</v>
      </c>
      <c r="V460" s="28">
        <v>62454.879999999997</v>
      </c>
      <c r="W460" s="28">
        <v>0</v>
      </c>
      <c r="X460" s="2">
        <f t="shared" si="231"/>
        <v>0</v>
      </c>
      <c r="Y460" s="2">
        <v>0</v>
      </c>
      <c r="Z460" s="2">
        <v>0</v>
      </c>
      <c r="AA460" s="2">
        <f t="shared" si="232"/>
        <v>8497.26</v>
      </c>
      <c r="AB460" s="2">
        <v>8497.26</v>
      </c>
      <c r="AC460" s="2">
        <v>0</v>
      </c>
      <c r="AD460" s="16">
        <f t="shared" si="227"/>
        <v>424863.12</v>
      </c>
      <c r="AE460" s="2">
        <v>0</v>
      </c>
      <c r="AF460" s="2">
        <f t="shared" si="233"/>
        <v>424863.12</v>
      </c>
      <c r="AG460" s="38" t="s">
        <v>486</v>
      </c>
      <c r="AH460" s="29"/>
      <c r="AI460" s="118">
        <v>42486.31</v>
      </c>
      <c r="AJ460" s="30">
        <v>0</v>
      </c>
      <c r="AK460" s="179"/>
    </row>
    <row r="461" spans="1:109" s="43" customFormat="1" ht="189" x14ac:dyDescent="0.25">
      <c r="A461" s="6">
        <v>458</v>
      </c>
      <c r="B461" s="31">
        <v>151540</v>
      </c>
      <c r="C461" s="11">
        <v>1008</v>
      </c>
      <c r="D461" s="11" t="s">
        <v>1639</v>
      </c>
      <c r="E461" s="24" t="s">
        <v>2271</v>
      </c>
      <c r="F461" s="11" t="s">
        <v>2292</v>
      </c>
      <c r="G461" s="27" t="s">
        <v>2291</v>
      </c>
      <c r="H461" s="8" t="s">
        <v>151</v>
      </c>
      <c r="I461" s="46" t="s">
        <v>2886</v>
      </c>
      <c r="J461" s="25">
        <v>44728</v>
      </c>
      <c r="K461" s="25">
        <v>45154</v>
      </c>
      <c r="L461" s="26">
        <f t="shared" si="228"/>
        <v>83.29999717088748</v>
      </c>
      <c r="M461" s="11">
        <v>7</v>
      </c>
      <c r="N461" s="11" t="s">
        <v>226</v>
      </c>
      <c r="O461" s="11" t="s">
        <v>226</v>
      </c>
      <c r="P461" s="11" t="s">
        <v>274</v>
      </c>
      <c r="Q461" s="11" t="s">
        <v>34</v>
      </c>
      <c r="R461" s="2">
        <f t="shared" si="229"/>
        <v>325354.67</v>
      </c>
      <c r="S461" s="2">
        <v>325354.67</v>
      </c>
      <c r="T461" s="2">
        <v>0</v>
      </c>
      <c r="U461" s="2">
        <f t="shared" si="230"/>
        <v>57415.54</v>
      </c>
      <c r="V461" s="28">
        <v>57415.54</v>
      </c>
      <c r="W461" s="28">
        <v>0</v>
      </c>
      <c r="X461" s="2">
        <f t="shared" si="231"/>
        <v>0</v>
      </c>
      <c r="Y461" s="2">
        <v>0</v>
      </c>
      <c r="Z461" s="2">
        <v>0</v>
      </c>
      <c r="AA461" s="2">
        <f t="shared" si="232"/>
        <v>7811.64</v>
      </c>
      <c r="AB461" s="2">
        <v>7811.64</v>
      </c>
      <c r="AC461" s="2">
        <v>0</v>
      </c>
      <c r="AD461" s="16">
        <f t="shared" si="227"/>
        <v>390581.85</v>
      </c>
      <c r="AE461" s="2">
        <v>0</v>
      </c>
      <c r="AF461" s="2">
        <f t="shared" si="233"/>
        <v>390581.85</v>
      </c>
      <c r="AG461" s="38" t="s">
        <v>486</v>
      </c>
      <c r="AH461" s="29"/>
      <c r="AI461" s="118">
        <v>0</v>
      </c>
      <c r="AJ461" s="30">
        <v>0</v>
      </c>
      <c r="AK461" s="179"/>
    </row>
    <row r="462" spans="1:109" s="43" customFormat="1" ht="157.5" x14ac:dyDescent="0.25">
      <c r="A462" s="6">
        <v>459</v>
      </c>
      <c r="B462" s="31">
        <v>151560</v>
      </c>
      <c r="C462" s="11">
        <v>1013</v>
      </c>
      <c r="D462" s="11" t="s">
        <v>1639</v>
      </c>
      <c r="E462" s="24" t="s">
        <v>2271</v>
      </c>
      <c r="F462" s="11" t="s">
        <v>2294</v>
      </c>
      <c r="G462" s="27" t="s">
        <v>2293</v>
      </c>
      <c r="H462" s="8" t="s">
        <v>151</v>
      </c>
      <c r="I462" s="46" t="s">
        <v>2887</v>
      </c>
      <c r="J462" s="25">
        <v>44727</v>
      </c>
      <c r="K462" s="25">
        <v>45092</v>
      </c>
      <c r="L462" s="26">
        <f t="shared" si="228"/>
        <v>83.3</v>
      </c>
      <c r="M462" s="11">
        <v>7</v>
      </c>
      <c r="N462" s="11" t="s">
        <v>994</v>
      </c>
      <c r="O462" s="11" t="s">
        <v>995</v>
      </c>
      <c r="P462" s="11" t="s">
        <v>274</v>
      </c>
      <c r="Q462" s="11" t="s">
        <v>34</v>
      </c>
      <c r="R462" s="2">
        <f t="shared" si="229"/>
        <v>353325.28</v>
      </c>
      <c r="S462" s="2">
        <v>353325.28</v>
      </c>
      <c r="T462" s="2">
        <v>0</v>
      </c>
      <c r="U462" s="2">
        <f t="shared" si="230"/>
        <v>62351.519999999997</v>
      </c>
      <c r="V462" s="28">
        <v>62351.519999999997</v>
      </c>
      <c r="W462" s="28">
        <v>0</v>
      </c>
      <c r="X462" s="2">
        <f t="shared" si="231"/>
        <v>0</v>
      </c>
      <c r="Y462" s="2">
        <v>0</v>
      </c>
      <c r="Z462" s="2">
        <v>0</v>
      </c>
      <c r="AA462" s="2">
        <f t="shared" si="232"/>
        <v>8483.2000000000007</v>
      </c>
      <c r="AB462" s="2">
        <v>8483.2000000000007</v>
      </c>
      <c r="AC462" s="2">
        <v>0</v>
      </c>
      <c r="AD462" s="16">
        <f t="shared" si="227"/>
        <v>424160.00000000006</v>
      </c>
      <c r="AE462" s="2">
        <v>0</v>
      </c>
      <c r="AF462" s="2">
        <f t="shared" si="233"/>
        <v>424160.00000000006</v>
      </c>
      <c r="AG462" s="38" t="s">
        <v>486</v>
      </c>
      <c r="AH462" s="29"/>
      <c r="AI462" s="118">
        <v>0</v>
      </c>
      <c r="AJ462" s="30">
        <v>0</v>
      </c>
      <c r="AK462" s="179"/>
    </row>
    <row r="463" spans="1:109" s="43" customFormat="1" ht="157.5" x14ac:dyDescent="0.25">
      <c r="A463" s="6">
        <v>460</v>
      </c>
      <c r="B463" s="31">
        <v>151433</v>
      </c>
      <c r="C463" s="11">
        <v>1015</v>
      </c>
      <c r="D463" s="11" t="s">
        <v>1639</v>
      </c>
      <c r="E463" s="24" t="s">
        <v>2271</v>
      </c>
      <c r="F463" s="31" t="s">
        <v>2297</v>
      </c>
      <c r="G463" s="27" t="s">
        <v>2296</v>
      </c>
      <c r="H463" s="8" t="s">
        <v>151</v>
      </c>
      <c r="I463" s="46" t="s">
        <v>2888</v>
      </c>
      <c r="J463" s="25">
        <v>44729</v>
      </c>
      <c r="K463" s="25">
        <v>45094</v>
      </c>
      <c r="L463" s="26">
        <f t="shared" si="228"/>
        <v>83.29999952830633</v>
      </c>
      <c r="M463" s="11">
        <v>1</v>
      </c>
      <c r="N463" s="11" t="s">
        <v>407</v>
      </c>
      <c r="O463" s="11" t="s">
        <v>1927</v>
      </c>
      <c r="P463" s="11" t="s">
        <v>274</v>
      </c>
      <c r="Q463" s="11" t="s">
        <v>34</v>
      </c>
      <c r="R463" s="2">
        <f t="shared" si="229"/>
        <v>353195.33</v>
      </c>
      <c r="S463" s="2">
        <v>353195.33</v>
      </c>
      <c r="T463" s="2">
        <v>0</v>
      </c>
      <c r="U463" s="2">
        <f t="shared" si="230"/>
        <v>62328.59</v>
      </c>
      <c r="V463" s="28">
        <v>62328.59</v>
      </c>
      <c r="W463" s="28">
        <v>0</v>
      </c>
      <c r="X463" s="2">
        <f t="shared" si="231"/>
        <v>0</v>
      </c>
      <c r="Y463" s="2">
        <v>0</v>
      </c>
      <c r="Z463" s="2">
        <v>0</v>
      </c>
      <c r="AA463" s="2">
        <f t="shared" si="232"/>
        <v>8480.08</v>
      </c>
      <c r="AB463" s="2">
        <v>8480.08</v>
      </c>
      <c r="AC463" s="2">
        <v>0</v>
      </c>
      <c r="AD463" s="16">
        <f t="shared" si="227"/>
        <v>424004.00000000006</v>
      </c>
      <c r="AE463" s="2">
        <v>0</v>
      </c>
      <c r="AF463" s="2">
        <f t="shared" si="233"/>
        <v>424004.00000000006</v>
      </c>
      <c r="AG463" s="38" t="s">
        <v>486</v>
      </c>
      <c r="AH463" s="29"/>
      <c r="AI463" s="118">
        <v>42000</v>
      </c>
      <c r="AJ463" s="30">
        <v>0</v>
      </c>
      <c r="AK463" s="179"/>
    </row>
    <row r="464" spans="1:109" s="43" customFormat="1" ht="189" x14ac:dyDescent="0.25">
      <c r="A464" s="6">
        <v>461</v>
      </c>
      <c r="B464" s="31">
        <v>151245</v>
      </c>
      <c r="C464" s="11">
        <v>886</v>
      </c>
      <c r="D464" s="11" t="s">
        <v>1639</v>
      </c>
      <c r="E464" s="24" t="s">
        <v>2271</v>
      </c>
      <c r="F464" s="31" t="s">
        <v>2301</v>
      </c>
      <c r="G464" s="27" t="s">
        <v>2300</v>
      </c>
      <c r="H464" s="8" t="s">
        <v>151</v>
      </c>
      <c r="I464" s="46" t="s">
        <v>2889</v>
      </c>
      <c r="J464" s="25">
        <v>44735</v>
      </c>
      <c r="K464" s="25">
        <v>45161</v>
      </c>
      <c r="L464" s="26">
        <f t="shared" si="228"/>
        <v>83.3</v>
      </c>
      <c r="M464" s="11">
        <v>7</v>
      </c>
      <c r="N464" s="11" t="s">
        <v>2302</v>
      </c>
      <c r="O464" s="11" t="s">
        <v>2303</v>
      </c>
      <c r="P464" s="11" t="s">
        <v>274</v>
      </c>
      <c r="Q464" s="11" t="s">
        <v>34</v>
      </c>
      <c r="R464" s="2">
        <f t="shared" si="229"/>
        <v>353608.5</v>
      </c>
      <c r="S464" s="2">
        <v>353608.5</v>
      </c>
      <c r="T464" s="2">
        <v>0</v>
      </c>
      <c r="U464" s="2">
        <f t="shared" si="230"/>
        <v>62401.5</v>
      </c>
      <c r="V464" s="28">
        <v>62401.5</v>
      </c>
      <c r="W464" s="28">
        <v>0</v>
      </c>
      <c r="X464" s="2">
        <f t="shared" si="231"/>
        <v>0</v>
      </c>
      <c r="Y464" s="2">
        <v>0</v>
      </c>
      <c r="Z464" s="2">
        <v>0</v>
      </c>
      <c r="AA464" s="2">
        <f t="shared" si="232"/>
        <v>8490</v>
      </c>
      <c r="AB464" s="2">
        <v>8490</v>
      </c>
      <c r="AC464" s="2">
        <v>0</v>
      </c>
      <c r="AD464" s="16">
        <f t="shared" si="227"/>
        <v>424500</v>
      </c>
      <c r="AE464" s="2">
        <v>0</v>
      </c>
      <c r="AF464" s="2">
        <f t="shared" si="233"/>
        <v>424500</v>
      </c>
      <c r="AG464" s="38" t="s">
        <v>486</v>
      </c>
      <c r="AH464" s="29"/>
      <c r="AI464" s="118">
        <v>42450</v>
      </c>
      <c r="AJ464" s="30">
        <v>0</v>
      </c>
      <c r="AK464" s="179"/>
    </row>
    <row r="465" spans="1:37" s="43" customFormat="1" ht="315" x14ac:dyDescent="0.25">
      <c r="A465" s="6">
        <v>462</v>
      </c>
      <c r="B465" s="31">
        <v>151536</v>
      </c>
      <c r="C465" s="11">
        <v>1005</v>
      </c>
      <c r="D465" s="11" t="s">
        <v>1639</v>
      </c>
      <c r="E465" s="24" t="s">
        <v>2271</v>
      </c>
      <c r="F465" s="31" t="s">
        <v>2305</v>
      </c>
      <c r="G465" s="27" t="s">
        <v>2304</v>
      </c>
      <c r="H465" s="8" t="s">
        <v>151</v>
      </c>
      <c r="I465" s="46" t="s">
        <v>2890</v>
      </c>
      <c r="J465" s="25">
        <v>44732</v>
      </c>
      <c r="K465" s="25">
        <v>45158</v>
      </c>
      <c r="L465" s="26">
        <f t="shared" si="228"/>
        <v>83.299982409036502</v>
      </c>
      <c r="M465" s="11">
        <v>4</v>
      </c>
      <c r="N465" s="11" t="s">
        <v>499</v>
      </c>
      <c r="O465" s="11" t="s">
        <v>2306</v>
      </c>
      <c r="P465" s="11" t="s">
        <v>274</v>
      </c>
      <c r="Q465" s="11" t="s">
        <v>34</v>
      </c>
      <c r="R465" s="2">
        <f t="shared" si="229"/>
        <v>287295.8</v>
      </c>
      <c r="S465" s="2">
        <v>287295.8</v>
      </c>
      <c r="T465" s="2">
        <v>0</v>
      </c>
      <c r="U465" s="2">
        <f t="shared" si="230"/>
        <v>50699.27</v>
      </c>
      <c r="V465" s="28">
        <v>50699.27</v>
      </c>
      <c r="W465" s="28">
        <v>0</v>
      </c>
      <c r="X465" s="2">
        <f t="shared" si="231"/>
        <v>0</v>
      </c>
      <c r="Y465" s="2">
        <v>0</v>
      </c>
      <c r="Z465" s="2">
        <v>0</v>
      </c>
      <c r="AA465" s="2">
        <f t="shared" si="232"/>
        <v>6897.92</v>
      </c>
      <c r="AB465" s="2">
        <v>6897.92</v>
      </c>
      <c r="AC465" s="2">
        <v>0</v>
      </c>
      <c r="AD465" s="16">
        <f t="shared" si="227"/>
        <v>344892.99</v>
      </c>
      <c r="AE465" s="2">
        <v>0</v>
      </c>
      <c r="AF465" s="2">
        <f t="shared" si="233"/>
        <v>344892.99</v>
      </c>
      <c r="AG465" s="38" t="s">
        <v>486</v>
      </c>
      <c r="AH465" s="29"/>
      <c r="AI465" s="118">
        <v>34489.29</v>
      </c>
      <c r="AJ465" s="30">
        <v>0</v>
      </c>
      <c r="AK465" s="179"/>
    </row>
    <row r="466" spans="1:37" s="43" customFormat="1" ht="346.5" x14ac:dyDescent="0.25">
      <c r="A466" s="6">
        <v>463</v>
      </c>
      <c r="B466" s="31">
        <v>151539</v>
      </c>
      <c r="C466" s="11">
        <v>1007</v>
      </c>
      <c r="D466" s="11" t="s">
        <v>1639</v>
      </c>
      <c r="E466" s="24" t="s">
        <v>2271</v>
      </c>
      <c r="F466" s="31" t="s">
        <v>2308</v>
      </c>
      <c r="G466" s="27" t="s">
        <v>2307</v>
      </c>
      <c r="H466" s="8" t="s">
        <v>151</v>
      </c>
      <c r="I466" s="46" t="s">
        <v>2891</v>
      </c>
      <c r="J466" s="25">
        <v>44732</v>
      </c>
      <c r="K466" s="25">
        <v>45158</v>
      </c>
      <c r="L466" s="26">
        <f t="shared" si="228"/>
        <v>83.300000992427783</v>
      </c>
      <c r="M466" s="11">
        <v>5</v>
      </c>
      <c r="N466" s="11" t="s">
        <v>230</v>
      </c>
      <c r="O466" s="11" t="s">
        <v>230</v>
      </c>
      <c r="P466" s="11" t="s">
        <v>274</v>
      </c>
      <c r="Q466" s="11" t="s">
        <v>34</v>
      </c>
      <c r="R466" s="2">
        <f t="shared" si="229"/>
        <v>335742.32</v>
      </c>
      <c r="S466" s="2">
        <v>335742.32</v>
      </c>
      <c r="T466" s="2">
        <v>0</v>
      </c>
      <c r="U466" s="2">
        <f t="shared" si="230"/>
        <v>59248.639999999999</v>
      </c>
      <c r="V466" s="28">
        <v>59248.639999999999</v>
      </c>
      <c r="W466" s="28">
        <v>0</v>
      </c>
      <c r="X466" s="2">
        <f t="shared" si="231"/>
        <v>0</v>
      </c>
      <c r="Y466" s="2">
        <v>0</v>
      </c>
      <c r="Z466" s="2">
        <v>0</v>
      </c>
      <c r="AA466" s="2">
        <f t="shared" si="232"/>
        <v>8061.04</v>
      </c>
      <c r="AB466" s="2">
        <v>8061.04</v>
      </c>
      <c r="AC466" s="2">
        <v>0</v>
      </c>
      <c r="AD466" s="16">
        <f t="shared" si="227"/>
        <v>403052</v>
      </c>
      <c r="AE466" s="2">
        <v>0</v>
      </c>
      <c r="AF466" s="2">
        <f t="shared" si="233"/>
        <v>403052</v>
      </c>
      <c r="AG466" s="38" t="s">
        <v>486</v>
      </c>
      <c r="AH466" s="29"/>
      <c r="AI466" s="118">
        <v>40000</v>
      </c>
      <c r="AJ466" s="30">
        <v>0</v>
      </c>
      <c r="AK466" s="179"/>
    </row>
    <row r="467" spans="1:37" s="43" customFormat="1" ht="141.75" x14ac:dyDescent="0.25">
      <c r="A467" s="6">
        <v>464</v>
      </c>
      <c r="B467" s="31">
        <v>151462</v>
      </c>
      <c r="C467" s="11">
        <v>1018</v>
      </c>
      <c r="D467" s="11" t="s">
        <v>1639</v>
      </c>
      <c r="E467" s="24" t="s">
        <v>2271</v>
      </c>
      <c r="F467" s="31" t="s">
        <v>2310</v>
      </c>
      <c r="G467" s="27" t="s">
        <v>2309</v>
      </c>
      <c r="H467" s="8" t="s">
        <v>151</v>
      </c>
      <c r="I467" s="46" t="s">
        <v>2892</v>
      </c>
      <c r="J467" s="25">
        <v>44733</v>
      </c>
      <c r="K467" s="25">
        <v>45098</v>
      </c>
      <c r="L467" s="26">
        <f t="shared" si="228"/>
        <v>83.300001174338774</v>
      </c>
      <c r="M467" s="11">
        <v>3</v>
      </c>
      <c r="N467" s="11" t="s">
        <v>254</v>
      </c>
      <c r="O467" s="11" t="s">
        <v>2311</v>
      </c>
      <c r="P467" s="11" t="s">
        <v>274</v>
      </c>
      <c r="Q467" s="11" t="s">
        <v>34</v>
      </c>
      <c r="R467" s="2">
        <f t="shared" si="229"/>
        <v>353958.34</v>
      </c>
      <c r="S467" s="2">
        <v>353958.34</v>
      </c>
      <c r="T467" s="2">
        <v>0</v>
      </c>
      <c r="U467" s="2">
        <f t="shared" si="230"/>
        <v>62463.24</v>
      </c>
      <c r="V467" s="28">
        <v>62463.24</v>
      </c>
      <c r="W467" s="28">
        <v>0</v>
      </c>
      <c r="X467" s="2">
        <f t="shared" si="231"/>
        <v>0</v>
      </c>
      <c r="Y467" s="2">
        <v>0</v>
      </c>
      <c r="Z467" s="2">
        <v>0</v>
      </c>
      <c r="AA467" s="2">
        <f t="shared" si="232"/>
        <v>8498.39</v>
      </c>
      <c r="AB467" s="2">
        <v>8498.39</v>
      </c>
      <c r="AC467" s="2">
        <v>0</v>
      </c>
      <c r="AD467" s="16">
        <f t="shared" si="227"/>
        <v>424919.97000000003</v>
      </c>
      <c r="AE467" s="2">
        <v>0</v>
      </c>
      <c r="AF467" s="2">
        <f t="shared" si="233"/>
        <v>424919.97000000003</v>
      </c>
      <c r="AG467" s="38" t="s">
        <v>486</v>
      </c>
      <c r="AH467" s="29"/>
      <c r="AI467" s="118">
        <v>42491</v>
      </c>
      <c r="AJ467" s="30">
        <v>0</v>
      </c>
      <c r="AK467" s="179"/>
    </row>
    <row r="468" spans="1:37" s="43" customFormat="1" ht="283.5" x14ac:dyDescent="0.25">
      <c r="A468" s="6">
        <v>465</v>
      </c>
      <c r="B468" s="31">
        <v>150843</v>
      </c>
      <c r="C468" s="11">
        <v>885</v>
      </c>
      <c r="D468" s="11" t="s">
        <v>1639</v>
      </c>
      <c r="E468" s="24" t="s">
        <v>2271</v>
      </c>
      <c r="F468" s="31" t="s">
        <v>2324</v>
      </c>
      <c r="G468" s="27" t="s">
        <v>2323</v>
      </c>
      <c r="H468" s="8" t="s">
        <v>151</v>
      </c>
      <c r="I468" s="46" t="s">
        <v>2325</v>
      </c>
      <c r="J468" s="25">
        <v>44740</v>
      </c>
      <c r="K468" s="25">
        <v>45166</v>
      </c>
      <c r="L468" s="26">
        <f t="shared" si="228"/>
        <v>83.300001426156797</v>
      </c>
      <c r="M468" s="11">
        <v>6</v>
      </c>
      <c r="N468" s="11" t="s">
        <v>298</v>
      </c>
      <c r="O468" s="11" t="s">
        <v>298</v>
      </c>
      <c r="P468" s="11" t="s">
        <v>274</v>
      </c>
      <c r="Q468" s="11" t="s">
        <v>34</v>
      </c>
      <c r="R468" s="2">
        <f t="shared" si="229"/>
        <v>338770.61</v>
      </c>
      <c r="S468" s="2">
        <v>338770.61</v>
      </c>
      <c r="T468" s="2">
        <v>0</v>
      </c>
      <c r="U468" s="2">
        <f>V468+W468</f>
        <v>59783.040000000001</v>
      </c>
      <c r="V468" s="28">
        <v>59783.040000000001</v>
      </c>
      <c r="W468" s="28">
        <v>0</v>
      </c>
      <c r="X468" s="2">
        <f t="shared" si="231"/>
        <v>0</v>
      </c>
      <c r="Y468" s="2">
        <v>0</v>
      </c>
      <c r="Z468" s="2">
        <v>0</v>
      </c>
      <c r="AA468" s="2">
        <f t="shared" si="232"/>
        <v>8133.75</v>
      </c>
      <c r="AB468" s="2">
        <v>8133.75</v>
      </c>
      <c r="AC468" s="2">
        <v>0</v>
      </c>
      <c r="AD468" s="16">
        <f t="shared" si="227"/>
        <v>406687.39999999997</v>
      </c>
      <c r="AE468" s="2">
        <v>0</v>
      </c>
      <c r="AF468" s="2">
        <f t="shared" si="233"/>
        <v>406687.39999999997</v>
      </c>
      <c r="AG468" s="38" t="s">
        <v>486</v>
      </c>
      <c r="AH468" s="29"/>
      <c r="AI468" s="118">
        <v>40668</v>
      </c>
      <c r="AJ468" s="30">
        <v>0</v>
      </c>
      <c r="AK468" s="179"/>
    </row>
    <row r="469" spans="1:37" s="43" customFormat="1" ht="204.75" x14ac:dyDescent="0.25">
      <c r="A469" s="6">
        <v>466</v>
      </c>
      <c r="B469" s="31">
        <v>150664</v>
      </c>
      <c r="C469" s="11">
        <v>888</v>
      </c>
      <c r="D469" s="11" t="s">
        <v>1639</v>
      </c>
      <c r="E469" s="24" t="s">
        <v>2271</v>
      </c>
      <c r="F469" s="31" t="s">
        <v>2326</v>
      </c>
      <c r="G469" s="27" t="s">
        <v>2361</v>
      </c>
      <c r="H469" s="8" t="s">
        <v>151</v>
      </c>
      <c r="I469" s="46" t="s">
        <v>2329</v>
      </c>
      <c r="J469" s="25">
        <v>44742</v>
      </c>
      <c r="K469" s="25">
        <v>45107</v>
      </c>
      <c r="L469" s="26">
        <f t="shared" si="228"/>
        <v>83.300004936700049</v>
      </c>
      <c r="M469" s="11">
        <v>2</v>
      </c>
      <c r="N469" s="11" t="s">
        <v>2327</v>
      </c>
      <c r="O469" s="11" t="s">
        <v>2328</v>
      </c>
      <c r="P469" s="11" t="s">
        <v>274</v>
      </c>
      <c r="Q469" s="11" t="s">
        <v>34</v>
      </c>
      <c r="R469" s="2">
        <f t="shared" si="229"/>
        <v>318236.49</v>
      </c>
      <c r="S469" s="2">
        <v>318236.49</v>
      </c>
      <c r="T469" s="2">
        <v>0</v>
      </c>
      <c r="U469" s="2">
        <f t="shared" si="230"/>
        <v>56159.360000000001</v>
      </c>
      <c r="V469" s="28">
        <v>56159.360000000001</v>
      </c>
      <c r="W469" s="28">
        <v>0</v>
      </c>
      <c r="X469" s="2">
        <f t="shared" si="231"/>
        <v>0</v>
      </c>
      <c r="Y469" s="2">
        <v>0</v>
      </c>
      <c r="Z469" s="2">
        <v>0</v>
      </c>
      <c r="AA469" s="2">
        <f t="shared" si="232"/>
        <v>7640.73</v>
      </c>
      <c r="AB469" s="2">
        <v>7640.73</v>
      </c>
      <c r="AC469" s="2">
        <v>0</v>
      </c>
      <c r="AD469" s="16">
        <f t="shared" si="227"/>
        <v>382036.57999999996</v>
      </c>
      <c r="AE469" s="2">
        <v>0</v>
      </c>
      <c r="AF469" s="2">
        <f t="shared" si="233"/>
        <v>382036.57999999996</v>
      </c>
      <c r="AG469" s="38" t="s">
        <v>486</v>
      </c>
      <c r="AH469" s="29"/>
      <c r="AI469" s="118">
        <v>38203</v>
      </c>
      <c r="AJ469" s="30">
        <v>0</v>
      </c>
      <c r="AK469" s="179"/>
    </row>
    <row r="470" spans="1:37" s="43" customFormat="1" ht="141.75" x14ac:dyDescent="0.25">
      <c r="A470" s="6">
        <v>467</v>
      </c>
      <c r="B470" s="31">
        <v>150972</v>
      </c>
      <c r="C470" s="11">
        <v>956</v>
      </c>
      <c r="D470" s="11" t="s">
        <v>1639</v>
      </c>
      <c r="E470" s="24" t="s">
        <v>2271</v>
      </c>
      <c r="F470" s="31" t="s">
        <v>2331</v>
      </c>
      <c r="G470" s="27" t="s">
        <v>2330</v>
      </c>
      <c r="H470" s="8" t="s">
        <v>151</v>
      </c>
      <c r="I470" s="46" t="s">
        <v>2332</v>
      </c>
      <c r="J470" s="25">
        <v>44742</v>
      </c>
      <c r="K470" s="25">
        <v>45168</v>
      </c>
      <c r="L470" s="26">
        <f t="shared" si="228"/>
        <v>83.299998352743515</v>
      </c>
      <c r="M470" s="11">
        <v>3</v>
      </c>
      <c r="N470" s="11" t="s">
        <v>330</v>
      </c>
      <c r="O470" s="11" t="s">
        <v>330</v>
      </c>
      <c r="P470" s="11" t="s">
        <v>274</v>
      </c>
      <c r="Q470" s="11" t="s">
        <v>34</v>
      </c>
      <c r="R470" s="2">
        <f t="shared" si="229"/>
        <v>353982.51</v>
      </c>
      <c r="S470" s="2">
        <v>353982.51</v>
      </c>
      <c r="T470" s="2">
        <v>0</v>
      </c>
      <c r="U470" s="2">
        <f t="shared" si="230"/>
        <v>62467.51</v>
      </c>
      <c r="V470" s="28">
        <v>62467.51</v>
      </c>
      <c r="W470" s="28">
        <v>0</v>
      </c>
      <c r="X470" s="2">
        <f t="shared" si="231"/>
        <v>0</v>
      </c>
      <c r="Y470" s="2">
        <v>0</v>
      </c>
      <c r="Z470" s="2">
        <v>0</v>
      </c>
      <c r="AA470" s="2">
        <f t="shared" si="232"/>
        <v>8498.98</v>
      </c>
      <c r="AB470" s="2">
        <v>8498.98</v>
      </c>
      <c r="AC470" s="2">
        <v>0</v>
      </c>
      <c r="AD470" s="16">
        <f t="shared" si="227"/>
        <v>424949</v>
      </c>
      <c r="AE470" s="2">
        <v>0</v>
      </c>
      <c r="AF470" s="2">
        <f t="shared" si="233"/>
        <v>424949</v>
      </c>
      <c r="AG470" s="38" t="s">
        <v>486</v>
      </c>
      <c r="AH470" s="29"/>
      <c r="AI470" s="118">
        <v>42494</v>
      </c>
      <c r="AJ470" s="30">
        <v>0</v>
      </c>
      <c r="AK470" s="179"/>
    </row>
    <row r="471" spans="1:37" s="43" customFormat="1" ht="157.5" x14ac:dyDescent="0.25">
      <c r="A471" s="6">
        <v>468</v>
      </c>
      <c r="B471" s="31">
        <v>151254</v>
      </c>
      <c r="C471" s="11">
        <v>968</v>
      </c>
      <c r="D471" s="11" t="s">
        <v>1639</v>
      </c>
      <c r="E471" s="24" t="s">
        <v>2271</v>
      </c>
      <c r="F471" s="31" t="s">
        <v>2334</v>
      </c>
      <c r="G471" s="27" t="s">
        <v>2333</v>
      </c>
      <c r="H471" s="11" t="s">
        <v>2335</v>
      </c>
      <c r="I471" s="46" t="s">
        <v>2336</v>
      </c>
      <c r="J471" s="25">
        <v>44742</v>
      </c>
      <c r="K471" s="25">
        <v>45107</v>
      </c>
      <c r="L471" s="26">
        <f t="shared" si="228"/>
        <v>83.3</v>
      </c>
      <c r="M471" s="11">
        <v>7</v>
      </c>
      <c r="N471" s="11" t="s">
        <v>226</v>
      </c>
      <c r="O471" s="11" t="s">
        <v>226</v>
      </c>
      <c r="P471" s="11" t="s">
        <v>274</v>
      </c>
      <c r="Q471" s="11" t="s">
        <v>34</v>
      </c>
      <c r="R471" s="2">
        <f t="shared" si="229"/>
        <v>329593.11</v>
      </c>
      <c r="S471" s="2">
        <v>329593.11</v>
      </c>
      <c r="T471" s="2">
        <v>0</v>
      </c>
      <c r="U471" s="2">
        <f t="shared" si="230"/>
        <v>58163.49</v>
      </c>
      <c r="V471" s="28">
        <v>58163.49</v>
      </c>
      <c r="W471" s="28">
        <v>0</v>
      </c>
      <c r="X471" s="2">
        <f t="shared" si="231"/>
        <v>0</v>
      </c>
      <c r="Y471" s="2">
        <v>0</v>
      </c>
      <c r="Z471" s="2">
        <v>0</v>
      </c>
      <c r="AA471" s="2">
        <f t="shared" si="232"/>
        <v>7913.4</v>
      </c>
      <c r="AB471" s="2">
        <v>7913.4</v>
      </c>
      <c r="AC471" s="2">
        <v>0</v>
      </c>
      <c r="AD471" s="16">
        <f t="shared" si="227"/>
        <v>395670</v>
      </c>
      <c r="AE471" s="2">
        <v>0</v>
      </c>
      <c r="AF471" s="2">
        <f t="shared" si="233"/>
        <v>395670</v>
      </c>
      <c r="AG471" s="38" t="s">
        <v>486</v>
      </c>
      <c r="AH471" s="29"/>
      <c r="AI471" s="118">
        <v>0</v>
      </c>
      <c r="AJ471" s="30">
        <v>0</v>
      </c>
      <c r="AK471" s="179"/>
    </row>
    <row r="472" spans="1:37" s="43" customFormat="1" ht="236.25" x14ac:dyDescent="0.25">
      <c r="A472" s="6">
        <v>469</v>
      </c>
      <c r="B472" s="31">
        <v>151285</v>
      </c>
      <c r="C472" s="11">
        <v>972</v>
      </c>
      <c r="D472" s="11" t="s">
        <v>1639</v>
      </c>
      <c r="E472" s="24" t="s">
        <v>2271</v>
      </c>
      <c r="F472" s="31" t="s">
        <v>2338</v>
      </c>
      <c r="G472" s="27" t="s">
        <v>2337</v>
      </c>
      <c r="H472" s="11" t="s">
        <v>2339</v>
      </c>
      <c r="I472" s="46" t="s">
        <v>2893</v>
      </c>
      <c r="J472" s="25">
        <v>44739</v>
      </c>
      <c r="K472" s="25">
        <v>45165</v>
      </c>
      <c r="L472" s="26">
        <f t="shared" si="228"/>
        <v>83.299999921476058</v>
      </c>
      <c r="M472" s="11" t="s">
        <v>2340</v>
      </c>
      <c r="N472" s="11" t="s">
        <v>2341</v>
      </c>
      <c r="O472" s="11" t="s">
        <v>2341</v>
      </c>
      <c r="P472" s="11" t="s">
        <v>274</v>
      </c>
      <c r="Q472" s="11" t="s">
        <v>34</v>
      </c>
      <c r="R472" s="2">
        <f t="shared" si="229"/>
        <v>350071.59</v>
      </c>
      <c r="S472" s="2">
        <v>350071.59</v>
      </c>
      <c r="T472" s="2">
        <v>0</v>
      </c>
      <c r="U472" s="2">
        <f t="shared" si="230"/>
        <v>61777.34</v>
      </c>
      <c r="V472" s="28">
        <v>61777.34</v>
      </c>
      <c r="W472" s="28">
        <v>0</v>
      </c>
      <c r="X472" s="2">
        <f t="shared" si="231"/>
        <v>0</v>
      </c>
      <c r="Y472" s="2">
        <v>0</v>
      </c>
      <c r="Z472" s="2">
        <v>0</v>
      </c>
      <c r="AA472" s="2">
        <f t="shared" si="232"/>
        <v>8405.08</v>
      </c>
      <c r="AB472" s="2">
        <v>8405.08</v>
      </c>
      <c r="AC472" s="2">
        <v>0</v>
      </c>
      <c r="AD472" s="16">
        <f t="shared" si="227"/>
        <v>420254.01000000007</v>
      </c>
      <c r="AE472" s="2">
        <v>0</v>
      </c>
      <c r="AF472" s="2">
        <f t="shared" si="233"/>
        <v>420254.01000000007</v>
      </c>
      <c r="AG472" s="38" t="s">
        <v>486</v>
      </c>
      <c r="AH472" s="29"/>
      <c r="AI472" s="118">
        <v>42025</v>
      </c>
      <c r="AJ472" s="30">
        <v>0</v>
      </c>
      <c r="AK472" s="179"/>
    </row>
    <row r="473" spans="1:37" s="43" customFormat="1" ht="330.75" x14ac:dyDescent="0.25">
      <c r="A473" s="6">
        <v>470</v>
      </c>
      <c r="B473" s="31">
        <v>151142</v>
      </c>
      <c r="C473" s="11">
        <v>990</v>
      </c>
      <c r="D473" s="11" t="s">
        <v>1639</v>
      </c>
      <c r="E473" s="24" t="s">
        <v>2271</v>
      </c>
      <c r="F473" s="31" t="s">
        <v>2343</v>
      </c>
      <c r="G473" s="27" t="s">
        <v>2342</v>
      </c>
      <c r="H473" s="8" t="s">
        <v>151</v>
      </c>
      <c r="I473" s="46" t="s">
        <v>2894</v>
      </c>
      <c r="J473" s="25">
        <v>44740</v>
      </c>
      <c r="K473" s="25">
        <v>45166</v>
      </c>
      <c r="L473" s="26">
        <f t="shared" si="228"/>
        <v>83.29998623922404</v>
      </c>
      <c r="M473" s="11">
        <v>4</v>
      </c>
      <c r="N473" s="11" t="s">
        <v>499</v>
      </c>
      <c r="O473" s="11" t="s">
        <v>2344</v>
      </c>
      <c r="P473" s="11" t="s">
        <v>274</v>
      </c>
      <c r="Q473" s="11" t="s">
        <v>34</v>
      </c>
      <c r="R473" s="2">
        <f t="shared" si="229"/>
        <v>302187.56</v>
      </c>
      <c r="S473" s="2">
        <v>302187.56</v>
      </c>
      <c r="T473" s="2">
        <v>0</v>
      </c>
      <c r="U473" s="2">
        <f t="shared" si="230"/>
        <v>53327.24</v>
      </c>
      <c r="V473" s="28">
        <v>53327.24</v>
      </c>
      <c r="W473" s="28">
        <v>0</v>
      </c>
      <c r="X473" s="2">
        <f t="shared" si="231"/>
        <v>0</v>
      </c>
      <c r="Y473" s="2">
        <v>0</v>
      </c>
      <c r="Z473" s="2">
        <v>0</v>
      </c>
      <c r="AA473" s="2">
        <f t="shared" si="232"/>
        <v>7255.44</v>
      </c>
      <c r="AB473" s="2">
        <v>7255.44</v>
      </c>
      <c r="AC473" s="2">
        <v>0</v>
      </c>
      <c r="AD473" s="16">
        <f t="shared" si="227"/>
        <v>362770.24</v>
      </c>
      <c r="AE473" s="2">
        <v>0</v>
      </c>
      <c r="AF473" s="2">
        <f t="shared" si="233"/>
        <v>362770.24</v>
      </c>
      <c r="AG473" s="38" t="s">
        <v>486</v>
      </c>
      <c r="AH473" s="29"/>
      <c r="AI473" s="118">
        <v>32600</v>
      </c>
      <c r="AJ473" s="30">
        <v>0</v>
      </c>
      <c r="AK473" s="179"/>
    </row>
    <row r="474" spans="1:37" s="43" customFormat="1" ht="173.25" x14ac:dyDescent="0.25">
      <c r="A474" s="6">
        <v>471</v>
      </c>
      <c r="B474" s="31">
        <v>151537</v>
      </c>
      <c r="C474" s="11">
        <v>1006</v>
      </c>
      <c r="D474" s="11" t="s">
        <v>1639</v>
      </c>
      <c r="E474" s="24" t="s">
        <v>2271</v>
      </c>
      <c r="F474" s="31" t="s">
        <v>2346</v>
      </c>
      <c r="G474" s="27" t="s">
        <v>2345</v>
      </c>
      <c r="H474" s="8" t="s">
        <v>151</v>
      </c>
      <c r="I474" s="46" t="s">
        <v>2347</v>
      </c>
      <c r="J474" s="25">
        <v>44739</v>
      </c>
      <c r="K474" s="25">
        <v>45104</v>
      </c>
      <c r="L474" s="26">
        <f t="shared" si="228"/>
        <v>83.300000589362014</v>
      </c>
      <c r="M474" s="11">
        <v>7</v>
      </c>
      <c r="N474" s="11" t="s">
        <v>994</v>
      </c>
      <c r="O474" s="11" t="s">
        <v>994</v>
      </c>
      <c r="P474" s="11" t="s">
        <v>274</v>
      </c>
      <c r="Q474" s="11" t="s">
        <v>34</v>
      </c>
      <c r="R474" s="2">
        <f t="shared" si="229"/>
        <v>353348.19</v>
      </c>
      <c r="S474" s="2">
        <v>353348.19</v>
      </c>
      <c r="T474" s="2">
        <v>0</v>
      </c>
      <c r="U474" s="2">
        <f t="shared" si="230"/>
        <v>62355.56</v>
      </c>
      <c r="V474" s="28">
        <v>62355.56</v>
      </c>
      <c r="W474" s="28">
        <v>0</v>
      </c>
      <c r="X474" s="2">
        <f t="shared" si="231"/>
        <v>0</v>
      </c>
      <c r="Y474" s="2">
        <v>0</v>
      </c>
      <c r="Z474" s="2">
        <v>0</v>
      </c>
      <c r="AA474" s="2">
        <f t="shared" si="232"/>
        <v>8483.75</v>
      </c>
      <c r="AB474" s="2">
        <v>8483.75</v>
      </c>
      <c r="AC474" s="2">
        <v>0</v>
      </c>
      <c r="AD474" s="16">
        <f t="shared" si="227"/>
        <v>424187.5</v>
      </c>
      <c r="AE474" s="2">
        <v>0</v>
      </c>
      <c r="AF474" s="2">
        <f t="shared" si="233"/>
        <v>424187.5</v>
      </c>
      <c r="AG474" s="38" t="s">
        <v>486</v>
      </c>
      <c r="AH474" s="29"/>
      <c r="AI474" s="118">
        <v>0</v>
      </c>
      <c r="AJ474" s="30">
        <v>0</v>
      </c>
      <c r="AK474" s="179"/>
    </row>
    <row r="475" spans="1:37" s="43" customFormat="1" ht="283.5" x14ac:dyDescent="0.25">
      <c r="A475" s="6">
        <v>472</v>
      </c>
      <c r="B475" s="31">
        <v>151541</v>
      </c>
      <c r="C475" s="11">
        <v>1009</v>
      </c>
      <c r="D475" s="11" t="s">
        <v>1639</v>
      </c>
      <c r="E475" s="24" t="s">
        <v>2271</v>
      </c>
      <c r="F475" s="31" t="s">
        <v>2350</v>
      </c>
      <c r="G475" s="27" t="s">
        <v>2348</v>
      </c>
      <c r="H475" s="8" t="s">
        <v>151</v>
      </c>
      <c r="I475" s="46" t="s">
        <v>2895</v>
      </c>
      <c r="J475" s="25">
        <v>44742</v>
      </c>
      <c r="K475" s="25">
        <v>45107</v>
      </c>
      <c r="L475" s="26">
        <f t="shared" si="228"/>
        <v>83.299995691837864</v>
      </c>
      <c r="M475" s="11">
        <v>3</v>
      </c>
      <c r="N475" s="11" t="s">
        <v>200</v>
      </c>
      <c r="O475" s="11" t="s">
        <v>2349</v>
      </c>
      <c r="P475" s="11" t="s">
        <v>274</v>
      </c>
      <c r="Q475" s="11" t="s">
        <v>34</v>
      </c>
      <c r="R475" s="2">
        <f t="shared" si="229"/>
        <v>353837.64</v>
      </c>
      <c r="S475" s="2">
        <v>353837.64</v>
      </c>
      <c r="T475" s="2">
        <v>0</v>
      </c>
      <c r="U475" s="2">
        <f t="shared" si="230"/>
        <v>62441.96</v>
      </c>
      <c r="V475" s="28">
        <v>62441.96</v>
      </c>
      <c r="W475" s="28">
        <v>0</v>
      </c>
      <c r="X475" s="2">
        <f t="shared" si="231"/>
        <v>0</v>
      </c>
      <c r="Y475" s="2">
        <v>0</v>
      </c>
      <c r="Z475" s="2">
        <v>0</v>
      </c>
      <c r="AA475" s="2">
        <f t="shared" si="232"/>
        <v>8495.5</v>
      </c>
      <c r="AB475" s="2">
        <v>8495.5</v>
      </c>
      <c r="AC475" s="2">
        <v>0</v>
      </c>
      <c r="AD475" s="16">
        <f t="shared" si="227"/>
        <v>424775.10000000003</v>
      </c>
      <c r="AE475" s="2">
        <v>0</v>
      </c>
      <c r="AF475" s="2">
        <f t="shared" si="233"/>
        <v>424775.10000000003</v>
      </c>
      <c r="AG475" s="38" t="s">
        <v>486</v>
      </c>
      <c r="AH475" s="29"/>
      <c r="AI475" s="118">
        <v>42477</v>
      </c>
      <c r="AJ475" s="30">
        <v>0</v>
      </c>
      <c r="AK475" s="179"/>
    </row>
    <row r="476" spans="1:37" s="43" customFormat="1" ht="204.75" x14ac:dyDescent="0.25">
      <c r="A476" s="6">
        <v>473</v>
      </c>
      <c r="B476" s="31">
        <v>151558</v>
      </c>
      <c r="C476" s="11">
        <v>1012</v>
      </c>
      <c r="D476" s="11" t="s">
        <v>1639</v>
      </c>
      <c r="E476" s="24" t="s">
        <v>2271</v>
      </c>
      <c r="F476" s="31" t="s">
        <v>2352</v>
      </c>
      <c r="G476" s="27" t="s">
        <v>2351</v>
      </c>
      <c r="H476" s="8" t="s">
        <v>151</v>
      </c>
      <c r="I476" s="46" t="s">
        <v>2896</v>
      </c>
      <c r="J476" s="25">
        <v>44742</v>
      </c>
      <c r="K476" s="25">
        <v>45107</v>
      </c>
      <c r="L476" s="26">
        <f t="shared" si="228"/>
        <v>83.300000235320155</v>
      </c>
      <c r="M476" s="11">
        <v>3</v>
      </c>
      <c r="N476" s="11" t="s">
        <v>254</v>
      </c>
      <c r="O476" s="11" t="s">
        <v>865</v>
      </c>
      <c r="P476" s="11" t="s">
        <v>274</v>
      </c>
      <c r="Q476" s="11" t="s">
        <v>34</v>
      </c>
      <c r="R476" s="2">
        <f t="shared" si="229"/>
        <v>353985.85</v>
      </c>
      <c r="S476" s="2">
        <v>353985.85</v>
      </c>
      <c r="T476" s="2">
        <v>0</v>
      </c>
      <c r="U476" s="2">
        <f t="shared" si="230"/>
        <v>62468.09</v>
      </c>
      <c r="V476" s="28">
        <v>62468.09</v>
      </c>
      <c r="W476" s="28">
        <v>0</v>
      </c>
      <c r="X476" s="2">
        <f t="shared" si="231"/>
        <v>0</v>
      </c>
      <c r="Y476" s="2">
        <v>0</v>
      </c>
      <c r="Z476" s="2">
        <v>0</v>
      </c>
      <c r="AA476" s="2">
        <f t="shared" si="232"/>
        <v>8499.06</v>
      </c>
      <c r="AB476" s="2">
        <v>8499.06</v>
      </c>
      <c r="AC476" s="2">
        <v>0</v>
      </c>
      <c r="AD476" s="16">
        <f t="shared" si="227"/>
        <v>424952.99999999994</v>
      </c>
      <c r="AE476" s="2">
        <v>0</v>
      </c>
      <c r="AF476" s="2">
        <f t="shared" si="233"/>
        <v>424952.99999999994</v>
      </c>
      <c r="AG476" s="38" t="s">
        <v>486</v>
      </c>
      <c r="AH476" s="29"/>
      <c r="AI476" s="118">
        <v>0</v>
      </c>
      <c r="AJ476" s="30">
        <v>0</v>
      </c>
      <c r="AK476" s="179"/>
    </row>
    <row r="477" spans="1:37" s="43" customFormat="1" ht="362.25" x14ac:dyDescent="0.25">
      <c r="A477" s="6">
        <v>474</v>
      </c>
      <c r="B477" s="31">
        <v>151288</v>
      </c>
      <c r="C477" s="11">
        <v>1048</v>
      </c>
      <c r="D477" s="11" t="s">
        <v>1639</v>
      </c>
      <c r="E477" s="24" t="s">
        <v>2271</v>
      </c>
      <c r="F477" s="31" t="s">
        <v>2354</v>
      </c>
      <c r="G477" s="27" t="s">
        <v>2353</v>
      </c>
      <c r="H477" s="11" t="s">
        <v>2355</v>
      </c>
      <c r="I477" s="46" t="s">
        <v>2897</v>
      </c>
      <c r="J477" s="25">
        <v>44739</v>
      </c>
      <c r="K477" s="25">
        <v>45165</v>
      </c>
      <c r="L477" s="26">
        <f t="shared" si="228"/>
        <v>83.299999764693155</v>
      </c>
      <c r="M477" s="11">
        <v>4</v>
      </c>
      <c r="N477" s="11" t="s">
        <v>268</v>
      </c>
      <c r="O477" s="11" t="s">
        <v>2356</v>
      </c>
      <c r="P477" s="11" t="s">
        <v>274</v>
      </c>
      <c r="Q477" s="11" t="s">
        <v>34</v>
      </c>
      <c r="R477" s="2">
        <f t="shared" si="229"/>
        <v>354005.84</v>
      </c>
      <c r="S477" s="2">
        <v>354005.84</v>
      </c>
      <c r="T477" s="2">
        <v>0</v>
      </c>
      <c r="U477" s="2">
        <f t="shared" si="230"/>
        <v>62471.62</v>
      </c>
      <c r="V477" s="28">
        <v>62471.62</v>
      </c>
      <c r="W477" s="28">
        <v>0</v>
      </c>
      <c r="X477" s="2">
        <f t="shared" si="231"/>
        <v>0</v>
      </c>
      <c r="Y477" s="2">
        <v>0</v>
      </c>
      <c r="Z477" s="2">
        <v>0</v>
      </c>
      <c r="AA477" s="2">
        <f t="shared" si="232"/>
        <v>8499.5400000000009</v>
      </c>
      <c r="AB477" s="2">
        <v>8499.5400000000009</v>
      </c>
      <c r="AC477" s="2">
        <v>0</v>
      </c>
      <c r="AD477" s="16">
        <f t="shared" si="227"/>
        <v>424977</v>
      </c>
      <c r="AE477" s="2">
        <v>0</v>
      </c>
      <c r="AF477" s="2">
        <f t="shared" si="233"/>
        <v>424977</v>
      </c>
      <c r="AG477" s="38" t="s">
        <v>486</v>
      </c>
      <c r="AH477" s="29"/>
      <c r="AI477" s="118">
        <v>42000</v>
      </c>
      <c r="AJ477" s="30">
        <v>0</v>
      </c>
      <c r="AK477" s="179"/>
    </row>
    <row r="478" spans="1:37" s="43" customFormat="1" ht="141.75" x14ac:dyDescent="0.25">
      <c r="A478" s="6">
        <v>475</v>
      </c>
      <c r="B478" s="31">
        <v>150283</v>
      </c>
      <c r="C478" s="11">
        <v>899</v>
      </c>
      <c r="D478" s="11" t="s">
        <v>1639</v>
      </c>
      <c r="E478" s="24" t="s">
        <v>2271</v>
      </c>
      <c r="F478" s="31" t="s">
        <v>2358</v>
      </c>
      <c r="G478" s="27" t="s">
        <v>2357</v>
      </c>
      <c r="H478" s="8" t="s">
        <v>151</v>
      </c>
      <c r="I478" s="46" t="s">
        <v>2898</v>
      </c>
      <c r="J478" s="25">
        <v>44743</v>
      </c>
      <c r="K478" s="25">
        <v>45170</v>
      </c>
      <c r="L478" s="26">
        <f t="shared" si="228"/>
        <v>83.300003015250923</v>
      </c>
      <c r="M478" s="11">
        <v>3</v>
      </c>
      <c r="N478" s="11" t="s">
        <v>189</v>
      </c>
      <c r="O478" s="11" t="s">
        <v>708</v>
      </c>
      <c r="P478" s="11" t="s">
        <v>274</v>
      </c>
      <c r="Q478" s="11" t="s">
        <v>34</v>
      </c>
      <c r="R478" s="2">
        <f t="shared" si="229"/>
        <v>280129.93</v>
      </c>
      <c r="S478" s="2">
        <v>280129.93</v>
      </c>
      <c r="T478" s="2">
        <v>0</v>
      </c>
      <c r="U478" s="2">
        <f t="shared" si="230"/>
        <v>49434.68</v>
      </c>
      <c r="V478" s="28">
        <v>49434.68</v>
      </c>
      <c r="W478" s="28">
        <v>0</v>
      </c>
      <c r="X478" s="2">
        <f t="shared" si="231"/>
        <v>0</v>
      </c>
      <c r="Y478" s="2">
        <v>0</v>
      </c>
      <c r="Z478" s="2">
        <v>0</v>
      </c>
      <c r="AA478" s="2">
        <f t="shared" si="232"/>
        <v>6725.81</v>
      </c>
      <c r="AB478" s="2">
        <v>6725.81</v>
      </c>
      <c r="AC478" s="2">
        <v>0</v>
      </c>
      <c r="AD478" s="16">
        <f t="shared" si="227"/>
        <v>336290.42</v>
      </c>
      <c r="AE478" s="2">
        <v>0</v>
      </c>
      <c r="AF478" s="2">
        <f t="shared" si="233"/>
        <v>336290.42</v>
      </c>
      <c r="AG478" s="38" t="s">
        <v>486</v>
      </c>
      <c r="AH478" s="29"/>
      <c r="AI478" s="118">
        <v>33629.040000000001</v>
      </c>
      <c r="AJ478" s="30">
        <v>0</v>
      </c>
      <c r="AK478" s="179"/>
    </row>
    <row r="479" spans="1:37" s="43" customFormat="1" ht="173.25" x14ac:dyDescent="0.25">
      <c r="A479" s="6">
        <v>476</v>
      </c>
      <c r="B479" s="31">
        <v>151338</v>
      </c>
      <c r="C479" s="11">
        <v>912</v>
      </c>
      <c r="D479" s="11" t="s">
        <v>1639</v>
      </c>
      <c r="E479" s="24" t="s">
        <v>2271</v>
      </c>
      <c r="F479" s="31" t="s">
        <v>2366</v>
      </c>
      <c r="G479" s="27" t="s">
        <v>2365</v>
      </c>
      <c r="H479" s="8" t="s">
        <v>151</v>
      </c>
      <c r="I479" s="46" t="s">
        <v>2899</v>
      </c>
      <c r="J479" s="25">
        <v>44749</v>
      </c>
      <c r="K479" s="25">
        <v>45176</v>
      </c>
      <c r="L479" s="26">
        <f t="shared" si="228"/>
        <v>83.299999474718931</v>
      </c>
      <c r="M479" s="11">
        <v>2</v>
      </c>
      <c r="N479" s="11" t="s">
        <v>280</v>
      </c>
      <c r="O479" s="11" t="s">
        <v>2367</v>
      </c>
      <c r="P479" s="11" t="s">
        <v>274</v>
      </c>
      <c r="Q479" s="11" t="s">
        <v>34</v>
      </c>
      <c r="R479" s="2">
        <f t="shared" si="229"/>
        <v>348879.89</v>
      </c>
      <c r="S479" s="2">
        <v>348879.89</v>
      </c>
      <c r="T479" s="2">
        <v>0</v>
      </c>
      <c r="U479" s="2">
        <f t="shared" si="230"/>
        <v>61567.05</v>
      </c>
      <c r="V479" s="28">
        <v>61567.05</v>
      </c>
      <c r="W479" s="28">
        <v>0</v>
      </c>
      <c r="X479" s="2">
        <f t="shared" si="231"/>
        <v>0</v>
      </c>
      <c r="Y479" s="2">
        <v>0</v>
      </c>
      <c r="Z479" s="2">
        <v>0</v>
      </c>
      <c r="AA479" s="2">
        <f t="shared" si="232"/>
        <v>8376.4599999999991</v>
      </c>
      <c r="AB479" s="2">
        <v>8376.4599999999991</v>
      </c>
      <c r="AC479" s="2">
        <v>0</v>
      </c>
      <c r="AD479" s="16">
        <f t="shared" si="227"/>
        <v>418823.4</v>
      </c>
      <c r="AE479" s="2">
        <v>0</v>
      </c>
      <c r="AF479" s="2">
        <f t="shared" si="233"/>
        <v>418823.4</v>
      </c>
      <c r="AG479" s="38" t="s">
        <v>486</v>
      </c>
      <c r="AH479" s="29"/>
      <c r="AI479" s="118">
        <v>41044.69</v>
      </c>
      <c r="AJ479" s="30">
        <v>0</v>
      </c>
      <c r="AK479" s="179"/>
    </row>
    <row r="480" spans="1:37" s="43" customFormat="1" ht="236.25" x14ac:dyDescent="0.25">
      <c r="A480" s="6">
        <v>477</v>
      </c>
      <c r="B480" s="31">
        <v>150967</v>
      </c>
      <c r="C480" s="11">
        <v>955</v>
      </c>
      <c r="D480" s="11" t="s">
        <v>1639</v>
      </c>
      <c r="E480" s="24" t="s">
        <v>2271</v>
      </c>
      <c r="F480" s="31" t="s">
        <v>2372</v>
      </c>
      <c r="G480" s="27" t="s">
        <v>2371</v>
      </c>
      <c r="H480" s="8" t="s">
        <v>151</v>
      </c>
      <c r="I480" s="46" t="s">
        <v>2376</v>
      </c>
      <c r="J480" s="25">
        <v>44746</v>
      </c>
      <c r="K480" s="25">
        <v>45111</v>
      </c>
      <c r="L480" s="26">
        <f t="shared" si="228"/>
        <v>83.299998362409966</v>
      </c>
      <c r="M480" s="11" t="s">
        <v>2373</v>
      </c>
      <c r="N480" s="11" t="s">
        <v>2374</v>
      </c>
      <c r="O480" s="11" t="s">
        <v>2375</v>
      </c>
      <c r="P480" s="11" t="s">
        <v>274</v>
      </c>
      <c r="Q480" s="11" t="s">
        <v>34</v>
      </c>
      <c r="R480" s="2">
        <f t="shared" si="229"/>
        <v>353528.65</v>
      </c>
      <c r="S480" s="2">
        <v>353528.65</v>
      </c>
      <c r="T480" s="2">
        <v>0</v>
      </c>
      <c r="U480" s="2">
        <f t="shared" si="230"/>
        <v>62387.41</v>
      </c>
      <c r="V480" s="28">
        <v>62387.41</v>
      </c>
      <c r="W480" s="28">
        <v>0</v>
      </c>
      <c r="X480" s="2">
        <f t="shared" si="231"/>
        <v>0</v>
      </c>
      <c r="Y480" s="2">
        <v>0</v>
      </c>
      <c r="Z480" s="2">
        <v>0</v>
      </c>
      <c r="AA480" s="2">
        <f t="shared" si="232"/>
        <v>8488.09</v>
      </c>
      <c r="AB480" s="2">
        <v>8488.09</v>
      </c>
      <c r="AC480" s="2">
        <v>0</v>
      </c>
      <c r="AD480" s="16">
        <f t="shared" si="227"/>
        <v>424404.15000000008</v>
      </c>
      <c r="AE480" s="2">
        <v>0</v>
      </c>
      <c r="AF480" s="2">
        <f t="shared" si="233"/>
        <v>424404.15000000008</v>
      </c>
      <c r="AG480" s="38" t="s">
        <v>486</v>
      </c>
      <c r="AH480" s="29"/>
      <c r="AI480" s="118">
        <v>42440.41</v>
      </c>
      <c r="AJ480" s="30">
        <v>0</v>
      </c>
      <c r="AK480" s="179"/>
    </row>
    <row r="481" spans="1:37" s="43" customFormat="1" ht="236.25" x14ac:dyDescent="0.25">
      <c r="A481" s="6">
        <v>478</v>
      </c>
      <c r="B481" s="31">
        <v>150850</v>
      </c>
      <c r="C481" s="11">
        <v>966</v>
      </c>
      <c r="D481" s="11" t="s">
        <v>1639</v>
      </c>
      <c r="E481" s="24" t="s">
        <v>2271</v>
      </c>
      <c r="F481" s="31" t="s">
        <v>2378</v>
      </c>
      <c r="G481" s="27" t="s">
        <v>2377</v>
      </c>
      <c r="H481" s="8" t="s">
        <v>151</v>
      </c>
      <c r="I481" s="46" t="s">
        <v>2379</v>
      </c>
      <c r="J481" s="25">
        <v>44746</v>
      </c>
      <c r="K481" s="25">
        <v>45173</v>
      </c>
      <c r="L481" s="26">
        <f t="shared" si="228"/>
        <v>83.3</v>
      </c>
      <c r="M481" s="11">
        <v>7</v>
      </c>
      <c r="N481" s="11" t="s">
        <v>416</v>
      </c>
      <c r="O481" s="11" t="s">
        <v>678</v>
      </c>
      <c r="P481" s="11" t="s">
        <v>274</v>
      </c>
      <c r="Q481" s="11" t="s">
        <v>34</v>
      </c>
      <c r="R481" s="2">
        <f t="shared" si="229"/>
        <v>329901.32</v>
      </c>
      <c r="S481" s="2">
        <v>329901.32</v>
      </c>
      <c r="T481" s="2">
        <v>0</v>
      </c>
      <c r="U481" s="2">
        <f t="shared" si="230"/>
        <v>58217.88</v>
      </c>
      <c r="V481" s="28">
        <v>58217.88</v>
      </c>
      <c r="W481" s="28">
        <v>0</v>
      </c>
      <c r="X481" s="2">
        <f t="shared" si="231"/>
        <v>0</v>
      </c>
      <c r="Y481" s="2">
        <v>0</v>
      </c>
      <c r="Z481" s="2">
        <v>0</v>
      </c>
      <c r="AA481" s="2">
        <f t="shared" si="232"/>
        <v>7920.8</v>
      </c>
      <c r="AB481" s="2">
        <v>7920.8</v>
      </c>
      <c r="AC481" s="2">
        <v>0</v>
      </c>
      <c r="AD481" s="16">
        <f t="shared" si="227"/>
        <v>396040</v>
      </c>
      <c r="AE481" s="2">
        <v>62662</v>
      </c>
      <c r="AF481" s="2">
        <f t="shared" si="233"/>
        <v>458702</v>
      </c>
      <c r="AG481" s="38" t="s">
        <v>486</v>
      </c>
      <c r="AH481" s="29"/>
      <c r="AI481" s="118">
        <v>0</v>
      </c>
      <c r="AJ481" s="30">
        <v>0</v>
      </c>
      <c r="AK481" s="179"/>
    </row>
    <row r="482" spans="1:37" s="43" customFormat="1" ht="157.5" x14ac:dyDescent="0.25">
      <c r="A482" s="6">
        <v>479</v>
      </c>
      <c r="B482" s="31">
        <v>151233</v>
      </c>
      <c r="C482" s="11">
        <v>1045</v>
      </c>
      <c r="D482" s="11" t="s">
        <v>1639</v>
      </c>
      <c r="E482" s="24" t="s">
        <v>2271</v>
      </c>
      <c r="F482" s="31" t="s">
        <v>2381</v>
      </c>
      <c r="G482" s="27" t="s">
        <v>2380</v>
      </c>
      <c r="H482" s="8" t="s">
        <v>151</v>
      </c>
      <c r="I482" s="46" t="s">
        <v>2382</v>
      </c>
      <c r="J482" s="25">
        <v>44748</v>
      </c>
      <c r="K482" s="25">
        <v>45175</v>
      </c>
      <c r="L482" s="26">
        <f t="shared" si="228"/>
        <v>83.300002526446505</v>
      </c>
      <c r="M482" s="11">
        <v>7</v>
      </c>
      <c r="N482" s="11" t="s">
        <v>752</v>
      </c>
      <c r="O482" s="11" t="s">
        <v>2383</v>
      </c>
      <c r="P482" s="11" t="s">
        <v>274</v>
      </c>
      <c r="Q482" s="11" t="s">
        <v>34</v>
      </c>
      <c r="R482" s="2">
        <f t="shared" si="229"/>
        <v>353781.1</v>
      </c>
      <c r="S482" s="2">
        <v>353781.1</v>
      </c>
      <c r="T482" s="2">
        <v>0</v>
      </c>
      <c r="U482" s="2">
        <f t="shared" si="230"/>
        <v>62431.95</v>
      </c>
      <c r="V482" s="28">
        <v>62431.95</v>
      </c>
      <c r="W482" s="28">
        <v>0</v>
      </c>
      <c r="X482" s="2">
        <f t="shared" si="231"/>
        <v>0</v>
      </c>
      <c r="Y482" s="2">
        <v>0</v>
      </c>
      <c r="Z482" s="2">
        <v>0</v>
      </c>
      <c r="AA482" s="2">
        <f t="shared" si="232"/>
        <v>8494.14</v>
      </c>
      <c r="AB482" s="2">
        <v>8494.14</v>
      </c>
      <c r="AC482" s="2">
        <v>0</v>
      </c>
      <c r="AD482" s="16">
        <f t="shared" si="227"/>
        <v>424707.19</v>
      </c>
      <c r="AE482" s="2">
        <v>0</v>
      </c>
      <c r="AF482" s="2">
        <f t="shared" si="233"/>
        <v>424707.19</v>
      </c>
      <c r="AG482" s="38" t="s">
        <v>486</v>
      </c>
      <c r="AH482" s="29"/>
      <c r="AI482" s="118">
        <v>42470.71</v>
      </c>
      <c r="AJ482" s="30">
        <v>0</v>
      </c>
      <c r="AK482" s="179"/>
    </row>
    <row r="483" spans="1:37" s="43" customFormat="1" ht="141.75" x14ac:dyDescent="0.25">
      <c r="A483" s="6">
        <v>480</v>
      </c>
      <c r="B483" s="31">
        <v>151108</v>
      </c>
      <c r="C483" s="11">
        <v>988</v>
      </c>
      <c r="D483" s="11" t="s">
        <v>1639</v>
      </c>
      <c r="E483" s="24" t="s">
        <v>2271</v>
      </c>
      <c r="F483" s="31" t="s">
        <v>2397</v>
      </c>
      <c r="G483" s="27" t="s">
        <v>2395</v>
      </c>
      <c r="H483" s="8" t="s">
        <v>151</v>
      </c>
      <c r="I483" s="46" t="s">
        <v>2900</v>
      </c>
      <c r="J483" s="25">
        <v>44753</v>
      </c>
      <c r="K483" s="25">
        <v>44874</v>
      </c>
      <c r="L483" s="26">
        <f t="shared" si="228"/>
        <v>83.30000026502492</v>
      </c>
      <c r="M483" s="11">
        <v>7</v>
      </c>
      <c r="N483" s="11" t="s">
        <v>660</v>
      </c>
      <c r="O483" s="11" t="s">
        <v>660</v>
      </c>
      <c r="P483" s="11" t="s">
        <v>274</v>
      </c>
      <c r="Q483" s="11" t="s">
        <v>34</v>
      </c>
      <c r="R483" s="2">
        <f t="shared" si="229"/>
        <v>314310.06</v>
      </c>
      <c r="S483" s="2">
        <v>314310.06</v>
      </c>
      <c r="T483" s="2">
        <v>0</v>
      </c>
      <c r="U483" s="2">
        <f t="shared" si="230"/>
        <v>55466.48</v>
      </c>
      <c r="V483" s="28">
        <v>55466.48</v>
      </c>
      <c r="W483" s="28">
        <v>0</v>
      </c>
      <c r="X483" s="2">
        <f t="shared" si="231"/>
        <v>0</v>
      </c>
      <c r="Y483" s="2">
        <v>0</v>
      </c>
      <c r="Z483" s="2">
        <v>0</v>
      </c>
      <c r="AA483" s="2">
        <f t="shared" si="232"/>
        <v>7546.46</v>
      </c>
      <c r="AB483" s="2">
        <v>7546.46</v>
      </c>
      <c r="AC483" s="2">
        <v>0</v>
      </c>
      <c r="AD483" s="16">
        <f t="shared" si="227"/>
        <v>377323</v>
      </c>
      <c r="AE483" s="2">
        <v>0</v>
      </c>
      <c r="AF483" s="2">
        <f t="shared" si="233"/>
        <v>377323</v>
      </c>
      <c r="AG483" s="38" t="s">
        <v>486</v>
      </c>
      <c r="AH483" s="29"/>
      <c r="AI483" s="118">
        <v>37732.300000000003</v>
      </c>
      <c r="AJ483" s="30">
        <v>0</v>
      </c>
      <c r="AK483" s="179"/>
    </row>
    <row r="484" spans="1:37" s="43" customFormat="1" ht="152.25" customHeight="1" x14ac:dyDescent="0.25">
      <c r="A484" s="6">
        <v>481</v>
      </c>
      <c r="B484" s="31">
        <v>151210</v>
      </c>
      <c r="C484" s="11">
        <v>995</v>
      </c>
      <c r="D484" s="11" t="s">
        <v>1639</v>
      </c>
      <c r="E484" s="24" t="s">
        <v>2271</v>
      </c>
      <c r="F484" s="31" t="s">
        <v>2398</v>
      </c>
      <c r="G484" s="27" t="s">
        <v>699</v>
      </c>
      <c r="H484" s="11" t="s">
        <v>2399</v>
      </c>
      <c r="I484" s="46" t="s">
        <v>2403</v>
      </c>
      <c r="J484" s="25">
        <v>44753</v>
      </c>
      <c r="K484" s="25">
        <v>44874</v>
      </c>
      <c r="L484" s="26">
        <f t="shared" si="228"/>
        <v>83.299999599491557</v>
      </c>
      <c r="M484" s="11" t="s">
        <v>2400</v>
      </c>
      <c r="N484" s="11" t="s">
        <v>2401</v>
      </c>
      <c r="O484" s="11" t="s">
        <v>2401</v>
      </c>
      <c r="P484" s="11" t="s">
        <v>274</v>
      </c>
      <c r="Q484" s="11" t="s">
        <v>34</v>
      </c>
      <c r="R484" s="2">
        <f t="shared" si="229"/>
        <v>347336</v>
      </c>
      <c r="S484" s="2">
        <v>347336</v>
      </c>
      <c r="T484" s="2">
        <v>0</v>
      </c>
      <c r="U484" s="2">
        <f t="shared" si="230"/>
        <v>61294.59</v>
      </c>
      <c r="V484" s="28">
        <v>61294.59</v>
      </c>
      <c r="W484" s="28">
        <v>0</v>
      </c>
      <c r="X484" s="2">
        <f t="shared" si="231"/>
        <v>0</v>
      </c>
      <c r="Y484" s="2">
        <v>0</v>
      </c>
      <c r="Z484" s="2">
        <v>0</v>
      </c>
      <c r="AA484" s="2">
        <f t="shared" si="232"/>
        <v>8339.4</v>
      </c>
      <c r="AB484" s="2">
        <v>8339.4</v>
      </c>
      <c r="AC484" s="2">
        <v>0</v>
      </c>
      <c r="AD484" s="16">
        <f t="shared" si="227"/>
        <v>416969.99</v>
      </c>
      <c r="AE484" s="2">
        <v>0</v>
      </c>
      <c r="AF484" s="2">
        <f t="shared" si="233"/>
        <v>416969.99</v>
      </c>
      <c r="AG484" s="38" t="s">
        <v>486</v>
      </c>
      <c r="AH484" s="29"/>
      <c r="AI484" s="118">
        <v>41696.99</v>
      </c>
      <c r="AJ484" s="30">
        <v>0</v>
      </c>
      <c r="AK484" s="179"/>
    </row>
    <row r="485" spans="1:37" s="43" customFormat="1" ht="152.25" customHeight="1" x14ac:dyDescent="0.25">
      <c r="A485" s="6">
        <v>482</v>
      </c>
      <c r="B485" s="31">
        <v>151412</v>
      </c>
      <c r="C485" s="11">
        <v>1041</v>
      </c>
      <c r="D485" s="11" t="s">
        <v>1639</v>
      </c>
      <c r="E485" s="24" t="s">
        <v>2271</v>
      </c>
      <c r="F485" s="31" t="s">
        <v>2402</v>
      </c>
      <c r="G485" s="27" t="s">
        <v>2384</v>
      </c>
      <c r="H485" s="8" t="s">
        <v>151</v>
      </c>
      <c r="I485" s="46" t="s">
        <v>2404</v>
      </c>
      <c r="J485" s="25">
        <v>44753</v>
      </c>
      <c r="K485" s="25">
        <v>45118</v>
      </c>
      <c r="L485" s="26">
        <f t="shared" si="228"/>
        <v>83.30000300477721</v>
      </c>
      <c r="M485" s="11">
        <v>3</v>
      </c>
      <c r="N485" s="11" t="s">
        <v>254</v>
      </c>
      <c r="O485" s="11" t="s">
        <v>254</v>
      </c>
      <c r="P485" s="11" t="s">
        <v>274</v>
      </c>
      <c r="Q485" s="11" t="s">
        <v>34</v>
      </c>
      <c r="R485" s="2">
        <f t="shared" si="229"/>
        <v>349858.23</v>
      </c>
      <c r="S485" s="2">
        <v>349858.23</v>
      </c>
      <c r="T485" s="2">
        <v>0</v>
      </c>
      <c r="U485" s="2">
        <f t="shared" si="230"/>
        <v>61739.66</v>
      </c>
      <c r="V485" s="28">
        <v>61739.66</v>
      </c>
      <c r="W485" s="28">
        <v>0</v>
      </c>
      <c r="X485" s="2">
        <f t="shared" si="231"/>
        <v>0</v>
      </c>
      <c r="Y485" s="2">
        <v>0</v>
      </c>
      <c r="Z485" s="2">
        <v>0</v>
      </c>
      <c r="AA485" s="2">
        <f t="shared" si="232"/>
        <v>8399.9699999999993</v>
      </c>
      <c r="AB485" s="2">
        <v>8399.9699999999993</v>
      </c>
      <c r="AC485" s="2">
        <v>0</v>
      </c>
      <c r="AD485" s="16">
        <f t="shared" si="227"/>
        <v>419997.86</v>
      </c>
      <c r="AE485" s="2">
        <v>0</v>
      </c>
      <c r="AF485" s="2">
        <f t="shared" si="233"/>
        <v>419997.86</v>
      </c>
      <c r="AG485" s="38" t="s">
        <v>486</v>
      </c>
      <c r="AH485" s="29"/>
      <c r="AI485" s="118">
        <v>41990</v>
      </c>
      <c r="AJ485" s="30">
        <v>0</v>
      </c>
      <c r="AK485" s="179"/>
    </row>
    <row r="486" spans="1:37" s="43" customFormat="1" ht="152.25" customHeight="1" x14ac:dyDescent="0.25">
      <c r="A486" s="6">
        <v>483</v>
      </c>
      <c r="B486" s="31">
        <v>151235</v>
      </c>
      <c r="C486" s="11">
        <v>1046</v>
      </c>
      <c r="D486" s="11" t="s">
        <v>1639</v>
      </c>
      <c r="E486" s="24" t="s">
        <v>2271</v>
      </c>
      <c r="F486" s="31" t="s">
        <v>2406</v>
      </c>
      <c r="G486" s="27" t="s">
        <v>2405</v>
      </c>
      <c r="H486" s="11" t="s">
        <v>2407</v>
      </c>
      <c r="I486" s="46" t="s">
        <v>2901</v>
      </c>
      <c r="J486" s="25">
        <v>44753</v>
      </c>
      <c r="K486" s="25">
        <v>44874</v>
      </c>
      <c r="L486" s="26">
        <f t="shared" si="228"/>
        <v>83.300000470803155</v>
      </c>
      <c r="M486" s="11">
        <v>4</v>
      </c>
      <c r="N486" s="11" t="s">
        <v>248</v>
      </c>
      <c r="O486" s="11" t="s">
        <v>248</v>
      </c>
      <c r="P486" s="11" t="s">
        <v>274</v>
      </c>
      <c r="Q486" s="11" t="s">
        <v>34</v>
      </c>
      <c r="R486" s="2">
        <f t="shared" si="229"/>
        <v>353863.4</v>
      </c>
      <c r="S486" s="2">
        <v>353863.4</v>
      </c>
      <c r="T486" s="2">
        <v>0</v>
      </c>
      <c r="U486" s="2">
        <f t="shared" si="230"/>
        <v>62446.48</v>
      </c>
      <c r="V486" s="28">
        <v>62446.48</v>
      </c>
      <c r="W486" s="28">
        <v>0</v>
      </c>
      <c r="X486" s="2">
        <f t="shared" si="231"/>
        <v>0</v>
      </c>
      <c r="Y486" s="2">
        <v>0</v>
      </c>
      <c r="Z486" s="2">
        <v>0</v>
      </c>
      <c r="AA486" s="2">
        <f t="shared" si="232"/>
        <v>8496.1200000000008</v>
      </c>
      <c r="AB486" s="2">
        <v>8496.1200000000008</v>
      </c>
      <c r="AC486" s="2">
        <v>0</v>
      </c>
      <c r="AD486" s="16">
        <f t="shared" si="227"/>
        <v>424806</v>
      </c>
      <c r="AE486" s="2">
        <v>0</v>
      </c>
      <c r="AF486" s="2">
        <f t="shared" si="233"/>
        <v>424806</v>
      </c>
      <c r="AG486" s="38" t="s">
        <v>486</v>
      </c>
      <c r="AH486" s="29"/>
      <c r="AI486" s="118">
        <v>42479.95</v>
      </c>
      <c r="AJ486" s="30">
        <v>0</v>
      </c>
      <c r="AK486" s="179"/>
    </row>
    <row r="487" spans="1:37" s="43" customFormat="1" ht="152.25" customHeight="1" x14ac:dyDescent="0.25">
      <c r="A487" s="6">
        <v>484</v>
      </c>
      <c r="B487" s="31">
        <v>151454</v>
      </c>
      <c r="C487" s="11">
        <v>1054</v>
      </c>
      <c r="D487" s="11" t="s">
        <v>1639</v>
      </c>
      <c r="E487" s="24" t="s">
        <v>2271</v>
      </c>
      <c r="F487" s="31" t="s">
        <v>2408</v>
      </c>
      <c r="G487" s="27" t="s">
        <v>1266</v>
      </c>
      <c r="H487" s="8" t="s">
        <v>151</v>
      </c>
      <c r="I487" s="46" t="s">
        <v>2409</v>
      </c>
      <c r="J487" s="25">
        <v>44753</v>
      </c>
      <c r="K487" s="25">
        <v>45118</v>
      </c>
      <c r="L487" s="26">
        <f t="shared" si="228"/>
        <v>83.300001366926054</v>
      </c>
      <c r="M487" s="11">
        <v>7</v>
      </c>
      <c r="N487" s="11" t="s">
        <v>226</v>
      </c>
      <c r="O487" s="11" t="s">
        <v>226</v>
      </c>
      <c r="P487" s="11" t="s">
        <v>274</v>
      </c>
      <c r="Q487" s="11" t="s">
        <v>34</v>
      </c>
      <c r="R487" s="2">
        <f t="shared" si="229"/>
        <v>316886.2</v>
      </c>
      <c r="S487" s="2">
        <v>316886.2</v>
      </c>
      <c r="T487" s="2">
        <v>0</v>
      </c>
      <c r="U487" s="2">
        <f t="shared" si="230"/>
        <v>55921.09</v>
      </c>
      <c r="V487" s="28">
        <v>55921.09</v>
      </c>
      <c r="W487" s="28">
        <v>0</v>
      </c>
      <c r="X487" s="2">
        <f t="shared" si="231"/>
        <v>0</v>
      </c>
      <c r="Y487" s="2">
        <v>0</v>
      </c>
      <c r="Z487" s="2">
        <v>0</v>
      </c>
      <c r="AA487" s="2">
        <f t="shared" si="232"/>
        <v>7608.31</v>
      </c>
      <c r="AB487" s="2">
        <v>7608.31</v>
      </c>
      <c r="AC487" s="2">
        <v>0</v>
      </c>
      <c r="AD487" s="16">
        <f t="shared" si="227"/>
        <v>380415.60000000003</v>
      </c>
      <c r="AE487" s="2">
        <v>0</v>
      </c>
      <c r="AF487" s="2">
        <f t="shared" si="233"/>
        <v>380415.60000000003</v>
      </c>
      <c r="AG487" s="38" t="s">
        <v>486</v>
      </c>
      <c r="AH487" s="29"/>
      <c r="AI487" s="118">
        <v>0</v>
      </c>
      <c r="AJ487" s="30">
        <v>0</v>
      </c>
      <c r="AK487" s="179"/>
    </row>
    <row r="488" spans="1:37" s="43" customFormat="1" ht="152.25" customHeight="1" x14ac:dyDescent="0.25">
      <c r="A488" s="6">
        <v>485</v>
      </c>
      <c r="B488" s="31">
        <v>151354</v>
      </c>
      <c r="C488" s="11">
        <v>875</v>
      </c>
      <c r="D488" s="11" t="s">
        <v>1639</v>
      </c>
      <c r="E488" s="24" t="s">
        <v>2271</v>
      </c>
      <c r="F488" s="31" t="s">
        <v>2411</v>
      </c>
      <c r="G488" s="27" t="s">
        <v>2410</v>
      </c>
      <c r="H488" s="8" t="s">
        <v>151</v>
      </c>
      <c r="I488" s="46" t="s">
        <v>2902</v>
      </c>
      <c r="J488" s="25">
        <v>44755</v>
      </c>
      <c r="K488" s="25">
        <v>45182</v>
      </c>
      <c r="L488" s="26">
        <f t="shared" si="228"/>
        <v>83.30000168597104</v>
      </c>
      <c r="M488" s="11">
        <v>1</v>
      </c>
      <c r="N488" s="11" t="s">
        <v>290</v>
      </c>
      <c r="O488" s="11" t="s">
        <v>2412</v>
      </c>
      <c r="P488" s="11" t="s">
        <v>274</v>
      </c>
      <c r="Q488" s="11" t="s">
        <v>34</v>
      </c>
      <c r="R488" s="2">
        <f t="shared" si="229"/>
        <v>345854.11</v>
      </c>
      <c r="S488" s="2">
        <v>345854.11</v>
      </c>
      <c r="T488" s="2">
        <v>0</v>
      </c>
      <c r="U488" s="2">
        <f t="shared" si="230"/>
        <v>61033.07</v>
      </c>
      <c r="V488" s="28">
        <v>61033.07</v>
      </c>
      <c r="W488" s="28">
        <v>0</v>
      </c>
      <c r="X488" s="2">
        <f t="shared" si="231"/>
        <v>0</v>
      </c>
      <c r="Y488" s="2">
        <v>0</v>
      </c>
      <c r="Z488" s="2">
        <v>0</v>
      </c>
      <c r="AA488" s="2">
        <f t="shared" si="232"/>
        <v>8303.82</v>
      </c>
      <c r="AB488" s="2">
        <v>8303.82</v>
      </c>
      <c r="AC488" s="2">
        <v>0</v>
      </c>
      <c r="AD488" s="16">
        <f t="shared" si="227"/>
        <v>415191</v>
      </c>
      <c r="AE488" s="2">
        <v>0</v>
      </c>
      <c r="AF488" s="2">
        <f t="shared" si="233"/>
        <v>415191</v>
      </c>
      <c r="AG488" s="38" t="s">
        <v>486</v>
      </c>
      <c r="AH488" s="29"/>
      <c r="AI488" s="118">
        <v>41519</v>
      </c>
      <c r="AJ488" s="30">
        <v>0</v>
      </c>
      <c r="AK488" s="179"/>
    </row>
    <row r="489" spans="1:37" s="43" customFormat="1" ht="152.25" customHeight="1" x14ac:dyDescent="0.25">
      <c r="A489" s="6">
        <v>486</v>
      </c>
      <c r="B489" s="31">
        <v>151315</v>
      </c>
      <c r="C489" s="11">
        <v>907</v>
      </c>
      <c r="D489" s="11" t="s">
        <v>1639</v>
      </c>
      <c r="E489" s="24" t="s">
        <v>2271</v>
      </c>
      <c r="F489" s="31" t="s">
        <v>2414</v>
      </c>
      <c r="G489" s="27" t="s">
        <v>2413</v>
      </c>
      <c r="H489" s="8" t="s">
        <v>151</v>
      </c>
      <c r="I489" s="46" t="s">
        <v>2903</v>
      </c>
      <c r="J489" s="25">
        <v>44755</v>
      </c>
      <c r="K489" s="25">
        <v>45090</v>
      </c>
      <c r="L489" s="26">
        <f t="shared" si="228"/>
        <v>83.299999314431147</v>
      </c>
      <c r="M489" s="11">
        <v>7</v>
      </c>
      <c r="N489" s="11" t="s">
        <v>660</v>
      </c>
      <c r="O489" s="11" t="s">
        <v>660</v>
      </c>
      <c r="P489" s="11" t="s">
        <v>274</v>
      </c>
      <c r="Q489" s="11" t="s">
        <v>34</v>
      </c>
      <c r="R489" s="2">
        <f t="shared" si="229"/>
        <v>334138.58</v>
      </c>
      <c r="S489" s="2">
        <v>334138.58</v>
      </c>
      <c r="T489" s="2">
        <v>0</v>
      </c>
      <c r="U489" s="2">
        <f t="shared" si="230"/>
        <v>58965.64</v>
      </c>
      <c r="V489" s="28">
        <v>58965.64</v>
      </c>
      <c r="W489" s="28">
        <v>0</v>
      </c>
      <c r="X489" s="2">
        <f t="shared" si="231"/>
        <v>0</v>
      </c>
      <c r="Y489" s="2">
        <v>0</v>
      </c>
      <c r="Z489" s="2">
        <v>0</v>
      </c>
      <c r="AA489" s="2">
        <f t="shared" si="232"/>
        <v>8022.53</v>
      </c>
      <c r="AB489" s="2">
        <v>8022.53</v>
      </c>
      <c r="AC489" s="2">
        <v>0</v>
      </c>
      <c r="AD489" s="16">
        <f t="shared" si="227"/>
        <v>401126.75000000006</v>
      </c>
      <c r="AE489" s="2">
        <v>0</v>
      </c>
      <c r="AF489" s="2">
        <f t="shared" si="233"/>
        <v>401126.75000000006</v>
      </c>
      <c r="AG489" s="38" t="s">
        <v>486</v>
      </c>
      <c r="AH489" s="29"/>
      <c r="AI489" s="118">
        <v>0</v>
      </c>
      <c r="AJ489" s="30">
        <v>0</v>
      </c>
      <c r="AK489" s="179"/>
    </row>
    <row r="490" spans="1:37" s="43" customFormat="1" ht="152.25" customHeight="1" x14ac:dyDescent="0.25">
      <c r="A490" s="6">
        <v>487</v>
      </c>
      <c r="B490" s="31">
        <v>150331</v>
      </c>
      <c r="C490" s="11">
        <v>925</v>
      </c>
      <c r="D490" s="11" t="s">
        <v>1639</v>
      </c>
      <c r="E490" s="24" t="s">
        <v>2271</v>
      </c>
      <c r="F490" s="31" t="s">
        <v>2416</v>
      </c>
      <c r="G490" s="27" t="s">
        <v>2415</v>
      </c>
      <c r="H490" s="8" t="s">
        <v>151</v>
      </c>
      <c r="I490" s="46" t="s">
        <v>2904</v>
      </c>
      <c r="J490" s="25">
        <v>44755</v>
      </c>
      <c r="K490" s="25">
        <v>45120</v>
      </c>
      <c r="L490" s="26">
        <f t="shared" si="228"/>
        <v>83.300000595029118</v>
      </c>
      <c r="M490" s="11">
        <v>5</v>
      </c>
      <c r="N490" s="11" t="s">
        <v>592</v>
      </c>
      <c r="O490" s="11" t="s">
        <v>2417</v>
      </c>
      <c r="P490" s="11" t="s">
        <v>274</v>
      </c>
      <c r="Q490" s="11" t="s">
        <v>34</v>
      </c>
      <c r="R490" s="2">
        <f t="shared" si="229"/>
        <v>349982.87</v>
      </c>
      <c r="S490" s="2">
        <v>349982.87</v>
      </c>
      <c r="T490" s="2">
        <v>0</v>
      </c>
      <c r="U490" s="2">
        <f t="shared" si="230"/>
        <v>61761.68</v>
      </c>
      <c r="V490" s="28">
        <v>61761.68</v>
      </c>
      <c r="W490" s="28">
        <v>0</v>
      </c>
      <c r="X490" s="2">
        <f t="shared" si="231"/>
        <v>0</v>
      </c>
      <c r="Y490" s="2">
        <v>0</v>
      </c>
      <c r="Z490" s="2">
        <v>0</v>
      </c>
      <c r="AA490" s="2">
        <f t="shared" si="232"/>
        <v>8402.9500000000007</v>
      </c>
      <c r="AB490" s="2">
        <v>8402.9500000000007</v>
      </c>
      <c r="AC490" s="2">
        <v>0</v>
      </c>
      <c r="AD490" s="16">
        <f t="shared" si="227"/>
        <v>420147.5</v>
      </c>
      <c r="AE490" s="2">
        <v>0</v>
      </c>
      <c r="AF490" s="2">
        <f t="shared" si="233"/>
        <v>420147.5</v>
      </c>
      <c r="AG490" s="38" t="s">
        <v>486</v>
      </c>
      <c r="AH490" s="29"/>
      <c r="AI490" s="118">
        <v>42014.75</v>
      </c>
      <c r="AJ490" s="30">
        <v>0</v>
      </c>
      <c r="AK490" s="179"/>
    </row>
    <row r="491" spans="1:37" s="43" customFormat="1" ht="152.25" customHeight="1" x14ac:dyDescent="0.25">
      <c r="A491" s="6">
        <v>488</v>
      </c>
      <c r="B491" s="31">
        <v>151301</v>
      </c>
      <c r="C491" s="11">
        <v>887</v>
      </c>
      <c r="D491" s="11" t="s">
        <v>1639</v>
      </c>
      <c r="E491" s="24" t="s">
        <v>2271</v>
      </c>
      <c r="F491" s="31" t="s">
        <v>2419</v>
      </c>
      <c r="G491" s="27" t="s">
        <v>2418</v>
      </c>
      <c r="H491" s="8" t="s">
        <v>151</v>
      </c>
      <c r="I491" s="46" t="s">
        <v>2905</v>
      </c>
      <c r="J491" s="25">
        <v>44755</v>
      </c>
      <c r="K491" s="25">
        <v>45182</v>
      </c>
      <c r="L491" s="26">
        <f t="shared" si="228"/>
        <v>83.300000484383489</v>
      </c>
      <c r="M491" s="11">
        <v>5</v>
      </c>
      <c r="N491" s="11" t="s">
        <v>285</v>
      </c>
      <c r="O491" s="11" t="s">
        <v>2420</v>
      </c>
      <c r="P491" s="11" t="s">
        <v>274</v>
      </c>
      <c r="Q491" s="11" t="s">
        <v>34</v>
      </c>
      <c r="R491" s="2">
        <f t="shared" si="229"/>
        <v>343942.37</v>
      </c>
      <c r="S491" s="2">
        <v>343942.37</v>
      </c>
      <c r="T491" s="2">
        <v>0</v>
      </c>
      <c r="U491" s="2">
        <f t="shared" si="230"/>
        <v>60695.72</v>
      </c>
      <c r="V491" s="28">
        <v>60695.72</v>
      </c>
      <c r="W491" s="28">
        <v>0</v>
      </c>
      <c r="X491" s="2">
        <f t="shared" si="231"/>
        <v>0</v>
      </c>
      <c r="Y491" s="2">
        <v>0</v>
      </c>
      <c r="Z491" s="2">
        <v>0</v>
      </c>
      <c r="AA491" s="2">
        <f t="shared" si="232"/>
        <v>8257.91</v>
      </c>
      <c r="AB491" s="2">
        <v>8257.91</v>
      </c>
      <c r="AC491" s="2">
        <v>0</v>
      </c>
      <c r="AD491" s="16">
        <f t="shared" si="227"/>
        <v>412895.99999999994</v>
      </c>
      <c r="AE491" s="2">
        <v>0</v>
      </c>
      <c r="AF491" s="2">
        <f t="shared" si="233"/>
        <v>412895.99999999994</v>
      </c>
      <c r="AG491" s="38" t="s">
        <v>486</v>
      </c>
      <c r="AH491" s="29"/>
      <c r="AI491" s="118">
        <v>41000</v>
      </c>
      <c r="AJ491" s="30">
        <v>0</v>
      </c>
      <c r="AK491" s="179"/>
    </row>
    <row r="492" spans="1:37" s="43" customFormat="1" ht="152.25" customHeight="1" x14ac:dyDescent="0.25">
      <c r="A492" s="6">
        <v>489</v>
      </c>
      <c r="B492" s="31">
        <v>151295</v>
      </c>
      <c r="C492" s="11">
        <v>1051</v>
      </c>
      <c r="D492" s="11" t="s">
        <v>1639</v>
      </c>
      <c r="E492" s="24" t="s">
        <v>2271</v>
      </c>
      <c r="F492" s="31" t="s">
        <v>2422</v>
      </c>
      <c r="G492" s="27" t="s">
        <v>2421</v>
      </c>
      <c r="H492" s="8" t="s">
        <v>151</v>
      </c>
      <c r="I492" s="46" t="s">
        <v>2906</v>
      </c>
      <c r="J492" s="25">
        <v>44755</v>
      </c>
      <c r="K492" s="25">
        <v>45120</v>
      </c>
      <c r="L492" s="26">
        <f t="shared" si="228"/>
        <v>83.300002448799688</v>
      </c>
      <c r="M492" s="11">
        <v>3</v>
      </c>
      <c r="N492" s="11" t="s">
        <v>200</v>
      </c>
      <c r="O492" s="11" t="s">
        <v>1507</v>
      </c>
      <c r="P492" s="11" t="s">
        <v>274</v>
      </c>
      <c r="Q492" s="11" t="s">
        <v>34</v>
      </c>
      <c r="R492" s="2">
        <f t="shared" si="229"/>
        <v>346970</v>
      </c>
      <c r="S492" s="2">
        <v>346970</v>
      </c>
      <c r="T492" s="2">
        <v>0</v>
      </c>
      <c r="U492" s="2">
        <f t="shared" si="230"/>
        <v>61229.99</v>
      </c>
      <c r="V492" s="28">
        <v>61229.99</v>
      </c>
      <c r="W492" s="28">
        <v>0</v>
      </c>
      <c r="X492" s="2">
        <f t="shared" si="231"/>
        <v>0</v>
      </c>
      <c r="Y492" s="2">
        <v>0</v>
      </c>
      <c r="Z492" s="2">
        <v>0</v>
      </c>
      <c r="AA492" s="2">
        <f t="shared" si="232"/>
        <v>8330.61</v>
      </c>
      <c r="AB492" s="2">
        <v>8330.61</v>
      </c>
      <c r="AC492" s="2">
        <v>0</v>
      </c>
      <c r="AD492" s="16">
        <f t="shared" si="227"/>
        <v>416530.6</v>
      </c>
      <c r="AE492" s="2">
        <v>0</v>
      </c>
      <c r="AF492" s="2">
        <f t="shared" si="233"/>
        <v>416530.6</v>
      </c>
      <c r="AG492" s="38" t="s">
        <v>486</v>
      </c>
      <c r="AH492" s="29"/>
      <c r="AI492" s="118">
        <v>41653.06</v>
      </c>
      <c r="AJ492" s="30">
        <v>0</v>
      </c>
      <c r="AK492" s="179"/>
    </row>
    <row r="493" spans="1:37" s="43" customFormat="1" ht="152.25" customHeight="1" x14ac:dyDescent="0.25">
      <c r="A493" s="6">
        <v>490</v>
      </c>
      <c r="B493" s="31">
        <v>151518</v>
      </c>
      <c r="C493" s="11">
        <v>919</v>
      </c>
      <c r="D493" s="11" t="s">
        <v>1639</v>
      </c>
      <c r="E493" s="24" t="s">
        <v>2271</v>
      </c>
      <c r="F493" s="31" t="s">
        <v>2425</v>
      </c>
      <c r="G493" s="27" t="s">
        <v>2424</v>
      </c>
      <c r="H493" s="8" t="s">
        <v>151</v>
      </c>
      <c r="I493" s="46" t="s">
        <v>2907</v>
      </c>
      <c r="J493" s="25">
        <v>44756</v>
      </c>
      <c r="K493" s="25">
        <v>45183</v>
      </c>
      <c r="L493" s="26">
        <f t="shared" si="228"/>
        <v>83.299999109753415</v>
      </c>
      <c r="M493" s="11">
        <v>1</v>
      </c>
      <c r="N493" s="11" t="s">
        <v>361</v>
      </c>
      <c r="O493" s="11" t="s">
        <v>2426</v>
      </c>
      <c r="P493" s="11" t="s">
        <v>274</v>
      </c>
      <c r="Q493" s="11" t="s">
        <v>34</v>
      </c>
      <c r="R493" s="2">
        <f t="shared" si="229"/>
        <v>327493.53000000003</v>
      </c>
      <c r="S493" s="2">
        <v>327493.53000000003</v>
      </c>
      <c r="T493" s="2">
        <v>0</v>
      </c>
      <c r="U493" s="2">
        <f t="shared" si="230"/>
        <v>57792.98</v>
      </c>
      <c r="V493" s="28">
        <v>57792.98</v>
      </c>
      <c r="W493" s="28">
        <v>0</v>
      </c>
      <c r="X493" s="2">
        <f t="shared" si="231"/>
        <v>0</v>
      </c>
      <c r="Y493" s="2">
        <v>0</v>
      </c>
      <c r="Z493" s="2">
        <v>0</v>
      </c>
      <c r="AA493" s="2">
        <f t="shared" si="232"/>
        <v>7862.99</v>
      </c>
      <c r="AB493" s="2">
        <v>7862.99</v>
      </c>
      <c r="AC493" s="2">
        <v>0</v>
      </c>
      <c r="AD493" s="16">
        <f t="shared" si="227"/>
        <v>393149.5</v>
      </c>
      <c r="AE493" s="2">
        <v>0</v>
      </c>
      <c r="AF493" s="2">
        <f t="shared" si="233"/>
        <v>393149.5</v>
      </c>
      <c r="AG493" s="38" t="s">
        <v>486</v>
      </c>
      <c r="AH493" s="29"/>
      <c r="AI493" s="118">
        <v>0</v>
      </c>
      <c r="AJ493" s="30">
        <v>0</v>
      </c>
      <c r="AK493" s="179"/>
    </row>
    <row r="494" spans="1:37" s="43" customFormat="1" ht="152.25" customHeight="1" x14ac:dyDescent="0.25">
      <c r="A494" s="6">
        <v>491</v>
      </c>
      <c r="B494" s="31">
        <v>151300</v>
      </c>
      <c r="C494" s="11">
        <v>879</v>
      </c>
      <c r="D494" s="11" t="s">
        <v>1639</v>
      </c>
      <c r="E494" s="24" t="s">
        <v>2271</v>
      </c>
      <c r="F494" s="31" t="s">
        <v>2428</v>
      </c>
      <c r="G494" s="27" t="s">
        <v>2427</v>
      </c>
      <c r="H494" s="8" t="s">
        <v>151</v>
      </c>
      <c r="I494" s="46" t="s">
        <v>2429</v>
      </c>
      <c r="J494" s="25">
        <v>44756</v>
      </c>
      <c r="K494" s="25">
        <v>45183</v>
      </c>
      <c r="L494" s="26">
        <f t="shared" si="228"/>
        <v>83.30000190778712</v>
      </c>
      <c r="M494" s="11">
        <v>6</v>
      </c>
      <c r="N494" s="11" t="s">
        <v>763</v>
      </c>
      <c r="O494" s="11" t="s">
        <v>763</v>
      </c>
      <c r="P494" s="11" t="s">
        <v>274</v>
      </c>
      <c r="Q494" s="11" t="s">
        <v>34</v>
      </c>
      <c r="R494" s="2">
        <f t="shared" si="229"/>
        <v>349305.23</v>
      </c>
      <c r="S494" s="2">
        <v>349305.23</v>
      </c>
      <c r="T494" s="2">
        <v>0</v>
      </c>
      <c r="U494" s="2">
        <f t="shared" si="230"/>
        <v>61642.09</v>
      </c>
      <c r="V494" s="28">
        <v>61642.09</v>
      </c>
      <c r="W494" s="28">
        <v>0</v>
      </c>
      <c r="X494" s="2">
        <f t="shared" si="231"/>
        <v>0</v>
      </c>
      <c r="Y494" s="2">
        <v>0</v>
      </c>
      <c r="Z494" s="2">
        <v>0</v>
      </c>
      <c r="AA494" s="2">
        <f t="shared" si="232"/>
        <v>8386.68</v>
      </c>
      <c r="AB494" s="2">
        <v>8386.68</v>
      </c>
      <c r="AC494" s="2">
        <v>0</v>
      </c>
      <c r="AD494" s="16">
        <f t="shared" si="227"/>
        <v>419333.99999999994</v>
      </c>
      <c r="AE494" s="2">
        <v>0</v>
      </c>
      <c r="AF494" s="2">
        <f t="shared" si="233"/>
        <v>419333.99999999994</v>
      </c>
      <c r="AG494" s="38" t="s">
        <v>486</v>
      </c>
      <c r="AH494" s="29"/>
      <c r="AI494" s="118">
        <v>0</v>
      </c>
      <c r="AJ494" s="30">
        <v>0</v>
      </c>
      <c r="AK494" s="179"/>
    </row>
    <row r="495" spans="1:37" s="43" customFormat="1" ht="152.25" customHeight="1" x14ac:dyDescent="0.25">
      <c r="A495" s="6">
        <v>492</v>
      </c>
      <c r="B495" s="31">
        <v>150631</v>
      </c>
      <c r="C495" s="11">
        <v>881</v>
      </c>
      <c r="D495" s="11" t="s">
        <v>1639</v>
      </c>
      <c r="E495" s="24" t="s">
        <v>2271</v>
      </c>
      <c r="F495" s="31" t="s">
        <v>2431</v>
      </c>
      <c r="G495" s="27" t="s">
        <v>2430</v>
      </c>
      <c r="H495" s="8" t="s">
        <v>151</v>
      </c>
      <c r="I495" s="46" t="s">
        <v>2432</v>
      </c>
      <c r="J495" s="25">
        <v>44756</v>
      </c>
      <c r="K495" s="25">
        <v>45183</v>
      </c>
      <c r="L495" s="26">
        <f t="shared" si="228"/>
        <v>83.300001945932266</v>
      </c>
      <c r="M495" s="11">
        <v>2</v>
      </c>
      <c r="N495" s="11" t="s">
        <v>485</v>
      </c>
      <c r="O495" s="11" t="s">
        <v>2433</v>
      </c>
      <c r="P495" s="11" t="s">
        <v>274</v>
      </c>
      <c r="Q495" s="11" t="s">
        <v>34</v>
      </c>
      <c r="R495" s="2">
        <f t="shared" si="229"/>
        <v>342457.97</v>
      </c>
      <c r="S495" s="2">
        <v>342457.97</v>
      </c>
      <c r="T495" s="2">
        <v>0</v>
      </c>
      <c r="U495" s="2">
        <f t="shared" si="230"/>
        <v>60433.75</v>
      </c>
      <c r="V495" s="28">
        <v>60433.75</v>
      </c>
      <c r="W495" s="28">
        <v>0</v>
      </c>
      <c r="X495" s="2">
        <f t="shared" si="231"/>
        <v>0</v>
      </c>
      <c r="Y495" s="2">
        <v>0</v>
      </c>
      <c r="Z495" s="2">
        <v>0</v>
      </c>
      <c r="AA495" s="2">
        <f t="shared" si="232"/>
        <v>8222.2800000000007</v>
      </c>
      <c r="AB495" s="2">
        <v>8222.2800000000007</v>
      </c>
      <c r="AC495" s="2">
        <v>0</v>
      </c>
      <c r="AD495" s="16">
        <f t="shared" si="227"/>
        <v>411114</v>
      </c>
      <c r="AE495" s="2">
        <v>0</v>
      </c>
      <c r="AF495" s="2">
        <f t="shared" si="233"/>
        <v>411114</v>
      </c>
      <c r="AG495" s="38" t="s">
        <v>486</v>
      </c>
      <c r="AH495" s="29"/>
      <c r="AI495" s="118">
        <v>41111</v>
      </c>
      <c r="AJ495" s="30">
        <v>0</v>
      </c>
      <c r="AK495" s="179"/>
    </row>
    <row r="496" spans="1:37" s="43" customFormat="1" ht="152.25" customHeight="1" x14ac:dyDescent="0.25">
      <c r="A496" s="6">
        <v>493</v>
      </c>
      <c r="B496" s="31">
        <v>151131</v>
      </c>
      <c r="C496" s="11">
        <v>902</v>
      </c>
      <c r="D496" s="11" t="s">
        <v>1639</v>
      </c>
      <c r="E496" s="24" t="s">
        <v>2271</v>
      </c>
      <c r="F496" s="31" t="s">
        <v>2435</v>
      </c>
      <c r="G496" s="27" t="s">
        <v>2434</v>
      </c>
      <c r="H496" s="8" t="s">
        <v>151</v>
      </c>
      <c r="I496" s="46" t="s">
        <v>2908</v>
      </c>
      <c r="J496" s="25">
        <v>44756</v>
      </c>
      <c r="K496" s="25">
        <v>45121</v>
      </c>
      <c r="L496" s="26">
        <f t="shared" si="228"/>
        <v>83.299997175832658</v>
      </c>
      <c r="M496" s="11">
        <v>4</v>
      </c>
      <c r="N496" s="11" t="s">
        <v>499</v>
      </c>
      <c r="O496" s="11" t="s">
        <v>499</v>
      </c>
      <c r="P496" s="11" t="s">
        <v>274</v>
      </c>
      <c r="Q496" s="11" t="s">
        <v>34</v>
      </c>
      <c r="R496" s="2">
        <f t="shared" si="229"/>
        <v>353945.02</v>
      </c>
      <c r="S496" s="2">
        <v>353945.02</v>
      </c>
      <c r="T496" s="2">
        <v>0</v>
      </c>
      <c r="U496" s="2">
        <f t="shared" si="230"/>
        <v>62460.9</v>
      </c>
      <c r="V496" s="28">
        <v>62460.9</v>
      </c>
      <c r="W496" s="28">
        <v>0</v>
      </c>
      <c r="X496" s="2">
        <f t="shared" si="231"/>
        <v>0</v>
      </c>
      <c r="Y496" s="2">
        <v>0</v>
      </c>
      <c r="Z496" s="2">
        <v>0</v>
      </c>
      <c r="AA496" s="2">
        <f t="shared" si="232"/>
        <v>8498.08</v>
      </c>
      <c r="AB496" s="2">
        <v>8498.08</v>
      </c>
      <c r="AC496" s="2">
        <v>0</v>
      </c>
      <c r="AD496" s="16">
        <f t="shared" si="227"/>
        <v>424904.00000000006</v>
      </c>
      <c r="AE496" s="2">
        <v>0</v>
      </c>
      <c r="AF496" s="2">
        <f t="shared" si="233"/>
        <v>424904.00000000006</v>
      </c>
      <c r="AG496" s="38" t="s">
        <v>486</v>
      </c>
      <c r="AH496" s="29"/>
      <c r="AI496" s="118">
        <v>0</v>
      </c>
      <c r="AJ496" s="30">
        <v>0</v>
      </c>
      <c r="AK496" s="179"/>
    </row>
    <row r="497" spans="1:37" s="43" customFormat="1" ht="152.25" customHeight="1" x14ac:dyDescent="0.25">
      <c r="A497" s="6">
        <v>494</v>
      </c>
      <c r="B497" s="31">
        <v>151133</v>
      </c>
      <c r="C497" s="11">
        <v>904</v>
      </c>
      <c r="D497" s="11" t="s">
        <v>1639</v>
      </c>
      <c r="E497" s="24" t="s">
        <v>2271</v>
      </c>
      <c r="F497" s="31" t="s">
        <v>2437</v>
      </c>
      <c r="G497" s="27" t="s">
        <v>2436</v>
      </c>
      <c r="H497" s="8" t="s">
        <v>151</v>
      </c>
      <c r="I497" s="46" t="s">
        <v>2908</v>
      </c>
      <c r="J497" s="25">
        <v>44756</v>
      </c>
      <c r="K497" s="25">
        <v>45121</v>
      </c>
      <c r="L497" s="26">
        <f t="shared" si="228"/>
        <v>83.299997175832658</v>
      </c>
      <c r="M497" s="11">
        <v>6</v>
      </c>
      <c r="N497" s="11" t="s">
        <v>582</v>
      </c>
      <c r="O497" s="11" t="s">
        <v>582</v>
      </c>
      <c r="P497" s="11" t="s">
        <v>274</v>
      </c>
      <c r="Q497" s="11" t="s">
        <v>34</v>
      </c>
      <c r="R497" s="2">
        <f t="shared" si="229"/>
        <v>353945.02</v>
      </c>
      <c r="S497" s="2">
        <v>353945.02</v>
      </c>
      <c r="T497" s="2">
        <v>0</v>
      </c>
      <c r="U497" s="2">
        <f t="shared" si="230"/>
        <v>62460.9</v>
      </c>
      <c r="V497" s="28">
        <v>62460.9</v>
      </c>
      <c r="W497" s="28">
        <v>0</v>
      </c>
      <c r="X497" s="2">
        <f t="shared" si="231"/>
        <v>0</v>
      </c>
      <c r="Y497" s="2">
        <v>0</v>
      </c>
      <c r="Z497" s="2">
        <v>0</v>
      </c>
      <c r="AA497" s="2">
        <f t="shared" si="232"/>
        <v>8498.08</v>
      </c>
      <c r="AB497" s="2">
        <v>8498.08</v>
      </c>
      <c r="AC497" s="2">
        <v>0</v>
      </c>
      <c r="AD497" s="16">
        <f t="shared" si="227"/>
        <v>424904.00000000006</v>
      </c>
      <c r="AE497" s="2">
        <v>0</v>
      </c>
      <c r="AF497" s="2">
        <f t="shared" si="233"/>
        <v>424904.00000000006</v>
      </c>
      <c r="AG497" s="38" t="s">
        <v>486</v>
      </c>
      <c r="AH497" s="29"/>
      <c r="AI497" s="118">
        <v>0</v>
      </c>
      <c r="AJ497" s="30">
        <v>0</v>
      </c>
      <c r="AK497" s="179"/>
    </row>
    <row r="498" spans="1:37" s="43" customFormat="1" ht="152.25" customHeight="1" x14ac:dyDescent="0.25">
      <c r="A498" s="6">
        <v>495</v>
      </c>
      <c r="B498" s="31">
        <v>151135</v>
      </c>
      <c r="C498" s="11">
        <v>905</v>
      </c>
      <c r="D498" s="11" t="s">
        <v>1639</v>
      </c>
      <c r="E498" s="24" t="s">
        <v>2271</v>
      </c>
      <c r="F498" s="31" t="s">
        <v>2439</v>
      </c>
      <c r="G498" s="27" t="s">
        <v>2438</v>
      </c>
      <c r="H498" s="8" t="s">
        <v>151</v>
      </c>
      <c r="I498" s="46" t="s">
        <v>2909</v>
      </c>
      <c r="J498" s="25">
        <v>44756</v>
      </c>
      <c r="K498" s="25">
        <v>45121</v>
      </c>
      <c r="L498" s="26">
        <f t="shared" si="228"/>
        <v>83.299997175832658</v>
      </c>
      <c r="M498" s="11">
        <v>4</v>
      </c>
      <c r="N498" s="11" t="s">
        <v>499</v>
      </c>
      <c r="O498" s="11" t="s">
        <v>499</v>
      </c>
      <c r="P498" s="11" t="s">
        <v>274</v>
      </c>
      <c r="Q498" s="11" t="s">
        <v>34</v>
      </c>
      <c r="R498" s="2">
        <f t="shared" si="229"/>
        <v>353945.02</v>
      </c>
      <c r="S498" s="2">
        <v>353945.02</v>
      </c>
      <c r="T498" s="2">
        <v>0</v>
      </c>
      <c r="U498" s="2">
        <f t="shared" si="230"/>
        <v>62460.9</v>
      </c>
      <c r="V498" s="28">
        <v>62460.9</v>
      </c>
      <c r="W498" s="28">
        <v>0</v>
      </c>
      <c r="X498" s="2">
        <f t="shared" si="231"/>
        <v>0</v>
      </c>
      <c r="Y498" s="2">
        <v>0</v>
      </c>
      <c r="Z498" s="2">
        <v>0</v>
      </c>
      <c r="AA498" s="2">
        <f t="shared" si="232"/>
        <v>8498.08</v>
      </c>
      <c r="AB498" s="2">
        <v>8498.08</v>
      </c>
      <c r="AC498" s="2">
        <v>0</v>
      </c>
      <c r="AD498" s="16">
        <f t="shared" si="227"/>
        <v>424904.00000000006</v>
      </c>
      <c r="AE498" s="2">
        <v>0</v>
      </c>
      <c r="AF498" s="2">
        <f t="shared" si="233"/>
        <v>424904.00000000006</v>
      </c>
      <c r="AG498" s="38" t="s">
        <v>486</v>
      </c>
      <c r="AH498" s="29"/>
      <c r="AI498" s="118">
        <v>0</v>
      </c>
      <c r="AJ498" s="30">
        <v>0</v>
      </c>
      <c r="AK498" s="179"/>
    </row>
    <row r="499" spans="1:37" s="43" customFormat="1" ht="152.25" customHeight="1" x14ac:dyDescent="0.25">
      <c r="A499" s="6">
        <v>496</v>
      </c>
      <c r="B499" s="31">
        <v>151227</v>
      </c>
      <c r="C499" s="11">
        <v>906</v>
      </c>
      <c r="D499" s="11" t="s">
        <v>1639</v>
      </c>
      <c r="E499" s="24" t="s">
        <v>2271</v>
      </c>
      <c r="F499" s="31" t="s">
        <v>2441</v>
      </c>
      <c r="G499" s="27" t="s">
        <v>2440</v>
      </c>
      <c r="H499" s="8" t="s">
        <v>151</v>
      </c>
      <c r="I499" s="46" t="s">
        <v>2910</v>
      </c>
      <c r="J499" s="25">
        <v>44756</v>
      </c>
      <c r="K499" s="25">
        <v>45183</v>
      </c>
      <c r="L499" s="26">
        <f t="shared" si="228"/>
        <v>83.300000941903392</v>
      </c>
      <c r="M499" s="11" t="s">
        <v>2442</v>
      </c>
      <c r="N499" s="11" t="s">
        <v>2443</v>
      </c>
      <c r="O499" s="11" t="s">
        <v>2443</v>
      </c>
      <c r="P499" s="11" t="s">
        <v>274</v>
      </c>
      <c r="Q499" s="11" t="s">
        <v>34</v>
      </c>
      <c r="R499" s="2">
        <f t="shared" si="229"/>
        <v>353751.78</v>
      </c>
      <c r="S499" s="2">
        <v>353751.78</v>
      </c>
      <c r="T499" s="2">
        <v>0</v>
      </c>
      <c r="U499" s="2">
        <f t="shared" si="230"/>
        <v>62426.78</v>
      </c>
      <c r="V499" s="28">
        <v>62426.78</v>
      </c>
      <c r="W499" s="28">
        <v>0</v>
      </c>
      <c r="X499" s="2">
        <f t="shared" si="231"/>
        <v>0</v>
      </c>
      <c r="Y499" s="2">
        <v>0</v>
      </c>
      <c r="Z499" s="2">
        <v>0</v>
      </c>
      <c r="AA499" s="2">
        <f t="shared" si="232"/>
        <v>8493.44</v>
      </c>
      <c r="AB499" s="2">
        <v>8493.44</v>
      </c>
      <c r="AC499" s="2">
        <v>0</v>
      </c>
      <c r="AD499" s="16">
        <f t="shared" si="227"/>
        <v>424672.00000000006</v>
      </c>
      <c r="AE499" s="2">
        <v>0</v>
      </c>
      <c r="AF499" s="2">
        <f t="shared" si="233"/>
        <v>424672.00000000006</v>
      </c>
      <c r="AG499" s="38" t="s">
        <v>486</v>
      </c>
      <c r="AH499" s="29"/>
      <c r="AI499" s="118">
        <v>0</v>
      </c>
      <c r="AJ499" s="30">
        <v>0</v>
      </c>
      <c r="AK499" s="179"/>
    </row>
    <row r="500" spans="1:37" s="43" customFormat="1" ht="152.25" customHeight="1" x14ac:dyDescent="0.25">
      <c r="A500" s="6">
        <v>497</v>
      </c>
      <c r="B500" s="31">
        <v>150956</v>
      </c>
      <c r="C500" s="11">
        <v>889</v>
      </c>
      <c r="D500" s="11" t="s">
        <v>1639</v>
      </c>
      <c r="E500" s="24" t="s">
        <v>2271</v>
      </c>
      <c r="F500" s="31" t="s">
        <v>2445</v>
      </c>
      <c r="G500" s="27" t="s">
        <v>2444</v>
      </c>
      <c r="H500" s="8" t="s">
        <v>151</v>
      </c>
      <c r="I500" s="46" t="s">
        <v>2446</v>
      </c>
      <c r="J500" s="25">
        <v>44761</v>
      </c>
      <c r="K500" s="25">
        <v>45188</v>
      </c>
      <c r="L500" s="26">
        <f t="shared" si="228"/>
        <v>83.299998802551357</v>
      </c>
      <c r="M500" s="11">
        <v>3</v>
      </c>
      <c r="N500" s="11" t="s">
        <v>189</v>
      </c>
      <c r="O500" s="11" t="s">
        <v>189</v>
      </c>
      <c r="P500" s="11" t="s">
        <v>274</v>
      </c>
      <c r="Q500" s="11" t="s">
        <v>34</v>
      </c>
      <c r="R500" s="2">
        <f t="shared" si="229"/>
        <v>350605.43</v>
      </c>
      <c r="S500" s="2">
        <v>350605.43</v>
      </c>
      <c r="T500" s="2">
        <v>0</v>
      </c>
      <c r="U500" s="2">
        <f t="shared" si="230"/>
        <v>61871.56</v>
      </c>
      <c r="V500" s="28">
        <v>61871.56</v>
      </c>
      <c r="W500" s="28">
        <v>0</v>
      </c>
      <c r="X500" s="2">
        <f t="shared" si="231"/>
        <v>0</v>
      </c>
      <c r="Y500" s="2">
        <v>0</v>
      </c>
      <c r="Z500" s="2">
        <v>0</v>
      </c>
      <c r="AA500" s="2">
        <f t="shared" si="232"/>
        <v>8417.89</v>
      </c>
      <c r="AB500" s="2">
        <v>8417.89</v>
      </c>
      <c r="AC500" s="2">
        <v>0</v>
      </c>
      <c r="AD500" s="16">
        <f t="shared" si="227"/>
        <v>420894.88</v>
      </c>
      <c r="AE500" s="2">
        <v>0</v>
      </c>
      <c r="AF500" s="2">
        <f t="shared" si="233"/>
        <v>420894.88</v>
      </c>
      <c r="AG500" s="38" t="s">
        <v>486</v>
      </c>
      <c r="AH500" s="29"/>
      <c r="AI500" s="118">
        <v>0</v>
      </c>
      <c r="AJ500" s="30">
        <v>0</v>
      </c>
      <c r="AK500" s="179"/>
    </row>
    <row r="501" spans="1:37" s="43" customFormat="1" ht="152.25" customHeight="1" x14ac:dyDescent="0.25">
      <c r="A501" s="6">
        <v>498</v>
      </c>
      <c r="B501" s="31">
        <v>151080</v>
      </c>
      <c r="C501" s="11">
        <v>900</v>
      </c>
      <c r="D501" s="11" t="s">
        <v>1639</v>
      </c>
      <c r="E501" s="24" t="s">
        <v>2271</v>
      </c>
      <c r="F501" s="31" t="s">
        <v>2452</v>
      </c>
      <c r="G501" s="27" t="s">
        <v>2451</v>
      </c>
      <c r="H501" s="8" t="s">
        <v>151</v>
      </c>
      <c r="I501" s="46" t="s">
        <v>2453</v>
      </c>
      <c r="J501" s="25">
        <v>44761</v>
      </c>
      <c r="K501" s="25">
        <v>45126</v>
      </c>
      <c r="L501" s="26">
        <f t="shared" si="228"/>
        <v>83.300000706083381</v>
      </c>
      <c r="M501" s="11">
        <v>1</v>
      </c>
      <c r="N501" s="11" t="s">
        <v>361</v>
      </c>
      <c r="O501" s="11" t="s">
        <v>2454</v>
      </c>
      <c r="P501" s="11" t="s">
        <v>274</v>
      </c>
      <c r="Q501" s="11" t="s">
        <v>34</v>
      </c>
      <c r="R501" s="2">
        <f t="shared" si="229"/>
        <v>353924.21</v>
      </c>
      <c r="S501" s="2">
        <v>353924.21</v>
      </c>
      <c r="T501" s="2">
        <v>0</v>
      </c>
      <c r="U501" s="2">
        <f t="shared" si="230"/>
        <v>62457.21</v>
      </c>
      <c r="V501" s="28">
        <v>62457.21</v>
      </c>
      <c r="W501" s="28">
        <v>0</v>
      </c>
      <c r="X501" s="2">
        <f t="shared" si="231"/>
        <v>0</v>
      </c>
      <c r="Y501" s="2">
        <v>0</v>
      </c>
      <c r="Z501" s="2">
        <v>0</v>
      </c>
      <c r="AA501" s="2">
        <f t="shared" si="232"/>
        <v>8497.58</v>
      </c>
      <c r="AB501" s="2">
        <v>8497.58</v>
      </c>
      <c r="AC501" s="2">
        <v>0</v>
      </c>
      <c r="AD501" s="16">
        <f t="shared" si="227"/>
        <v>424879.00000000006</v>
      </c>
      <c r="AE501" s="2">
        <v>0</v>
      </c>
      <c r="AF501" s="2">
        <f t="shared" si="233"/>
        <v>424879.00000000006</v>
      </c>
      <c r="AG501" s="38" t="s">
        <v>486</v>
      </c>
      <c r="AH501" s="29"/>
      <c r="AI501" s="118">
        <v>42487.9</v>
      </c>
      <c r="AJ501" s="30">
        <v>0</v>
      </c>
      <c r="AK501" s="179"/>
    </row>
    <row r="502" spans="1:37" s="43" customFormat="1" ht="152.25" customHeight="1" x14ac:dyDescent="0.25">
      <c r="A502" s="6">
        <v>499</v>
      </c>
      <c r="B502" s="31">
        <v>151326</v>
      </c>
      <c r="C502" s="11">
        <v>908</v>
      </c>
      <c r="D502" s="11" t="s">
        <v>1639</v>
      </c>
      <c r="E502" s="24" t="s">
        <v>2271</v>
      </c>
      <c r="F502" s="31" t="s">
        <v>2456</v>
      </c>
      <c r="G502" s="27" t="s">
        <v>2455</v>
      </c>
      <c r="H502" s="8" t="s">
        <v>151</v>
      </c>
      <c r="I502" s="46" t="s">
        <v>2911</v>
      </c>
      <c r="J502" s="25">
        <v>44761</v>
      </c>
      <c r="K502" s="25">
        <v>45188</v>
      </c>
      <c r="L502" s="26">
        <f t="shared" si="228"/>
        <v>83.300003641619597</v>
      </c>
      <c r="M502" s="11">
        <v>7</v>
      </c>
      <c r="N502" s="11" t="s">
        <v>226</v>
      </c>
      <c r="O502" s="11" t="s">
        <v>2457</v>
      </c>
      <c r="P502" s="11" t="s">
        <v>274</v>
      </c>
      <c r="Q502" s="11" t="s">
        <v>34</v>
      </c>
      <c r="R502" s="2">
        <f t="shared" si="229"/>
        <v>353638.82</v>
      </c>
      <c r="S502" s="2">
        <v>353638.82</v>
      </c>
      <c r="T502" s="2">
        <v>0</v>
      </c>
      <c r="U502" s="2">
        <f t="shared" si="230"/>
        <v>62406.82</v>
      </c>
      <c r="V502" s="28">
        <v>62406.82</v>
      </c>
      <c r="W502" s="28">
        <v>0</v>
      </c>
      <c r="X502" s="2">
        <f t="shared" si="231"/>
        <v>0</v>
      </c>
      <c r="Y502" s="2">
        <v>0</v>
      </c>
      <c r="Z502" s="2">
        <v>0</v>
      </c>
      <c r="AA502" s="2">
        <f t="shared" si="232"/>
        <v>8490.74</v>
      </c>
      <c r="AB502" s="2">
        <v>8490.74</v>
      </c>
      <c r="AC502" s="2">
        <v>0</v>
      </c>
      <c r="AD502" s="16">
        <f t="shared" si="227"/>
        <v>424536.38</v>
      </c>
      <c r="AE502" s="2">
        <v>0</v>
      </c>
      <c r="AF502" s="2">
        <f t="shared" si="233"/>
        <v>424536.38</v>
      </c>
      <c r="AG502" s="38" t="s">
        <v>486</v>
      </c>
      <c r="AH502" s="29"/>
      <c r="AI502" s="118">
        <v>42453.63</v>
      </c>
      <c r="AJ502" s="30">
        <v>0</v>
      </c>
      <c r="AK502" s="179"/>
    </row>
    <row r="503" spans="1:37" s="43" customFormat="1" ht="152.25" customHeight="1" x14ac:dyDescent="0.25">
      <c r="A503" s="6">
        <v>500</v>
      </c>
      <c r="B503" s="31">
        <v>151444</v>
      </c>
      <c r="C503" s="11">
        <v>914</v>
      </c>
      <c r="D503" s="11" t="s">
        <v>1639</v>
      </c>
      <c r="E503" s="24" t="s">
        <v>2271</v>
      </c>
      <c r="F503" s="31" t="s">
        <v>2459</v>
      </c>
      <c r="G503" s="27" t="s">
        <v>2458</v>
      </c>
      <c r="H503" s="8" t="s">
        <v>151</v>
      </c>
      <c r="I503" s="46" t="s">
        <v>2912</v>
      </c>
      <c r="J503" s="25">
        <v>44761</v>
      </c>
      <c r="K503" s="25">
        <v>45157</v>
      </c>
      <c r="L503" s="26">
        <f t="shared" si="228"/>
        <v>83.299997992131509</v>
      </c>
      <c r="M503" s="11">
        <v>2</v>
      </c>
      <c r="N503" s="11" t="s">
        <v>1928</v>
      </c>
      <c r="O503" s="11" t="s">
        <v>1928</v>
      </c>
      <c r="P503" s="11" t="s">
        <v>274</v>
      </c>
      <c r="Q503" s="11" t="s">
        <v>34</v>
      </c>
      <c r="R503" s="2">
        <f t="shared" si="229"/>
        <v>352637.63</v>
      </c>
      <c r="S503" s="2">
        <v>352637.63</v>
      </c>
      <c r="T503" s="2">
        <v>0</v>
      </c>
      <c r="U503" s="2">
        <f t="shared" si="230"/>
        <v>62230.18</v>
      </c>
      <c r="V503" s="28">
        <v>62230.18</v>
      </c>
      <c r="W503" s="28">
        <v>0</v>
      </c>
      <c r="X503" s="2">
        <f t="shared" si="231"/>
        <v>0</v>
      </c>
      <c r="Y503" s="2">
        <v>0</v>
      </c>
      <c r="Z503" s="2">
        <v>0</v>
      </c>
      <c r="AA503" s="2">
        <f t="shared" si="232"/>
        <v>8466.69</v>
      </c>
      <c r="AB503" s="2">
        <v>8466.69</v>
      </c>
      <c r="AC503" s="2">
        <v>0</v>
      </c>
      <c r="AD503" s="16">
        <f t="shared" si="227"/>
        <v>423334.5</v>
      </c>
      <c r="AE503" s="2">
        <v>0</v>
      </c>
      <c r="AF503" s="2">
        <f t="shared" si="233"/>
        <v>423334.5</v>
      </c>
      <c r="AG503" s="38" t="s">
        <v>486</v>
      </c>
      <c r="AH503" s="29"/>
      <c r="AI503" s="118">
        <v>0</v>
      </c>
      <c r="AJ503" s="30">
        <v>0</v>
      </c>
      <c r="AK503" s="179"/>
    </row>
    <row r="504" spans="1:37" s="43" customFormat="1" ht="152.25" customHeight="1" x14ac:dyDescent="0.25">
      <c r="A504" s="6">
        <v>501</v>
      </c>
      <c r="B504" s="31">
        <v>151266</v>
      </c>
      <c r="C504" s="11">
        <v>970</v>
      </c>
      <c r="D504" s="11" t="s">
        <v>1639</v>
      </c>
      <c r="E504" s="24" t="s">
        <v>2271</v>
      </c>
      <c r="F504" s="31" t="s">
        <v>2461</v>
      </c>
      <c r="G504" s="27" t="s">
        <v>2460</v>
      </c>
      <c r="H504" s="8" t="s">
        <v>2462</v>
      </c>
      <c r="I504" s="46" t="s">
        <v>2913</v>
      </c>
      <c r="J504" s="25">
        <v>44762</v>
      </c>
      <c r="K504" s="25">
        <v>45189</v>
      </c>
      <c r="L504" s="26">
        <f t="shared" si="228"/>
        <v>83.299998586978532</v>
      </c>
      <c r="M504" s="11" t="s">
        <v>2463</v>
      </c>
      <c r="N504" s="11" t="s">
        <v>2464</v>
      </c>
      <c r="O504" s="11" t="s">
        <v>2465</v>
      </c>
      <c r="P504" s="11" t="s">
        <v>274</v>
      </c>
      <c r="Q504" s="11" t="s">
        <v>34</v>
      </c>
      <c r="R504" s="2">
        <f t="shared" si="229"/>
        <v>353710.12</v>
      </c>
      <c r="S504" s="2">
        <v>353710.12</v>
      </c>
      <c r="T504" s="2">
        <v>0</v>
      </c>
      <c r="U504" s="2">
        <f t="shared" si="230"/>
        <v>62419.44</v>
      </c>
      <c r="V504" s="28">
        <v>62419.44</v>
      </c>
      <c r="W504" s="28">
        <v>0</v>
      </c>
      <c r="X504" s="2">
        <f t="shared" si="231"/>
        <v>0</v>
      </c>
      <c r="Y504" s="2">
        <v>0</v>
      </c>
      <c r="Z504" s="2">
        <v>0</v>
      </c>
      <c r="AA504" s="2">
        <f t="shared" si="232"/>
        <v>8492.44</v>
      </c>
      <c r="AB504" s="2">
        <v>8492.44</v>
      </c>
      <c r="AC504" s="2">
        <v>0</v>
      </c>
      <c r="AD504" s="16">
        <f t="shared" si="227"/>
        <v>424622</v>
      </c>
      <c r="AE504" s="2">
        <v>0</v>
      </c>
      <c r="AF504" s="2">
        <f t="shared" si="233"/>
        <v>424622</v>
      </c>
      <c r="AG504" s="38" t="s">
        <v>486</v>
      </c>
      <c r="AH504" s="29"/>
      <c r="AI504" s="118">
        <v>0</v>
      </c>
      <c r="AJ504" s="30">
        <v>0</v>
      </c>
      <c r="AK504" s="179"/>
    </row>
    <row r="505" spans="1:37" s="43" customFormat="1" ht="152.25" customHeight="1" x14ac:dyDescent="0.25">
      <c r="A505" s="6">
        <v>502</v>
      </c>
      <c r="B505" s="31">
        <v>151105</v>
      </c>
      <c r="C505" s="11">
        <v>985</v>
      </c>
      <c r="D505" s="11" t="s">
        <v>1639</v>
      </c>
      <c r="E505" s="24" t="s">
        <v>2271</v>
      </c>
      <c r="F505" s="31" t="s">
        <v>2467</v>
      </c>
      <c r="G505" s="27" t="s">
        <v>2466</v>
      </c>
      <c r="H505" s="8" t="s">
        <v>151</v>
      </c>
      <c r="I505" s="46" t="s">
        <v>2468</v>
      </c>
      <c r="J505" s="25">
        <v>44762</v>
      </c>
      <c r="K505" s="25">
        <v>45158</v>
      </c>
      <c r="L505" s="26">
        <f t="shared" si="228"/>
        <v>83.300002208523523</v>
      </c>
      <c r="M505" s="11">
        <v>7</v>
      </c>
      <c r="N505" s="11" t="s">
        <v>226</v>
      </c>
      <c r="O505" s="11" t="s">
        <v>226</v>
      </c>
      <c r="P505" s="11" t="s">
        <v>274</v>
      </c>
      <c r="Q505" s="11" t="s">
        <v>34</v>
      </c>
      <c r="R505" s="2">
        <f t="shared" si="229"/>
        <v>353790.22</v>
      </c>
      <c r="S505" s="2">
        <v>353790.22</v>
      </c>
      <c r="T505" s="2">
        <v>0</v>
      </c>
      <c r="U505" s="2">
        <f t="shared" si="230"/>
        <v>62433.56</v>
      </c>
      <c r="V505" s="28">
        <v>62433.56</v>
      </c>
      <c r="W505" s="28">
        <v>0</v>
      </c>
      <c r="X505" s="2">
        <f t="shared" si="231"/>
        <v>0</v>
      </c>
      <c r="Y505" s="2">
        <v>0</v>
      </c>
      <c r="Z505" s="2">
        <v>0</v>
      </c>
      <c r="AA505" s="2">
        <f t="shared" si="232"/>
        <v>8494.36</v>
      </c>
      <c r="AB505" s="2">
        <v>8494.36</v>
      </c>
      <c r="AC505" s="2">
        <v>0</v>
      </c>
      <c r="AD505" s="16">
        <f t="shared" si="227"/>
        <v>424718.13999999996</v>
      </c>
      <c r="AE505" s="2">
        <v>0</v>
      </c>
      <c r="AF505" s="2">
        <f t="shared" si="233"/>
        <v>424718.13999999996</v>
      </c>
      <c r="AG505" s="38" t="s">
        <v>486</v>
      </c>
      <c r="AH505" s="29"/>
      <c r="AI505" s="118">
        <v>42471.18</v>
      </c>
      <c r="AJ505" s="30">
        <v>0</v>
      </c>
      <c r="AK505" s="179"/>
    </row>
    <row r="506" spans="1:37" s="43" customFormat="1" ht="152.25" customHeight="1" x14ac:dyDescent="0.25">
      <c r="A506" s="6">
        <v>503</v>
      </c>
      <c r="B506" s="31">
        <v>151531</v>
      </c>
      <c r="C506" s="11">
        <v>1003</v>
      </c>
      <c r="D506" s="11" t="s">
        <v>1639</v>
      </c>
      <c r="E506" s="24" t="s">
        <v>2271</v>
      </c>
      <c r="F506" s="31" t="s">
        <v>2470</v>
      </c>
      <c r="G506" s="27" t="s">
        <v>2469</v>
      </c>
      <c r="H506" s="8" t="s">
        <v>151</v>
      </c>
      <c r="I506" s="46" t="s">
        <v>2914</v>
      </c>
      <c r="J506" s="25">
        <v>44762</v>
      </c>
      <c r="K506" s="25">
        <v>45189</v>
      </c>
      <c r="L506" s="26">
        <f t="shared" si="228"/>
        <v>83.299997851486978</v>
      </c>
      <c r="M506" s="11">
        <v>3</v>
      </c>
      <c r="N506" s="11" t="s">
        <v>1469</v>
      </c>
      <c r="O506" s="11" t="s">
        <v>2471</v>
      </c>
      <c r="P506" s="11" t="s">
        <v>274</v>
      </c>
      <c r="Q506" s="11" t="s">
        <v>34</v>
      </c>
      <c r="R506" s="2">
        <f t="shared" si="229"/>
        <v>322962.43</v>
      </c>
      <c r="S506" s="2">
        <v>322962.43</v>
      </c>
      <c r="T506" s="2">
        <v>0</v>
      </c>
      <c r="U506" s="2">
        <f t="shared" si="230"/>
        <v>56993.37</v>
      </c>
      <c r="V506" s="28">
        <v>56993.37</v>
      </c>
      <c r="W506" s="28">
        <v>0</v>
      </c>
      <c r="X506" s="2">
        <f t="shared" si="231"/>
        <v>0</v>
      </c>
      <c r="Y506" s="2">
        <v>0</v>
      </c>
      <c r="Z506" s="2">
        <v>0</v>
      </c>
      <c r="AA506" s="2">
        <f t="shared" si="232"/>
        <v>7754.21</v>
      </c>
      <c r="AB506" s="2">
        <v>7754.21</v>
      </c>
      <c r="AC506" s="2">
        <v>0</v>
      </c>
      <c r="AD506" s="16">
        <f t="shared" si="227"/>
        <v>387710.01</v>
      </c>
      <c r="AE506" s="2">
        <v>0</v>
      </c>
      <c r="AF506" s="2">
        <f t="shared" si="233"/>
        <v>387710.01</v>
      </c>
      <c r="AG506" s="38" t="s">
        <v>486</v>
      </c>
      <c r="AH506" s="29"/>
      <c r="AI506" s="118">
        <v>38771</v>
      </c>
      <c r="AJ506" s="30">
        <v>0</v>
      </c>
      <c r="AK506" s="179"/>
    </row>
    <row r="507" spans="1:37" s="43" customFormat="1" ht="152.25" customHeight="1" x14ac:dyDescent="0.25">
      <c r="A507" s="6">
        <v>504</v>
      </c>
      <c r="B507" s="31">
        <v>151157</v>
      </c>
      <c r="C507" s="11">
        <v>1034</v>
      </c>
      <c r="D507" s="11" t="s">
        <v>1639</v>
      </c>
      <c r="E507" s="24" t="s">
        <v>2271</v>
      </c>
      <c r="F507" s="31" t="s">
        <v>2473</v>
      </c>
      <c r="G507" s="27" t="s">
        <v>2472</v>
      </c>
      <c r="H507" s="8" t="s">
        <v>151</v>
      </c>
      <c r="I507" s="46" t="s">
        <v>2474</v>
      </c>
      <c r="J507" s="25">
        <v>44761</v>
      </c>
      <c r="K507" s="25">
        <v>45188</v>
      </c>
      <c r="L507" s="26">
        <f t="shared" si="228"/>
        <v>83.300002589270449</v>
      </c>
      <c r="M507" s="11">
        <v>4</v>
      </c>
      <c r="N507" s="11" t="s">
        <v>231</v>
      </c>
      <c r="O507" s="11" t="s">
        <v>2475</v>
      </c>
      <c r="P507" s="11" t="s">
        <v>274</v>
      </c>
      <c r="Q507" s="11" t="s">
        <v>34</v>
      </c>
      <c r="R507" s="2">
        <f t="shared" si="229"/>
        <v>210078.1</v>
      </c>
      <c r="S507" s="2">
        <v>210078.1</v>
      </c>
      <c r="T507" s="2">
        <v>0</v>
      </c>
      <c r="U507" s="2">
        <f t="shared" si="230"/>
        <v>37072.6</v>
      </c>
      <c r="V507" s="28">
        <v>37072.6</v>
      </c>
      <c r="W507" s="28">
        <v>0</v>
      </c>
      <c r="X507" s="2">
        <f t="shared" si="231"/>
        <v>0</v>
      </c>
      <c r="Y507" s="2">
        <v>0</v>
      </c>
      <c r="Z507" s="2">
        <v>0</v>
      </c>
      <c r="AA507" s="2">
        <f t="shared" si="232"/>
        <v>5043.8900000000003</v>
      </c>
      <c r="AB507" s="2">
        <v>5043.8900000000003</v>
      </c>
      <c r="AC507" s="2">
        <v>0</v>
      </c>
      <c r="AD507" s="16">
        <f t="shared" si="227"/>
        <v>252194.59000000003</v>
      </c>
      <c r="AE507" s="2">
        <v>0</v>
      </c>
      <c r="AF507" s="2">
        <f t="shared" si="233"/>
        <v>252194.59000000003</v>
      </c>
      <c r="AG507" s="38" t="s">
        <v>486</v>
      </c>
      <c r="AH507" s="29"/>
      <c r="AI507" s="118">
        <v>0</v>
      </c>
      <c r="AJ507" s="30">
        <v>0</v>
      </c>
      <c r="AK507" s="179"/>
    </row>
    <row r="508" spans="1:37" s="43" customFormat="1" ht="152.25" customHeight="1" x14ac:dyDescent="0.25">
      <c r="A508" s="6">
        <v>505</v>
      </c>
      <c r="B508" s="31">
        <v>151125</v>
      </c>
      <c r="C508" s="11">
        <v>891</v>
      </c>
      <c r="D508" s="11" t="s">
        <v>1639</v>
      </c>
      <c r="E508" s="24" t="s">
        <v>2271</v>
      </c>
      <c r="F508" s="31" t="s">
        <v>2482</v>
      </c>
      <c r="G508" s="27" t="s">
        <v>2481</v>
      </c>
      <c r="H508" s="8" t="s">
        <v>151</v>
      </c>
      <c r="I508" s="46" t="s">
        <v>2915</v>
      </c>
      <c r="J508" s="25">
        <v>44763</v>
      </c>
      <c r="K508" s="25">
        <v>45190</v>
      </c>
      <c r="L508" s="26">
        <f t="shared" si="228"/>
        <v>83.300001077338706</v>
      </c>
      <c r="M508" s="11">
        <v>3</v>
      </c>
      <c r="N508" s="11" t="s">
        <v>254</v>
      </c>
      <c r="O508" s="11" t="s">
        <v>865</v>
      </c>
      <c r="P508" s="11" t="s">
        <v>274</v>
      </c>
      <c r="Q508" s="11" t="s">
        <v>34</v>
      </c>
      <c r="R508" s="2">
        <f t="shared" si="229"/>
        <v>257476.13</v>
      </c>
      <c r="S508" s="2">
        <v>257476.13</v>
      </c>
      <c r="T508" s="2">
        <v>0</v>
      </c>
      <c r="U508" s="2">
        <f t="shared" si="230"/>
        <v>45436.959999999999</v>
      </c>
      <c r="V508" s="28">
        <v>45436.959999999999</v>
      </c>
      <c r="W508" s="28">
        <v>0</v>
      </c>
      <c r="X508" s="2">
        <f t="shared" si="231"/>
        <v>0</v>
      </c>
      <c r="Y508" s="2">
        <v>0</v>
      </c>
      <c r="Z508" s="2">
        <v>0</v>
      </c>
      <c r="AA508" s="2">
        <f t="shared" si="232"/>
        <v>6181.9</v>
      </c>
      <c r="AB508" s="2">
        <v>6181.9</v>
      </c>
      <c r="AC508" s="2">
        <v>0</v>
      </c>
      <c r="AD508" s="16">
        <f t="shared" si="227"/>
        <v>309094.99000000005</v>
      </c>
      <c r="AE508" s="2">
        <v>0</v>
      </c>
      <c r="AF508" s="2">
        <f t="shared" si="233"/>
        <v>309094.99000000005</v>
      </c>
      <c r="AG508" s="38" t="s">
        <v>486</v>
      </c>
      <c r="AH508" s="29"/>
      <c r="AI508" s="118">
        <v>30291.31</v>
      </c>
      <c r="AJ508" s="30">
        <v>0</v>
      </c>
      <c r="AK508" s="179"/>
    </row>
    <row r="509" spans="1:37" s="43" customFormat="1" ht="152.25" customHeight="1" x14ac:dyDescent="0.25">
      <c r="A509" s="6">
        <v>506</v>
      </c>
      <c r="B509" s="31">
        <v>151132</v>
      </c>
      <c r="C509" s="11">
        <v>903</v>
      </c>
      <c r="D509" s="11" t="s">
        <v>1639</v>
      </c>
      <c r="E509" s="24" t="s">
        <v>2271</v>
      </c>
      <c r="F509" s="31" t="s">
        <v>2484</v>
      </c>
      <c r="G509" s="27" t="s">
        <v>2483</v>
      </c>
      <c r="H509" s="8" t="s">
        <v>151</v>
      </c>
      <c r="I509" s="46" t="s">
        <v>2916</v>
      </c>
      <c r="J509" s="25">
        <v>44764</v>
      </c>
      <c r="K509" s="25">
        <v>45129</v>
      </c>
      <c r="L509" s="26">
        <f t="shared" si="228"/>
        <v>83.299997175832658</v>
      </c>
      <c r="M509" s="11">
        <v>6</v>
      </c>
      <c r="N509" s="11" t="s">
        <v>582</v>
      </c>
      <c r="O509" s="11" t="s">
        <v>582</v>
      </c>
      <c r="P509" s="11" t="s">
        <v>274</v>
      </c>
      <c r="Q509" s="11" t="s">
        <v>34</v>
      </c>
      <c r="R509" s="2">
        <f t="shared" si="229"/>
        <v>353945.02</v>
      </c>
      <c r="S509" s="2">
        <v>353945.02</v>
      </c>
      <c r="T509" s="2">
        <v>0</v>
      </c>
      <c r="U509" s="2">
        <f t="shared" si="230"/>
        <v>62460.9</v>
      </c>
      <c r="V509" s="28">
        <v>62460.9</v>
      </c>
      <c r="W509" s="28">
        <v>0</v>
      </c>
      <c r="X509" s="2">
        <f t="shared" si="231"/>
        <v>0</v>
      </c>
      <c r="Y509" s="2">
        <v>0</v>
      </c>
      <c r="Z509" s="2">
        <v>0</v>
      </c>
      <c r="AA509" s="2">
        <f t="shared" si="232"/>
        <v>8498.08</v>
      </c>
      <c r="AB509" s="2">
        <v>8498.08</v>
      </c>
      <c r="AC509" s="2">
        <v>0</v>
      </c>
      <c r="AD509" s="16">
        <f t="shared" si="227"/>
        <v>424904.00000000006</v>
      </c>
      <c r="AE509" s="2">
        <v>0</v>
      </c>
      <c r="AF509" s="2">
        <f t="shared" si="233"/>
        <v>424904.00000000006</v>
      </c>
      <c r="AG509" s="38" t="s">
        <v>486</v>
      </c>
      <c r="AH509" s="29"/>
      <c r="AI509" s="118">
        <v>0</v>
      </c>
      <c r="AJ509" s="30">
        <v>0</v>
      </c>
      <c r="AK509" s="179"/>
    </row>
    <row r="510" spans="1:37" s="43" customFormat="1" ht="152.25" customHeight="1" x14ac:dyDescent="0.25">
      <c r="A510" s="6">
        <v>507</v>
      </c>
      <c r="B510" s="31">
        <v>151456</v>
      </c>
      <c r="C510" s="11">
        <v>915</v>
      </c>
      <c r="D510" s="11" t="s">
        <v>1639</v>
      </c>
      <c r="E510" s="24" t="s">
        <v>2271</v>
      </c>
      <c r="F510" s="31" t="s">
        <v>2486</v>
      </c>
      <c r="G510" s="27" t="s">
        <v>2485</v>
      </c>
      <c r="H510" s="8" t="s">
        <v>151</v>
      </c>
      <c r="I510" s="46" t="s">
        <v>2917</v>
      </c>
      <c r="J510" s="25">
        <v>44763</v>
      </c>
      <c r="K510" s="25">
        <v>45128</v>
      </c>
      <c r="L510" s="26">
        <f t="shared" si="228"/>
        <v>83.300000000000011</v>
      </c>
      <c r="M510" s="11">
        <v>6</v>
      </c>
      <c r="N510" s="11" t="s">
        <v>182</v>
      </c>
      <c r="O510" s="11" t="s">
        <v>1534</v>
      </c>
      <c r="P510" s="11" t="s">
        <v>274</v>
      </c>
      <c r="Q510" s="11" t="s">
        <v>34</v>
      </c>
      <c r="R510" s="2">
        <f t="shared" si="229"/>
        <v>351984.15</v>
      </c>
      <c r="S510" s="2">
        <v>351984.15</v>
      </c>
      <c r="T510" s="2">
        <v>0</v>
      </c>
      <c r="U510" s="2">
        <f t="shared" si="230"/>
        <v>62114.85</v>
      </c>
      <c r="V510" s="28">
        <v>62114.85</v>
      </c>
      <c r="W510" s="28">
        <v>0</v>
      </c>
      <c r="X510" s="2">
        <f t="shared" si="231"/>
        <v>0</v>
      </c>
      <c r="Y510" s="2">
        <v>0</v>
      </c>
      <c r="Z510" s="2">
        <v>0</v>
      </c>
      <c r="AA510" s="2">
        <f t="shared" si="232"/>
        <v>8451</v>
      </c>
      <c r="AB510" s="2">
        <v>8451</v>
      </c>
      <c r="AC510" s="2">
        <v>0</v>
      </c>
      <c r="AD510" s="16">
        <f t="shared" si="227"/>
        <v>422550</v>
      </c>
      <c r="AE510" s="2">
        <v>0</v>
      </c>
      <c r="AF510" s="2">
        <f t="shared" si="233"/>
        <v>422550</v>
      </c>
      <c r="AG510" s="38" t="s">
        <v>486</v>
      </c>
      <c r="AH510" s="29"/>
      <c r="AI510" s="118">
        <v>0</v>
      </c>
      <c r="AJ510" s="30">
        <v>0</v>
      </c>
      <c r="AK510" s="179"/>
    </row>
    <row r="511" spans="1:37" s="43" customFormat="1" ht="152.25" customHeight="1" x14ac:dyDescent="0.25">
      <c r="A511" s="6">
        <v>508</v>
      </c>
      <c r="B511" s="31">
        <v>151059</v>
      </c>
      <c r="C511" s="11">
        <v>931</v>
      </c>
      <c r="D511" s="11" t="s">
        <v>1639</v>
      </c>
      <c r="E511" s="24" t="s">
        <v>2271</v>
      </c>
      <c r="F511" s="31" t="s">
        <v>2488</v>
      </c>
      <c r="G511" s="27" t="s">
        <v>2487</v>
      </c>
      <c r="H511" s="8" t="s">
        <v>151</v>
      </c>
      <c r="I511" s="46" t="s">
        <v>2489</v>
      </c>
      <c r="J511" s="25">
        <v>44764</v>
      </c>
      <c r="K511" s="25">
        <v>45129</v>
      </c>
      <c r="L511" s="26">
        <f t="shared" si="228"/>
        <v>83.300001364759183</v>
      </c>
      <c r="M511" s="11">
        <v>5</v>
      </c>
      <c r="N511" s="11" t="s">
        <v>230</v>
      </c>
      <c r="O511" s="11" t="s">
        <v>230</v>
      </c>
      <c r="P511" s="11" t="s">
        <v>274</v>
      </c>
      <c r="Q511" s="11" t="s">
        <v>34</v>
      </c>
      <c r="R511" s="2">
        <f t="shared" si="229"/>
        <v>244145.64</v>
      </c>
      <c r="S511" s="2">
        <v>244145.64</v>
      </c>
      <c r="T511" s="2">
        <v>0</v>
      </c>
      <c r="U511" s="2">
        <f t="shared" si="230"/>
        <v>43084.52</v>
      </c>
      <c r="V511" s="28">
        <v>43084.52</v>
      </c>
      <c r="W511" s="28">
        <v>0</v>
      </c>
      <c r="X511" s="2">
        <f t="shared" si="231"/>
        <v>0</v>
      </c>
      <c r="Y511" s="2">
        <v>0</v>
      </c>
      <c r="Z511" s="2">
        <v>0</v>
      </c>
      <c r="AA511" s="2">
        <f t="shared" si="232"/>
        <v>5861.84</v>
      </c>
      <c r="AB511" s="2">
        <v>5861.84</v>
      </c>
      <c r="AC511" s="2">
        <v>0</v>
      </c>
      <c r="AD511" s="16">
        <f t="shared" si="227"/>
        <v>293092.00000000006</v>
      </c>
      <c r="AE511" s="2">
        <v>0</v>
      </c>
      <c r="AF511" s="2">
        <f t="shared" si="233"/>
        <v>293092.00000000006</v>
      </c>
      <c r="AG511" s="38" t="s">
        <v>486</v>
      </c>
      <c r="AH511" s="29"/>
      <c r="AI511" s="118">
        <v>29300</v>
      </c>
      <c r="AJ511" s="30">
        <v>0</v>
      </c>
      <c r="AK511" s="179"/>
    </row>
    <row r="512" spans="1:37" s="43" customFormat="1" ht="152.25" customHeight="1" x14ac:dyDescent="0.25">
      <c r="A512" s="6">
        <v>509</v>
      </c>
      <c r="B512" s="31">
        <v>151573</v>
      </c>
      <c r="C512" s="11">
        <v>953</v>
      </c>
      <c r="D512" s="11" t="s">
        <v>1639</v>
      </c>
      <c r="E512" s="24" t="s">
        <v>2271</v>
      </c>
      <c r="F512" s="31" t="s">
        <v>2491</v>
      </c>
      <c r="G512" s="27" t="s">
        <v>2490</v>
      </c>
      <c r="H512" s="8" t="s">
        <v>151</v>
      </c>
      <c r="I512" s="46" t="s">
        <v>2493</v>
      </c>
      <c r="J512" s="25">
        <v>44763</v>
      </c>
      <c r="K512" s="25">
        <v>45190</v>
      </c>
      <c r="L512" s="26">
        <f t="shared" si="228"/>
        <v>83.300002193051924</v>
      </c>
      <c r="M512" s="11">
        <v>2</v>
      </c>
      <c r="N512" s="11" t="s">
        <v>280</v>
      </c>
      <c r="O512" s="11" t="s">
        <v>2492</v>
      </c>
      <c r="P512" s="11" t="s">
        <v>274</v>
      </c>
      <c r="Q512" s="11" t="s">
        <v>34</v>
      </c>
      <c r="R512" s="2">
        <f t="shared" si="229"/>
        <v>341852.38</v>
      </c>
      <c r="S512" s="2">
        <v>341852.38</v>
      </c>
      <c r="T512" s="2">
        <v>0</v>
      </c>
      <c r="U512" s="2">
        <f t="shared" si="230"/>
        <v>60326.879999999997</v>
      </c>
      <c r="V512" s="28">
        <v>60326.879999999997</v>
      </c>
      <c r="W512" s="28">
        <v>0</v>
      </c>
      <c r="X512" s="2">
        <f t="shared" si="231"/>
        <v>0</v>
      </c>
      <c r="Y512" s="2">
        <v>0</v>
      </c>
      <c r="Z512" s="2">
        <v>0</v>
      </c>
      <c r="AA512" s="2">
        <f t="shared" si="232"/>
        <v>8207.74</v>
      </c>
      <c r="AB512" s="2">
        <v>8207.74</v>
      </c>
      <c r="AC512" s="2">
        <v>0</v>
      </c>
      <c r="AD512" s="16">
        <f t="shared" si="227"/>
        <v>410387</v>
      </c>
      <c r="AE512" s="2">
        <v>0</v>
      </c>
      <c r="AF512" s="2">
        <f t="shared" si="233"/>
        <v>410387</v>
      </c>
      <c r="AG512" s="38" t="s">
        <v>486</v>
      </c>
      <c r="AH512" s="29"/>
      <c r="AI512" s="118">
        <v>41038.699999999997</v>
      </c>
      <c r="AJ512" s="30">
        <v>0</v>
      </c>
      <c r="AK512" s="179"/>
    </row>
    <row r="513" spans="1:37" s="43" customFormat="1" ht="152.25" customHeight="1" x14ac:dyDescent="0.25">
      <c r="A513" s="6">
        <v>510</v>
      </c>
      <c r="B513" s="31">
        <v>151016</v>
      </c>
      <c r="C513" s="11">
        <v>1028</v>
      </c>
      <c r="D513" s="11" t="s">
        <v>1639</v>
      </c>
      <c r="E513" s="24" t="s">
        <v>2271</v>
      </c>
      <c r="F513" s="31" t="s">
        <v>2495</v>
      </c>
      <c r="G513" s="27" t="s">
        <v>2494</v>
      </c>
      <c r="H513" s="8" t="s">
        <v>151</v>
      </c>
      <c r="I513" s="46" t="s">
        <v>2918</v>
      </c>
      <c r="J513" s="25">
        <v>44764</v>
      </c>
      <c r="K513" s="25">
        <v>45191</v>
      </c>
      <c r="L513" s="26">
        <f t="shared" si="228"/>
        <v>83.300000000000011</v>
      </c>
      <c r="M513" s="11">
        <v>3</v>
      </c>
      <c r="N513" s="11" t="s">
        <v>254</v>
      </c>
      <c r="O513" s="11" t="s">
        <v>2496</v>
      </c>
      <c r="P513" s="11" t="s">
        <v>274</v>
      </c>
      <c r="Q513" s="11" t="s">
        <v>34</v>
      </c>
      <c r="R513" s="2">
        <f t="shared" si="229"/>
        <v>352767.17</v>
      </c>
      <c r="S513" s="2">
        <v>352767.17</v>
      </c>
      <c r="T513" s="2">
        <v>0</v>
      </c>
      <c r="U513" s="2">
        <f t="shared" si="230"/>
        <v>62253.03</v>
      </c>
      <c r="V513" s="28">
        <v>62253.03</v>
      </c>
      <c r="W513" s="28">
        <v>0</v>
      </c>
      <c r="X513" s="2">
        <f t="shared" si="231"/>
        <v>0</v>
      </c>
      <c r="Y513" s="2">
        <v>0</v>
      </c>
      <c r="Z513" s="2">
        <v>0</v>
      </c>
      <c r="AA513" s="2">
        <f t="shared" si="232"/>
        <v>8469.7999999999993</v>
      </c>
      <c r="AB513" s="2">
        <v>8469.7999999999993</v>
      </c>
      <c r="AC513" s="2">
        <v>0</v>
      </c>
      <c r="AD513" s="16">
        <f t="shared" si="227"/>
        <v>423489.99999999994</v>
      </c>
      <c r="AE513" s="2">
        <v>0</v>
      </c>
      <c r="AF513" s="2">
        <f t="shared" si="233"/>
        <v>423489.99999999994</v>
      </c>
      <c r="AG513" s="38" t="s">
        <v>486</v>
      </c>
      <c r="AH513" s="29"/>
      <c r="AI513" s="118">
        <v>42349</v>
      </c>
      <c r="AJ513" s="30">
        <v>0</v>
      </c>
      <c r="AK513" s="179"/>
    </row>
    <row r="514" spans="1:37" s="43" customFormat="1" ht="152.25" customHeight="1" x14ac:dyDescent="0.25">
      <c r="A514" s="6">
        <v>511</v>
      </c>
      <c r="B514" s="31">
        <v>151553</v>
      </c>
      <c r="C514" s="11">
        <v>1069</v>
      </c>
      <c r="D514" s="11" t="s">
        <v>1639</v>
      </c>
      <c r="E514" s="24" t="s">
        <v>2271</v>
      </c>
      <c r="F514" s="31" t="s">
        <v>2499</v>
      </c>
      <c r="G514" s="27" t="s">
        <v>2498</v>
      </c>
      <c r="H514" s="8" t="s">
        <v>2494</v>
      </c>
      <c r="I514" s="46" t="s">
        <v>2919</v>
      </c>
      <c r="J514" s="25">
        <v>44763</v>
      </c>
      <c r="K514" s="25">
        <v>45190</v>
      </c>
      <c r="L514" s="26">
        <f t="shared" si="228"/>
        <v>83.300000352806663</v>
      </c>
      <c r="M514" s="11">
        <v>4</v>
      </c>
      <c r="N514" s="11" t="s">
        <v>248</v>
      </c>
      <c r="O514" s="11" t="s">
        <v>2497</v>
      </c>
      <c r="P514" s="11" t="s">
        <v>274</v>
      </c>
      <c r="Q514" s="11" t="s">
        <v>34</v>
      </c>
      <c r="R514" s="2">
        <f t="shared" si="229"/>
        <v>344715.71</v>
      </c>
      <c r="S514" s="2">
        <v>344715.71</v>
      </c>
      <c r="T514" s="2">
        <v>0</v>
      </c>
      <c r="U514" s="2">
        <f t="shared" si="230"/>
        <v>60832.18</v>
      </c>
      <c r="V514" s="28">
        <v>60832.18</v>
      </c>
      <c r="W514" s="28">
        <v>0</v>
      </c>
      <c r="X514" s="2">
        <f t="shared" si="231"/>
        <v>0</v>
      </c>
      <c r="Y514" s="2">
        <v>0</v>
      </c>
      <c r="Z514" s="2">
        <v>0</v>
      </c>
      <c r="AA514" s="2">
        <f t="shared" si="232"/>
        <v>8276.49</v>
      </c>
      <c r="AB514" s="2">
        <v>8276.49</v>
      </c>
      <c r="AC514" s="2">
        <v>0</v>
      </c>
      <c r="AD514" s="16">
        <f t="shared" si="227"/>
        <v>413824.38</v>
      </c>
      <c r="AE514" s="2">
        <v>0</v>
      </c>
      <c r="AF514" s="2">
        <f t="shared" si="233"/>
        <v>413824.38</v>
      </c>
      <c r="AG514" s="38" t="s">
        <v>486</v>
      </c>
      <c r="AH514" s="29"/>
      <c r="AI514" s="118">
        <v>41382.43</v>
      </c>
      <c r="AJ514" s="30">
        <v>0</v>
      </c>
      <c r="AK514" s="179"/>
    </row>
    <row r="515" spans="1:37" s="43" customFormat="1" ht="152.25" customHeight="1" x14ac:dyDescent="0.25">
      <c r="A515" s="6">
        <v>512</v>
      </c>
      <c r="B515" s="31">
        <v>150220</v>
      </c>
      <c r="C515" s="11">
        <v>898</v>
      </c>
      <c r="D515" s="11" t="s">
        <v>1639</v>
      </c>
      <c r="E515" s="24" t="s">
        <v>2271</v>
      </c>
      <c r="F515" s="31" t="s">
        <v>2505</v>
      </c>
      <c r="G515" s="27" t="s">
        <v>2504</v>
      </c>
      <c r="H515" s="8" t="s">
        <v>151</v>
      </c>
      <c r="I515" s="46" t="s">
        <v>2507</v>
      </c>
      <c r="J515" s="25">
        <v>44768</v>
      </c>
      <c r="K515" s="25">
        <v>45133</v>
      </c>
      <c r="L515" s="26">
        <f t="shared" si="228"/>
        <v>83.300002220603204</v>
      </c>
      <c r="M515" s="11">
        <v>7</v>
      </c>
      <c r="N515" s="11" t="s">
        <v>194</v>
      </c>
      <c r="O515" s="11" t="s">
        <v>2506</v>
      </c>
      <c r="P515" s="11" t="s">
        <v>274</v>
      </c>
      <c r="Q515" s="11" t="s">
        <v>34</v>
      </c>
      <c r="R515" s="2">
        <f t="shared" si="229"/>
        <v>333484.62</v>
      </c>
      <c r="S515" s="2">
        <v>333484.62</v>
      </c>
      <c r="T515" s="2">
        <v>0</v>
      </c>
      <c r="U515" s="2">
        <f t="shared" si="230"/>
        <v>58850.21</v>
      </c>
      <c r="V515" s="28">
        <v>58850.21</v>
      </c>
      <c r="W515" s="28">
        <v>0</v>
      </c>
      <c r="X515" s="2">
        <f t="shared" si="231"/>
        <v>0</v>
      </c>
      <c r="Y515" s="2">
        <v>0</v>
      </c>
      <c r="Z515" s="2">
        <v>0</v>
      </c>
      <c r="AA515" s="2">
        <f t="shared" si="232"/>
        <v>8006.84</v>
      </c>
      <c r="AB515" s="2">
        <v>8006.84</v>
      </c>
      <c r="AC515" s="2">
        <v>0</v>
      </c>
      <c r="AD515" s="16">
        <f t="shared" si="227"/>
        <v>400341.67000000004</v>
      </c>
      <c r="AE515" s="2">
        <v>0</v>
      </c>
      <c r="AF515" s="2">
        <f t="shared" si="233"/>
        <v>400341.67000000004</v>
      </c>
      <c r="AG515" s="38" t="s">
        <v>486</v>
      </c>
      <c r="AH515" s="29"/>
      <c r="AI515" s="118">
        <v>0</v>
      </c>
      <c r="AJ515" s="30">
        <v>0</v>
      </c>
      <c r="AK515" s="179"/>
    </row>
    <row r="516" spans="1:37" s="43" customFormat="1" ht="152.25" customHeight="1" x14ac:dyDescent="0.25">
      <c r="A516" s="6">
        <v>513</v>
      </c>
      <c r="B516" s="31">
        <v>151009</v>
      </c>
      <c r="C516" s="11">
        <v>1027</v>
      </c>
      <c r="D516" s="11" t="s">
        <v>1639</v>
      </c>
      <c r="E516" s="24" t="s">
        <v>2271</v>
      </c>
      <c r="F516" s="31" t="s">
        <v>2509</v>
      </c>
      <c r="G516" s="27" t="s">
        <v>2508</v>
      </c>
      <c r="H516" s="8" t="s">
        <v>151</v>
      </c>
      <c r="I516" s="46" t="s">
        <v>2920</v>
      </c>
      <c r="J516" s="25">
        <v>44768</v>
      </c>
      <c r="K516" s="25">
        <v>45195</v>
      </c>
      <c r="L516" s="26">
        <f t="shared" si="228"/>
        <v>83.299998579396231</v>
      </c>
      <c r="M516" s="11" t="s">
        <v>2510</v>
      </c>
      <c r="N516" s="11" t="s">
        <v>2512</v>
      </c>
      <c r="O516" s="11" t="s">
        <v>2511</v>
      </c>
      <c r="P516" s="11" t="s">
        <v>274</v>
      </c>
      <c r="Q516" s="11" t="s">
        <v>34</v>
      </c>
      <c r="R516" s="2">
        <f t="shared" si="229"/>
        <v>213438.82</v>
      </c>
      <c r="S516" s="2">
        <v>213438.82</v>
      </c>
      <c r="T516" s="2">
        <v>0</v>
      </c>
      <c r="U516" s="2">
        <f t="shared" si="230"/>
        <v>37665.67</v>
      </c>
      <c r="V516" s="28">
        <v>37665.67</v>
      </c>
      <c r="W516" s="28">
        <v>0</v>
      </c>
      <c r="X516" s="2">
        <f t="shared" si="231"/>
        <v>0</v>
      </c>
      <c r="Y516" s="2">
        <v>0</v>
      </c>
      <c r="Z516" s="2">
        <v>0</v>
      </c>
      <c r="AA516" s="2">
        <f t="shared" si="232"/>
        <v>5124.59</v>
      </c>
      <c r="AB516" s="2">
        <v>5124.59</v>
      </c>
      <c r="AC516" s="2">
        <v>0</v>
      </c>
      <c r="AD516" s="16">
        <f t="shared" si="227"/>
        <v>256229.08</v>
      </c>
      <c r="AE516" s="2">
        <v>0</v>
      </c>
      <c r="AF516" s="2">
        <f t="shared" si="233"/>
        <v>256229.08</v>
      </c>
      <c r="AG516" s="38" t="s">
        <v>486</v>
      </c>
      <c r="AH516" s="29"/>
      <c r="AI516" s="118">
        <v>25622.9</v>
      </c>
      <c r="AJ516" s="30">
        <v>0</v>
      </c>
      <c r="AK516" s="179"/>
    </row>
    <row r="517" spans="1:37" s="43" customFormat="1" ht="152.25" customHeight="1" x14ac:dyDescent="0.25">
      <c r="A517" s="6">
        <v>514</v>
      </c>
      <c r="B517" s="31">
        <v>151548</v>
      </c>
      <c r="C517" s="11">
        <v>1067</v>
      </c>
      <c r="D517" s="11" t="s">
        <v>1639</v>
      </c>
      <c r="E517" s="24" t="s">
        <v>2271</v>
      </c>
      <c r="F517" s="31" t="s">
        <v>2514</v>
      </c>
      <c r="G517" s="27" t="s">
        <v>2513</v>
      </c>
      <c r="H517" s="11" t="s">
        <v>2515</v>
      </c>
      <c r="I517" s="46" t="s">
        <v>2516</v>
      </c>
      <c r="J517" s="25">
        <v>44768</v>
      </c>
      <c r="K517" s="25">
        <v>45133</v>
      </c>
      <c r="L517" s="26">
        <f t="shared" si="228"/>
        <v>83.299997672751331</v>
      </c>
      <c r="M517" s="11">
        <v>1</v>
      </c>
      <c r="N517" s="11" t="s">
        <v>361</v>
      </c>
      <c r="O517" s="11" t="s">
        <v>361</v>
      </c>
      <c r="P517" s="11" t="s">
        <v>274</v>
      </c>
      <c r="Q517" s="11" t="s">
        <v>34</v>
      </c>
      <c r="R517" s="2">
        <f t="shared" si="229"/>
        <v>353996.11</v>
      </c>
      <c r="S517" s="2">
        <v>353996.11</v>
      </c>
      <c r="T517" s="2">
        <v>0</v>
      </c>
      <c r="U517" s="2">
        <f t="shared" si="230"/>
        <v>62469.91</v>
      </c>
      <c r="V517" s="28">
        <v>62469.91</v>
      </c>
      <c r="W517" s="28">
        <v>0</v>
      </c>
      <c r="X517" s="2">
        <f t="shared" si="231"/>
        <v>0</v>
      </c>
      <c r="Y517" s="2">
        <v>0</v>
      </c>
      <c r="Z517" s="2">
        <v>0</v>
      </c>
      <c r="AA517" s="2">
        <f t="shared" si="232"/>
        <v>8499.31</v>
      </c>
      <c r="AB517" s="2">
        <v>8499.31</v>
      </c>
      <c r="AC517" s="2">
        <v>0</v>
      </c>
      <c r="AD517" s="16">
        <f t="shared" ref="AD517:AD580" si="234">R517+U517+X517+AA517</f>
        <v>424965.33</v>
      </c>
      <c r="AE517" s="2">
        <v>0</v>
      </c>
      <c r="AF517" s="2">
        <f t="shared" si="233"/>
        <v>424965.33</v>
      </c>
      <c r="AG517" s="38" t="s">
        <v>486</v>
      </c>
      <c r="AH517" s="29"/>
      <c r="AI517" s="118">
        <v>42496.53</v>
      </c>
      <c r="AJ517" s="30">
        <v>0</v>
      </c>
      <c r="AK517" s="179"/>
    </row>
    <row r="518" spans="1:37" s="43" customFormat="1" ht="152.25" customHeight="1" x14ac:dyDescent="0.25">
      <c r="A518" s="6">
        <v>515</v>
      </c>
      <c r="B518" s="31">
        <v>150980</v>
      </c>
      <c r="C518" s="11">
        <v>877</v>
      </c>
      <c r="D518" s="11" t="s">
        <v>1639</v>
      </c>
      <c r="E518" s="24" t="s">
        <v>2271</v>
      </c>
      <c r="F518" s="31" t="s">
        <v>2518</v>
      </c>
      <c r="G518" s="27" t="s">
        <v>2517</v>
      </c>
      <c r="H518" s="8" t="s">
        <v>2519</v>
      </c>
      <c r="I518" s="46" t="s">
        <v>2520</v>
      </c>
      <c r="J518" s="25">
        <v>44769</v>
      </c>
      <c r="K518" s="25">
        <v>45196</v>
      </c>
      <c r="L518" s="26">
        <f t="shared" si="228"/>
        <v>83.300000979523077</v>
      </c>
      <c r="M518" s="11">
        <v>2</v>
      </c>
      <c r="N518" s="11" t="s">
        <v>485</v>
      </c>
      <c r="O518" s="11" t="s">
        <v>2034</v>
      </c>
      <c r="P518" s="11" t="s">
        <v>274</v>
      </c>
      <c r="Q518" s="11" t="s">
        <v>34</v>
      </c>
      <c r="R518" s="2">
        <f t="shared" si="229"/>
        <v>340165.55</v>
      </c>
      <c r="S518" s="2">
        <v>340165.55</v>
      </c>
      <c r="T518" s="2">
        <v>0</v>
      </c>
      <c r="U518" s="2">
        <f t="shared" si="230"/>
        <v>60029.21</v>
      </c>
      <c r="V518" s="28">
        <v>60029.21</v>
      </c>
      <c r="W518" s="28">
        <v>0</v>
      </c>
      <c r="X518" s="2">
        <f t="shared" si="231"/>
        <v>0</v>
      </c>
      <c r="Y518" s="2">
        <v>0</v>
      </c>
      <c r="Z518" s="2">
        <v>0</v>
      </c>
      <c r="AA518" s="2">
        <f t="shared" si="232"/>
        <v>8167.24</v>
      </c>
      <c r="AB518" s="2">
        <v>8167.24</v>
      </c>
      <c r="AC518" s="2">
        <v>0</v>
      </c>
      <c r="AD518" s="16">
        <f t="shared" si="234"/>
        <v>408362</v>
      </c>
      <c r="AE518" s="2">
        <v>0</v>
      </c>
      <c r="AF518" s="2">
        <f t="shared" si="233"/>
        <v>408362</v>
      </c>
      <c r="AG518" s="38" t="s">
        <v>486</v>
      </c>
      <c r="AH518" s="29"/>
      <c r="AI518" s="118">
        <v>35046</v>
      </c>
      <c r="AJ518" s="30">
        <v>0</v>
      </c>
      <c r="AK518" s="179"/>
    </row>
    <row r="519" spans="1:37" s="43" customFormat="1" ht="152.25" customHeight="1" x14ac:dyDescent="0.25">
      <c r="A519" s="6">
        <v>516</v>
      </c>
      <c r="B519" s="31">
        <v>151243</v>
      </c>
      <c r="C519" s="11">
        <v>878</v>
      </c>
      <c r="D519" s="11" t="s">
        <v>1639</v>
      </c>
      <c r="E519" s="24" t="s">
        <v>2271</v>
      </c>
      <c r="F519" s="31" t="s">
        <v>2522</v>
      </c>
      <c r="G519" s="27" t="s">
        <v>2521</v>
      </c>
      <c r="H519" s="8" t="s">
        <v>151</v>
      </c>
      <c r="I519" s="46" t="s">
        <v>2921</v>
      </c>
      <c r="J519" s="25">
        <v>44769</v>
      </c>
      <c r="K519" s="25">
        <v>45196</v>
      </c>
      <c r="L519" s="26">
        <f t="shared" si="228"/>
        <v>83.300004749894256</v>
      </c>
      <c r="M519" s="11">
        <v>4</v>
      </c>
      <c r="N519" s="11" t="s">
        <v>248</v>
      </c>
      <c r="O519" s="11" t="s">
        <v>2523</v>
      </c>
      <c r="P519" s="11" t="s">
        <v>274</v>
      </c>
      <c r="Q519" s="11" t="s">
        <v>34</v>
      </c>
      <c r="R519" s="2">
        <f t="shared" si="229"/>
        <v>350043.18</v>
      </c>
      <c r="S519" s="2">
        <v>350043.18</v>
      </c>
      <c r="T519" s="2">
        <v>0</v>
      </c>
      <c r="U519" s="2">
        <f t="shared" si="230"/>
        <v>61772.31</v>
      </c>
      <c r="V519" s="28">
        <v>61772.31</v>
      </c>
      <c r="W519" s="28">
        <v>0</v>
      </c>
      <c r="X519" s="2">
        <f t="shared" si="231"/>
        <v>0</v>
      </c>
      <c r="Y519" s="2">
        <v>0</v>
      </c>
      <c r="Z519" s="2">
        <v>0</v>
      </c>
      <c r="AA519" s="2">
        <f t="shared" si="232"/>
        <v>8404.39</v>
      </c>
      <c r="AB519" s="2">
        <v>8404.39</v>
      </c>
      <c r="AC519" s="2">
        <v>0</v>
      </c>
      <c r="AD519" s="16">
        <f t="shared" si="234"/>
        <v>420219.88</v>
      </c>
      <c r="AE519" s="2">
        <v>0</v>
      </c>
      <c r="AF519" s="2">
        <f t="shared" si="233"/>
        <v>420219.88</v>
      </c>
      <c r="AG519" s="38" t="s">
        <v>486</v>
      </c>
      <c r="AH519" s="29"/>
      <c r="AI519" s="118">
        <v>40000</v>
      </c>
      <c r="AJ519" s="30">
        <v>0</v>
      </c>
      <c r="AK519" s="179"/>
    </row>
    <row r="520" spans="1:37" s="43" customFormat="1" ht="152.25" customHeight="1" x14ac:dyDescent="0.25">
      <c r="A520" s="6">
        <v>517</v>
      </c>
      <c r="B520" s="31">
        <v>151364</v>
      </c>
      <c r="C520" s="11">
        <v>913</v>
      </c>
      <c r="D520" s="11" t="s">
        <v>1639</v>
      </c>
      <c r="E520" s="24" t="s">
        <v>2271</v>
      </c>
      <c r="F520" s="31" t="s">
        <v>2525</v>
      </c>
      <c r="G520" s="27" t="s">
        <v>2524</v>
      </c>
      <c r="H520" s="8" t="s">
        <v>151</v>
      </c>
      <c r="I520" s="46" t="s">
        <v>2526</v>
      </c>
      <c r="J520" s="25">
        <v>44769</v>
      </c>
      <c r="K520" s="25">
        <v>45196</v>
      </c>
      <c r="L520" s="26">
        <f t="shared" si="228"/>
        <v>83.300002128852896</v>
      </c>
      <c r="M520" s="11">
        <v>6</v>
      </c>
      <c r="N520" s="11" t="s">
        <v>182</v>
      </c>
      <c r="O520" s="11" t="s">
        <v>2527</v>
      </c>
      <c r="P520" s="11" t="s">
        <v>274</v>
      </c>
      <c r="Q520" s="11" t="s">
        <v>34</v>
      </c>
      <c r="R520" s="2">
        <f t="shared" ref="R520:R583" si="235">S520+T520</f>
        <v>346683.43</v>
      </c>
      <c r="S520" s="2">
        <v>346683.43</v>
      </c>
      <c r="T520" s="2">
        <v>0</v>
      </c>
      <c r="U520" s="2">
        <f t="shared" ref="U520:U583" si="236">V520+W520</f>
        <v>61179.43</v>
      </c>
      <c r="V520" s="28">
        <v>61179.43</v>
      </c>
      <c r="W520" s="28">
        <v>0</v>
      </c>
      <c r="X520" s="2">
        <f t="shared" ref="X520:X583" si="237">Y520+Z520</f>
        <v>0</v>
      </c>
      <c r="Y520" s="2">
        <v>0</v>
      </c>
      <c r="Z520" s="2">
        <v>0</v>
      </c>
      <c r="AA520" s="2">
        <f t="shared" ref="AA520:AA583" si="238">AB520+AC520</f>
        <v>8323.7199999999993</v>
      </c>
      <c r="AB520" s="2">
        <v>8323.7199999999993</v>
      </c>
      <c r="AC520" s="2">
        <v>0</v>
      </c>
      <c r="AD520" s="16">
        <f t="shared" si="234"/>
        <v>416186.57999999996</v>
      </c>
      <c r="AE520" s="2">
        <v>0</v>
      </c>
      <c r="AF520" s="2">
        <f t="shared" ref="AF520:AF583" si="239">AD520+AE520</f>
        <v>416186.57999999996</v>
      </c>
      <c r="AG520" s="38" t="s">
        <v>486</v>
      </c>
      <c r="AH520" s="29"/>
      <c r="AI520" s="118">
        <v>41618.65</v>
      </c>
      <c r="AJ520" s="30">
        <v>0</v>
      </c>
      <c r="AK520" s="179"/>
    </row>
    <row r="521" spans="1:37" s="43" customFormat="1" ht="152.25" customHeight="1" x14ac:dyDescent="0.25">
      <c r="A521" s="6">
        <v>518</v>
      </c>
      <c r="B521" s="31">
        <v>151466</v>
      </c>
      <c r="C521" s="11">
        <v>918</v>
      </c>
      <c r="D521" s="11" t="s">
        <v>1639</v>
      </c>
      <c r="E521" s="24" t="s">
        <v>2271</v>
      </c>
      <c r="F521" s="31" t="s">
        <v>2529</v>
      </c>
      <c r="G521" s="27" t="s">
        <v>2528</v>
      </c>
      <c r="H521" s="11" t="s">
        <v>2530</v>
      </c>
      <c r="I521" s="46" t="s">
        <v>2922</v>
      </c>
      <c r="J521" s="25">
        <v>44769</v>
      </c>
      <c r="K521" s="25">
        <v>45165</v>
      </c>
      <c r="L521" s="26">
        <f t="shared" si="228"/>
        <v>83.300004644812148</v>
      </c>
      <c r="M521" s="11">
        <v>2</v>
      </c>
      <c r="N521" s="11" t="s">
        <v>1928</v>
      </c>
      <c r="O521" s="11" t="s">
        <v>2531</v>
      </c>
      <c r="P521" s="11" t="s">
        <v>274</v>
      </c>
      <c r="Q521" s="11" t="s">
        <v>34</v>
      </c>
      <c r="R521" s="2">
        <f t="shared" si="235"/>
        <v>353299.56</v>
      </c>
      <c r="S521" s="2">
        <v>353299.56</v>
      </c>
      <c r="T521" s="2">
        <v>0</v>
      </c>
      <c r="U521" s="2">
        <f t="shared" si="236"/>
        <v>62346.95</v>
      </c>
      <c r="V521" s="28">
        <v>62346.95</v>
      </c>
      <c r="W521" s="28">
        <v>0</v>
      </c>
      <c r="X521" s="2">
        <f t="shared" si="237"/>
        <v>0</v>
      </c>
      <c r="Y521" s="2">
        <v>0</v>
      </c>
      <c r="Z521" s="2">
        <v>0</v>
      </c>
      <c r="AA521" s="2">
        <f t="shared" si="238"/>
        <v>8482.59</v>
      </c>
      <c r="AB521" s="2">
        <v>8482.59</v>
      </c>
      <c r="AC521" s="2">
        <v>0</v>
      </c>
      <c r="AD521" s="16">
        <f t="shared" si="234"/>
        <v>424129.10000000003</v>
      </c>
      <c r="AE521" s="2">
        <v>0</v>
      </c>
      <c r="AF521" s="2">
        <f t="shared" si="239"/>
        <v>424129.10000000003</v>
      </c>
      <c r="AG521" s="38" t="s">
        <v>486</v>
      </c>
      <c r="AH521" s="29"/>
      <c r="AI521" s="118">
        <v>0</v>
      </c>
      <c r="AJ521" s="30">
        <v>0</v>
      </c>
      <c r="AK521" s="179"/>
    </row>
    <row r="522" spans="1:37" s="43" customFormat="1" ht="152.25" customHeight="1" x14ac:dyDescent="0.25">
      <c r="A522" s="6">
        <v>519</v>
      </c>
      <c r="B522" s="31">
        <v>150693</v>
      </c>
      <c r="C522" s="11">
        <v>926</v>
      </c>
      <c r="D522" s="11" t="s">
        <v>1639</v>
      </c>
      <c r="E522" s="24" t="s">
        <v>2271</v>
      </c>
      <c r="F522" s="31" t="s">
        <v>2533</v>
      </c>
      <c r="G522" s="27" t="s">
        <v>2532</v>
      </c>
      <c r="H522" s="8" t="s">
        <v>151</v>
      </c>
      <c r="I522" s="46" t="s">
        <v>2923</v>
      </c>
      <c r="J522" s="25">
        <v>44769</v>
      </c>
      <c r="K522" s="25">
        <v>45196</v>
      </c>
      <c r="L522" s="26">
        <f t="shared" si="228"/>
        <v>83.300005100806985</v>
      </c>
      <c r="M522" s="11">
        <v>7</v>
      </c>
      <c r="N522" s="11" t="s">
        <v>194</v>
      </c>
      <c r="O522" s="11" t="s">
        <v>194</v>
      </c>
      <c r="P522" s="11" t="s">
        <v>274</v>
      </c>
      <c r="Q522" s="11" t="s">
        <v>34</v>
      </c>
      <c r="R522" s="2">
        <f t="shared" si="235"/>
        <v>300159.19</v>
      </c>
      <c r="S522" s="2">
        <v>300159.19</v>
      </c>
      <c r="T522" s="2">
        <v>0</v>
      </c>
      <c r="U522" s="2">
        <f t="shared" si="236"/>
        <v>52969.25</v>
      </c>
      <c r="V522" s="28">
        <v>52969.25</v>
      </c>
      <c r="W522" s="28">
        <v>0</v>
      </c>
      <c r="X522" s="2">
        <f t="shared" si="237"/>
        <v>0</v>
      </c>
      <c r="Y522" s="2">
        <v>0</v>
      </c>
      <c r="Z522" s="2">
        <v>0</v>
      </c>
      <c r="AA522" s="2">
        <f t="shared" si="238"/>
        <v>7206.7</v>
      </c>
      <c r="AB522" s="2">
        <v>7206.7</v>
      </c>
      <c r="AC522" s="2">
        <v>0</v>
      </c>
      <c r="AD522" s="16">
        <f t="shared" si="234"/>
        <v>360335.14</v>
      </c>
      <c r="AE522" s="2">
        <v>0</v>
      </c>
      <c r="AF522" s="2">
        <f t="shared" si="239"/>
        <v>360335.14</v>
      </c>
      <c r="AG522" s="38" t="s">
        <v>486</v>
      </c>
      <c r="AH522" s="29"/>
      <c r="AI522" s="118">
        <v>0</v>
      </c>
      <c r="AJ522" s="30">
        <v>0</v>
      </c>
      <c r="AK522" s="179"/>
    </row>
    <row r="523" spans="1:37" s="43" customFormat="1" ht="152.25" customHeight="1" x14ac:dyDescent="0.25">
      <c r="A523" s="6">
        <v>520</v>
      </c>
      <c r="B523" s="31">
        <v>151072</v>
      </c>
      <c r="C523" s="11">
        <v>932</v>
      </c>
      <c r="D523" s="11" t="s">
        <v>1639</v>
      </c>
      <c r="E523" s="24" t="s">
        <v>2271</v>
      </c>
      <c r="F523" s="31" t="s">
        <v>2535</v>
      </c>
      <c r="G523" s="27" t="s">
        <v>2534</v>
      </c>
      <c r="H523" s="8" t="s">
        <v>151</v>
      </c>
      <c r="I523" s="46" t="s">
        <v>2924</v>
      </c>
      <c r="J523" s="25">
        <v>44769</v>
      </c>
      <c r="K523" s="25">
        <v>45134</v>
      </c>
      <c r="L523" s="26">
        <f t="shared" si="228"/>
        <v>83.299998602433234</v>
      </c>
      <c r="M523" s="11">
        <v>3</v>
      </c>
      <c r="N523" s="11" t="s">
        <v>254</v>
      </c>
      <c r="O523" s="11" t="s">
        <v>255</v>
      </c>
      <c r="P523" s="11" t="s">
        <v>274</v>
      </c>
      <c r="Q523" s="11" t="s">
        <v>34</v>
      </c>
      <c r="R523" s="2">
        <f t="shared" si="235"/>
        <v>351661.19</v>
      </c>
      <c r="S523" s="2">
        <v>351661.19</v>
      </c>
      <c r="T523" s="2">
        <v>0</v>
      </c>
      <c r="U523" s="2">
        <f t="shared" si="236"/>
        <v>62057.86</v>
      </c>
      <c r="V523" s="28">
        <v>62057.86</v>
      </c>
      <c r="W523" s="28">
        <v>0</v>
      </c>
      <c r="X523" s="2">
        <f t="shared" si="237"/>
        <v>0</v>
      </c>
      <c r="Y523" s="2">
        <v>0</v>
      </c>
      <c r="Z523" s="2">
        <v>0</v>
      </c>
      <c r="AA523" s="2">
        <f t="shared" si="238"/>
        <v>8443.25</v>
      </c>
      <c r="AB523" s="2">
        <v>8443.25</v>
      </c>
      <c r="AC523" s="2">
        <v>0</v>
      </c>
      <c r="AD523" s="16">
        <f t="shared" si="234"/>
        <v>422162.3</v>
      </c>
      <c r="AE523" s="2">
        <v>0</v>
      </c>
      <c r="AF523" s="2">
        <f t="shared" si="239"/>
        <v>422162.3</v>
      </c>
      <c r="AG523" s="38" t="s">
        <v>486</v>
      </c>
      <c r="AH523" s="29"/>
      <c r="AI523" s="118">
        <v>42216.23</v>
      </c>
      <c r="AJ523" s="30">
        <v>0</v>
      </c>
      <c r="AK523" s="179"/>
    </row>
    <row r="524" spans="1:37" s="43" customFormat="1" ht="152.25" customHeight="1" x14ac:dyDescent="0.25">
      <c r="A524" s="6">
        <v>521</v>
      </c>
      <c r="B524" s="31">
        <v>151319</v>
      </c>
      <c r="C524" s="11">
        <v>976</v>
      </c>
      <c r="D524" s="11" t="s">
        <v>1639</v>
      </c>
      <c r="E524" s="24" t="s">
        <v>2271</v>
      </c>
      <c r="F524" s="31" t="s">
        <v>2537</v>
      </c>
      <c r="G524" s="27" t="s">
        <v>2536</v>
      </c>
      <c r="H524" s="8" t="s">
        <v>2538</v>
      </c>
      <c r="I524" s="46" t="s">
        <v>2925</v>
      </c>
      <c r="J524" s="25">
        <v>44769</v>
      </c>
      <c r="K524" s="25">
        <v>45196</v>
      </c>
      <c r="L524" s="26">
        <f t="shared" si="228"/>
        <v>83.299996231077415</v>
      </c>
      <c r="M524" s="11" t="s">
        <v>2539</v>
      </c>
      <c r="N524" s="11" t="s">
        <v>2540</v>
      </c>
      <c r="O524" s="11" t="s">
        <v>2540</v>
      </c>
      <c r="P524" s="11" t="s">
        <v>274</v>
      </c>
      <c r="Q524" s="11" t="s">
        <v>34</v>
      </c>
      <c r="R524" s="2">
        <f t="shared" si="235"/>
        <v>352081.77</v>
      </c>
      <c r="S524" s="2">
        <v>352081.77</v>
      </c>
      <c r="T524" s="2">
        <v>0</v>
      </c>
      <c r="U524" s="2">
        <f t="shared" si="236"/>
        <v>62132.09</v>
      </c>
      <c r="V524" s="28">
        <v>62132.09</v>
      </c>
      <c r="W524" s="28">
        <v>0</v>
      </c>
      <c r="X524" s="2">
        <f t="shared" si="237"/>
        <v>0</v>
      </c>
      <c r="Y524" s="2">
        <v>0</v>
      </c>
      <c r="Z524" s="2">
        <v>0</v>
      </c>
      <c r="AA524" s="2">
        <f t="shared" si="238"/>
        <v>8453.35</v>
      </c>
      <c r="AB524" s="2">
        <v>8453.35</v>
      </c>
      <c r="AC524" s="2">
        <v>0</v>
      </c>
      <c r="AD524" s="16">
        <f t="shared" si="234"/>
        <v>422667.20999999996</v>
      </c>
      <c r="AE524" s="2">
        <v>0</v>
      </c>
      <c r="AF524" s="2">
        <f t="shared" si="239"/>
        <v>422667.20999999996</v>
      </c>
      <c r="AG524" s="38" t="s">
        <v>486</v>
      </c>
      <c r="AH524" s="29"/>
      <c r="AI524" s="118">
        <v>0</v>
      </c>
      <c r="AJ524" s="30">
        <v>0</v>
      </c>
      <c r="AK524" s="179"/>
    </row>
    <row r="525" spans="1:37" s="43" customFormat="1" ht="152.25" customHeight="1" x14ac:dyDescent="0.25">
      <c r="A525" s="6">
        <v>522</v>
      </c>
      <c r="B525" s="31">
        <v>150960</v>
      </c>
      <c r="C525" s="11">
        <v>987</v>
      </c>
      <c r="D525" s="11" t="s">
        <v>1639</v>
      </c>
      <c r="E525" s="24" t="s">
        <v>2271</v>
      </c>
      <c r="F525" s="31" t="s">
        <v>2542</v>
      </c>
      <c r="G525" s="27" t="s">
        <v>2541</v>
      </c>
      <c r="H525" s="8" t="s">
        <v>151</v>
      </c>
      <c r="I525" s="46" t="s">
        <v>2926</v>
      </c>
      <c r="J525" s="25">
        <v>44769</v>
      </c>
      <c r="K525" s="25">
        <v>45196</v>
      </c>
      <c r="L525" s="26">
        <f t="shared" si="228"/>
        <v>83.300000053132848</v>
      </c>
      <c r="M525" s="11" t="s">
        <v>2543</v>
      </c>
      <c r="N525" s="11" t="s">
        <v>2401</v>
      </c>
      <c r="O525" s="11" t="s">
        <v>2544</v>
      </c>
      <c r="P525" s="11" t="s">
        <v>274</v>
      </c>
      <c r="Q525" s="11" t="s">
        <v>34</v>
      </c>
      <c r="R525" s="2">
        <f t="shared" si="235"/>
        <v>329231.28000000003</v>
      </c>
      <c r="S525" s="2">
        <v>329231.28000000003</v>
      </c>
      <c r="T525" s="2">
        <v>0</v>
      </c>
      <c r="U525" s="2">
        <f t="shared" si="236"/>
        <v>58099.64</v>
      </c>
      <c r="V525" s="28">
        <v>58099.64</v>
      </c>
      <c r="W525" s="28">
        <v>0</v>
      </c>
      <c r="X525" s="2">
        <f t="shared" si="237"/>
        <v>0</v>
      </c>
      <c r="Y525" s="2">
        <v>0</v>
      </c>
      <c r="Z525" s="2">
        <v>0</v>
      </c>
      <c r="AA525" s="2">
        <f t="shared" si="238"/>
        <v>7904.71</v>
      </c>
      <c r="AB525" s="2">
        <v>7904.71</v>
      </c>
      <c r="AC525" s="2">
        <v>0</v>
      </c>
      <c r="AD525" s="16">
        <f t="shared" si="234"/>
        <v>395235.63000000006</v>
      </c>
      <c r="AE525" s="2">
        <v>0</v>
      </c>
      <c r="AF525" s="2">
        <f t="shared" si="239"/>
        <v>395235.63000000006</v>
      </c>
      <c r="AG525" s="38" t="s">
        <v>486</v>
      </c>
      <c r="AH525" s="29"/>
      <c r="AI525" s="118">
        <v>39523.56</v>
      </c>
      <c r="AJ525" s="30">
        <v>0</v>
      </c>
      <c r="AK525" s="179"/>
    </row>
    <row r="526" spans="1:37" s="43" customFormat="1" ht="152.25" customHeight="1" x14ac:dyDescent="0.25">
      <c r="A526" s="6">
        <v>523</v>
      </c>
      <c r="B526" s="31">
        <v>151516</v>
      </c>
      <c r="C526" s="11">
        <v>1001</v>
      </c>
      <c r="D526" s="11" t="s">
        <v>1639</v>
      </c>
      <c r="E526" s="24" t="s">
        <v>2271</v>
      </c>
      <c r="F526" s="31" t="s">
        <v>2546</v>
      </c>
      <c r="G526" s="27" t="s">
        <v>2545</v>
      </c>
      <c r="H526" s="8" t="s">
        <v>151</v>
      </c>
      <c r="I526" s="46" t="s">
        <v>2547</v>
      </c>
      <c r="J526" s="25">
        <v>44769</v>
      </c>
      <c r="K526" s="25">
        <v>45196</v>
      </c>
      <c r="L526" s="26">
        <f t="shared" si="228"/>
        <v>83.300001059138779</v>
      </c>
      <c r="M526" s="11">
        <v>4</v>
      </c>
      <c r="N526" s="11" t="s">
        <v>1569</v>
      </c>
      <c r="O526" s="11" t="s">
        <v>2548</v>
      </c>
      <c r="P526" s="11" t="s">
        <v>274</v>
      </c>
      <c r="Q526" s="11" t="s">
        <v>34</v>
      </c>
      <c r="R526" s="2">
        <f t="shared" si="235"/>
        <v>353919.63</v>
      </c>
      <c r="S526" s="2">
        <v>353919.63</v>
      </c>
      <c r="T526" s="2">
        <v>0</v>
      </c>
      <c r="U526" s="2">
        <f t="shared" si="236"/>
        <v>62456.41</v>
      </c>
      <c r="V526" s="28">
        <v>62456.41</v>
      </c>
      <c r="W526" s="28">
        <v>0</v>
      </c>
      <c r="X526" s="2">
        <f t="shared" si="237"/>
        <v>0</v>
      </c>
      <c r="Y526" s="2">
        <v>0</v>
      </c>
      <c r="Z526" s="2">
        <v>0</v>
      </c>
      <c r="AA526" s="2">
        <f t="shared" si="238"/>
        <v>8497.4599999999991</v>
      </c>
      <c r="AB526" s="2">
        <v>8497.4599999999991</v>
      </c>
      <c r="AC526" s="2">
        <v>0</v>
      </c>
      <c r="AD526" s="16">
        <f t="shared" si="234"/>
        <v>424873.50000000006</v>
      </c>
      <c r="AE526" s="2">
        <v>0</v>
      </c>
      <c r="AF526" s="2">
        <f t="shared" si="239"/>
        <v>424873.50000000006</v>
      </c>
      <c r="AG526" s="38" t="s">
        <v>486</v>
      </c>
      <c r="AH526" s="29"/>
      <c r="AI526" s="118">
        <v>0</v>
      </c>
      <c r="AJ526" s="30">
        <v>0</v>
      </c>
      <c r="AK526" s="179"/>
    </row>
    <row r="527" spans="1:37" s="43" customFormat="1" ht="152.25" customHeight="1" x14ac:dyDescent="0.25">
      <c r="A527" s="6">
        <v>524</v>
      </c>
      <c r="B527" s="31">
        <v>151468</v>
      </c>
      <c r="C527" s="11">
        <v>1022</v>
      </c>
      <c r="D527" s="11" t="s">
        <v>1639</v>
      </c>
      <c r="E527" s="24" t="s">
        <v>2271</v>
      </c>
      <c r="F527" s="31" t="s">
        <v>2550</v>
      </c>
      <c r="G527" s="27" t="s">
        <v>2549</v>
      </c>
      <c r="H527" s="11" t="s">
        <v>2551</v>
      </c>
      <c r="I527" s="46" t="s">
        <v>2927</v>
      </c>
      <c r="J527" s="25">
        <v>44769</v>
      </c>
      <c r="K527" s="25">
        <v>45196</v>
      </c>
      <c r="L527" s="26">
        <f t="shared" si="228"/>
        <v>83.300002473139926</v>
      </c>
      <c r="M527" s="11">
        <v>3</v>
      </c>
      <c r="N527" s="11" t="s">
        <v>330</v>
      </c>
      <c r="O527" s="11" t="s">
        <v>2552</v>
      </c>
      <c r="P527" s="11" t="s">
        <v>274</v>
      </c>
      <c r="Q527" s="11" t="s">
        <v>34</v>
      </c>
      <c r="R527" s="2">
        <f t="shared" si="235"/>
        <v>353659.74</v>
      </c>
      <c r="S527" s="2">
        <v>353659.74</v>
      </c>
      <c r="T527" s="2">
        <v>0</v>
      </c>
      <c r="U527" s="2">
        <f t="shared" si="236"/>
        <v>62410.53</v>
      </c>
      <c r="V527" s="28">
        <v>62410.53</v>
      </c>
      <c r="W527" s="28">
        <v>0</v>
      </c>
      <c r="X527" s="2">
        <f t="shared" si="237"/>
        <v>0</v>
      </c>
      <c r="Y527" s="2">
        <v>0</v>
      </c>
      <c r="Z527" s="2">
        <v>0</v>
      </c>
      <c r="AA527" s="2">
        <f t="shared" si="238"/>
        <v>8491.23</v>
      </c>
      <c r="AB527" s="2">
        <v>8491.23</v>
      </c>
      <c r="AC527" s="2">
        <v>0</v>
      </c>
      <c r="AD527" s="16">
        <f t="shared" si="234"/>
        <v>424561.5</v>
      </c>
      <c r="AE527" s="2">
        <v>0</v>
      </c>
      <c r="AF527" s="2">
        <f t="shared" si="239"/>
        <v>424561.5</v>
      </c>
      <c r="AG527" s="38" t="s">
        <v>486</v>
      </c>
      <c r="AH527" s="29"/>
      <c r="AI527" s="118">
        <v>42456</v>
      </c>
      <c r="AJ527" s="30">
        <v>0</v>
      </c>
      <c r="AK527" s="179"/>
    </row>
    <row r="528" spans="1:37" s="43" customFormat="1" ht="152.25" customHeight="1" x14ac:dyDescent="0.25">
      <c r="A528" s="6">
        <v>525</v>
      </c>
      <c r="B528" s="31">
        <v>151549</v>
      </c>
      <c r="C528" s="11">
        <v>1068</v>
      </c>
      <c r="D528" s="11" t="s">
        <v>1639</v>
      </c>
      <c r="E528" s="24" t="s">
        <v>2271</v>
      </c>
      <c r="F528" s="31" t="s">
        <v>2554</v>
      </c>
      <c r="G528" s="27" t="s">
        <v>2553</v>
      </c>
      <c r="H528" s="8" t="s">
        <v>151</v>
      </c>
      <c r="I528" s="46" t="s">
        <v>2928</v>
      </c>
      <c r="J528" s="25">
        <v>44769</v>
      </c>
      <c r="K528" s="25">
        <v>45196</v>
      </c>
      <c r="L528" s="26">
        <f t="shared" si="228"/>
        <v>83.300002011195389</v>
      </c>
      <c r="M528" s="11">
        <v>1</v>
      </c>
      <c r="N528" s="11" t="s">
        <v>185</v>
      </c>
      <c r="O528" s="11" t="s">
        <v>2555</v>
      </c>
      <c r="P528" s="11" t="s">
        <v>274</v>
      </c>
      <c r="Q528" s="11" t="s">
        <v>34</v>
      </c>
      <c r="R528" s="2">
        <f t="shared" si="235"/>
        <v>337143.78</v>
      </c>
      <c r="S528" s="2">
        <v>337143.78</v>
      </c>
      <c r="T528" s="2">
        <v>0</v>
      </c>
      <c r="U528" s="2">
        <f t="shared" si="236"/>
        <v>59495.94</v>
      </c>
      <c r="V528" s="28">
        <v>59495.94</v>
      </c>
      <c r="W528" s="28">
        <v>0</v>
      </c>
      <c r="X528" s="2">
        <f t="shared" si="237"/>
        <v>0</v>
      </c>
      <c r="Y528" s="2">
        <v>0</v>
      </c>
      <c r="Z528" s="2">
        <v>0</v>
      </c>
      <c r="AA528" s="2">
        <f t="shared" si="238"/>
        <v>8094.7</v>
      </c>
      <c r="AB528" s="2">
        <v>8094.7</v>
      </c>
      <c r="AC528" s="2">
        <v>0</v>
      </c>
      <c r="AD528" s="16">
        <f t="shared" si="234"/>
        <v>404734.42000000004</v>
      </c>
      <c r="AE528" s="2">
        <v>0</v>
      </c>
      <c r="AF528" s="2">
        <f t="shared" si="239"/>
        <v>404734.42000000004</v>
      </c>
      <c r="AG528" s="38" t="s">
        <v>486</v>
      </c>
      <c r="AH528" s="29"/>
      <c r="AI528" s="118">
        <v>0</v>
      </c>
      <c r="AJ528" s="30">
        <v>0</v>
      </c>
      <c r="AK528" s="179"/>
    </row>
    <row r="529" spans="1:37" s="43" customFormat="1" ht="152.25" customHeight="1" x14ac:dyDescent="0.25">
      <c r="A529" s="6">
        <v>526</v>
      </c>
      <c r="B529" s="31">
        <v>151136</v>
      </c>
      <c r="C529" s="11">
        <v>892</v>
      </c>
      <c r="D529" s="11" t="s">
        <v>1639</v>
      </c>
      <c r="E529" s="24" t="s">
        <v>2271</v>
      </c>
      <c r="F529" s="31" t="s">
        <v>2564</v>
      </c>
      <c r="G529" s="27" t="s">
        <v>2563</v>
      </c>
      <c r="H529" s="8" t="s">
        <v>151</v>
      </c>
      <c r="I529" s="46" t="s">
        <v>2929</v>
      </c>
      <c r="J529" s="25">
        <v>44774</v>
      </c>
      <c r="K529" s="25">
        <v>45200</v>
      </c>
      <c r="L529" s="26">
        <f t="shared" si="228"/>
        <v>83.300001244556015</v>
      </c>
      <c r="M529" s="11">
        <v>3</v>
      </c>
      <c r="N529" s="11" t="s">
        <v>240</v>
      </c>
      <c r="O529" s="11" t="s">
        <v>2567</v>
      </c>
      <c r="P529" s="11" t="s">
        <v>274</v>
      </c>
      <c r="Q529" s="11" t="s">
        <v>34</v>
      </c>
      <c r="R529" s="2">
        <f t="shared" si="235"/>
        <v>196778.61</v>
      </c>
      <c r="S529" s="2">
        <v>196778.61</v>
      </c>
      <c r="T529" s="28">
        <v>0</v>
      </c>
      <c r="U529" s="2">
        <f t="shared" si="236"/>
        <v>34725.629999999997</v>
      </c>
      <c r="V529" s="28">
        <v>34725.629999999997</v>
      </c>
      <c r="W529" s="28">
        <v>0</v>
      </c>
      <c r="X529" s="2">
        <f t="shared" si="237"/>
        <v>0</v>
      </c>
      <c r="Y529" s="2">
        <v>0</v>
      </c>
      <c r="Z529" s="2">
        <v>0</v>
      </c>
      <c r="AA529" s="2">
        <f t="shared" si="238"/>
        <v>4724.58</v>
      </c>
      <c r="AB529" s="2">
        <v>4724.58</v>
      </c>
      <c r="AC529" s="2">
        <v>0</v>
      </c>
      <c r="AD529" s="16">
        <f t="shared" si="234"/>
        <v>236228.81999999998</v>
      </c>
      <c r="AE529" s="2">
        <v>0</v>
      </c>
      <c r="AF529" s="2">
        <f t="shared" si="239"/>
        <v>236228.81999999998</v>
      </c>
      <c r="AG529" s="38" t="s">
        <v>486</v>
      </c>
      <c r="AH529" s="29"/>
      <c r="AI529" s="118">
        <v>0</v>
      </c>
      <c r="AJ529" s="30">
        <v>0</v>
      </c>
      <c r="AK529" s="179"/>
    </row>
    <row r="530" spans="1:37" s="43" customFormat="1" ht="152.25" customHeight="1" x14ac:dyDescent="0.25">
      <c r="A530" s="6">
        <v>527</v>
      </c>
      <c r="B530" s="31">
        <v>151461</v>
      </c>
      <c r="C530" s="11">
        <v>916</v>
      </c>
      <c r="D530" s="11" t="s">
        <v>1639</v>
      </c>
      <c r="E530" s="24" t="s">
        <v>2271</v>
      </c>
      <c r="F530" s="31" t="s">
        <v>2566</v>
      </c>
      <c r="G530" s="27" t="s">
        <v>2565</v>
      </c>
      <c r="H530" s="8" t="s">
        <v>151</v>
      </c>
      <c r="I530" s="46" t="s">
        <v>2930</v>
      </c>
      <c r="J530" s="25">
        <v>44774</v>
      </c>
      <c r="K530" s="25">
        <v>45139</v>
      </c>
      <c r="L530" s="26">
        <f t="shared" si="228"/>
        <v>83.300001185016654</v>
      </c>
      <c r="M530" s="11">
        <v>6</v>
      </c>
      <c r="N530" s="11" t="s">
        <v>182</v>
      </c>
      <c r="O530" s="11" t="s">
        <v>394</v>
      </c>
      <c r="P530" s="11" t="s">
        <v>274</v>
      </c>
      <c r="Q530" s="11" t="s">
        <v>34</v>
      </c>
      <c r="R530" s="2">
        <f t="shared" si="235"/>
        <v>351471.86</v>
      </c>
      <c r="S530" s="2">
        <v>351471.86</v>
      </c>
      <c r="T530" s="28">
        <v>0</v>
      </c>
      <c r="U530" s="2">
        <f t="shared" si="236"/>
        <v>62024.44</v>
      </c>
      <c r="V530" s="28">
        <v>62024.44</v>
      </c>
      <c r="W530" s="28">
        <v>0</v>
      </c>
      <c r="X530" s="2">
        <f t="shared" si="237"/>
        <v>0</v>
      </c>
      <c r="Y530" s="2">
        <v>0</v>
      </c>
      <c r="Z530" s="2">
        <v>0</v>
      </c>
      <c r="AA530" s="2">
        <f t="shared" si="238"/>
        <v>8438.7000000000007</v>
      </c>
      <c r="AB530" s="2">
        <v>8438.7000000000007</v>
      </c>
      <c r="AC530" s="2">
        <v>0</v>
      </c>
      <c r="AD530" s="16">
        <f t="shared" si="234"/>
        <v>421935</v>
      </c>
      <c r="AE530" s="2">
        <v>0</v>
      </c>
      <c r="AF530" s="2">
        <f t="shared" si="239"/>
        <v>421935</v>
      </c>
      <c r="AG530" s="38" t="s">
        <v>486</v>
      </c>
      <c r="AH530" s="29"/>
      <c r="AI530" s="118">
        <v>0</v>
      </c>
      <c r="AJ530" s="30">
        <v>0</v>
      </c>
      <c r="AK530" s="179"/>
    </row>
    <row r="531" spans="1:37" s="43" customFormat="1" ht="152.25" customHeight="1" x14ac:dyDescent="0.25">
      <c r="A531" s="6">
        <v>528</v>
      </c>
      <c r="B531" s="31">
        <v>151464</v>
      </c>
      <c r="C531" s="11">
        <v>917</v>
      </c>
      <c r="D531" s="11" t="s">
        <v>1639</v>
      </c>
      <c r="E531" s="24" t="s">
        <v>2271</v>
      </c>
      <c r="F531" s="31" t="s">
        <v>2568</v>
      </c>
      <c r="G531" s="27" t="s">
        <v>1035</v>
      </c>
      <c r="H531" s="8" t="s">
        <v>151</v>
      </c>
      <c r="I531" s="46" t="s">
        <v>2570</v>
      </c>
      <c r="J531" s="25">
        <v>44775</v>
      </c>
      <c r="K531" s="25">
        <v>45201</v>
      </c>
      <c r="L531" s="26">
        <f t="shared" si="228"/>
        <v>83.300000000000011</v>
      </c>
      <c r="M531" s="11">
        <v>4</v>
      </c>
      <c r="N531" s="11" t="s">
        <v>231</v>
      </c>
      <c r="O531" s="11" t="s">
        <v>2569</v>
      </c>
      <c r="P531" s="11" t="s">
        <v>274</v>
      </c>
      <c r="Q531" s="11" t="s">
        <v>34</v>
      </c>
      <c r="R531" s="2">
        <f t="shared" si="235"/>
        <v>342696.2</v>
      </c>
      <c r="S531" s="2">
        <v>342696.2</v>
      </c>
      <c r="T531" s="28">
        <v>0</v>
      </c>
      <c r="U531" s="2">
        <f t="shared" si="236"/>
        <v>60475.8</v>
      </c>
      <c r="V531" s="28">
        <v>60475.8</v>
      </c>
      <c r="W531" s="28">
        <v>0</v>
      </c>
      <c r="X531" s="2">
        <f t="shared" si="237"/>
        <v>0</v>
      </c>
      <c r="Y531" s="2">
        <v>0</v>
      </c>
      <c r="Z531" s="2">
        <v>0</v>
      </c>
      <c r="AA531" s="2">
        <f t="shared" si="238"/>
        <v>8228</v>
      </c>
      <c r="AB531" s="2">
        <v>8228</v>
      </c>
      <c r="AC531" s="2">
        <v>0</v>
      </c>
      <c r="AD531" s="16">
        <f t="shared" si="234"/>
        <v>411400</v>
      </c>
      <c r="AE531" s="2">
        <v>0</v>
      </c>
      <c r="AF531" s="2">
        <f t="shared" si="239"/>
        <v>411400</v>
      </c>
      <c r="AG531" s="38" t="s">
        <v>486</v>
      </c>
      <c r="AH531" s="29"/>
      <c r="AI531" s="118">
        <v>41140</v>
      </c>
      <c r="AJ531" s="30">
        <v>0</v>
      </c>
      <c r="AK531" s="179"/>
    </row>
    <row r="532" spans="1:37" s="43" customFormat="1" ht="152.25" customHeight="1" x14ac:dyDescent="0.25">
      <c r="A532" s="6">
        <v>529</v>
      </c>
      <c r="B532" s="31">
        <v>151526</v>
      </c>
      <c r="C532" s="11">
        <v>920</v>
      </c>
      <c r="D532" s="11" t="s">
        <v>1639</v>
      </c>
      <c r="E532" s="24" t="s">
        <v>2271</v>
      </c>
      <c r="F532" s="31" t="s">
        <v>2572</v>
      </c>
      <c r="G532" s="27" t="s">
        <v>2571</v>
      </c>
      <c r="H532" s="8" t="s">
        <v>151</v>
      </c>
      <c r="I532" s="46" t="s">
        <v>2573</v>
      </c>
      <c r="J532" s="25">
        <v>44774</v>
      </c>
      <c r="K532" s="25">
        <v>45139</v>
      </c>
      <c r="L532" s="26">
        <f t="shared" si="228"/>
        <v>83.300003720798586</v>
      </c>
      <c r="M532" s="11">
        <v>4</v>
      </c>
      <c r="N532" s="11" t="s">
        <v>2574</v>
      </c>
      <c r="O532" s="11" t="s">
        <v>2575</v>
      </c>
      <c r="P532" s="11" t="s">
        <v>274</v>
      </c>
      <c r="Q532" s="11" t="s">
        <v>34</v>
      </c>
      <c r="R532" s="2">
        <f t="shared" si="235"/>
        <v>327755.46000000002</v>
      </c>
      <c r="S532" s="2">
        <v>327755.46000000002</v>
      </c>
      <c r="T532" s="28">
        <v>0</v>
      </c>
      <c r="U532" s="2">
        <f t="shared" si="236"/>
        <v>57839.19</v>
      </c>
      <c r="V532" s="28">
        <v>57839.19</v>
      </c>
      <c r="W532" s="28">
        <v>0</v>
      </c>
      <c r="X532" s="2">
        <f t="shared" si="237"/>
        <v>0</v>
      </c>
      <c r="Y532" s="2">
        <v>0</v>
      </c>
      <c r="Z532" s="2">
        <v>0</v>
      </c>
      <c r="AA532" s="2">
        <f t="shared" si="238"/>
        <v>7869.27</v>
      </c>
      <c r="AB532" s="2">
        <v>7869.27</v>
      </c>
      <c r="AC532" s="2">
        <v>0</v>
      </c>
      <c r="AD532" s="16">
        <f t="shared" si="234"/>
        <v>393463.92000000004</v>
      </c>
      <c r="AE532" s="2">
        <v>0</v>
      </c>
      <c r="AF532" s="2">
        <f t="shared" si="239"/>
        <v>393463.92000000004</v>
      </c>
      <c r="AG532" s="38" t="s">
        <v>486</v>
      </c>
      <c r="AH532" s="29"/>
      <c r="AI532" s="118">
        <v>39346</v>
      </c>
      <c r="AJ532" s="30">
        <v>0</v>
      </c>
      <c r="AK532" s="179"/>
    </row>
    <row r="533" spans="1:37" s="43" customFormat="1" ht="152.25" customHeight="1" x14ac:dyDescent="0.25">
      <c r="A533" s="6">
        <v>530</v>
      </c>
      <c r="B533" s="31">
        <v>151551</v>
      </c>
      <c r="C533" s="11">
        <v>923</v>
      </c>
      <c r="D533" s="11" t="s">
        <v>1639</v>
      </c>
      <c r="E533" s="24" t="s">
        <v>2271</v>
      </c>
      <c r="F533" s="31" t="s">
        <v>2577</v>
      </c>
      <c r="G533" s="27" t="s">
        <v>2576</v>
      </c>
      <c r="H533" s="8" t="s">
        <v>151</v>
      </c>
      <c r="I533" s="46" t="s">
        <v>2578</v>
      </c>
      <c r="J533" s="25">
        <v>44774</v>
      </c>
      <c r="K533" s="25">
        <v>45200</v>
      </c>
      <c r="L533" s="26">
        <f t="shared" si="228"/>
        <v>83.300004010275742</v>
      </c>
      <c r="M533" s="11">
        <v>2</v>
      </c>
      <c r="N533" s="11" t="s">
        <v>280</v>
      </c>
      <c r="O533" s="11" t="s">
        <v>2579</v>
      </c>
      <c r="P533" s="11" t="s">
        <v>274</v>
      </c>
      <c r="Q533" s="11" t="s">
        <v>34</v>
      </c>
      <c r="R533" s="2">
        <f t="shared" si="235"/>
        <v>353117.88</v>
      </c>
      <c r="S533" s="2">
        <v>353117.88</v>
      </c>
      <c r="T533" s="28">
        <v>0</v>
      </c>
      <c r="U533" s="2">
        <f t="shared" si="236"/>
        <v>62314.9</v>
      </c>
      <c r="V533" s="28">
        <v>62314.9</v>
      </c>
      <c r="W533" s="28">
        <v>0</v>
      </c>
      <c r="X533" s="2">
        <f t="shared" si="237"/>
        <v>0</v>
      </c>
      <c r="Y533" s="2">
        <v>0</v>
      </c>
      <c r="Z533" s="2">
        <v>0</v>
      </c>
      <c r="AA533" s="2">
        <f t="shared" si="238"/>
        <v>8478.2199999999993</v>
      </c>
      <c r="AB533" s="2">
        <v>8478.2199999999993</v>
      </c>
      <c r="AC533" s="2">
        <v>0</v>
      </c>
      <c r="AD533" s="16">
        <f t="shared" si="234"/>
        <v>423911</v>
      </c>
      <c r="AE533" s="2">
        <v>0</v>
      </c>
      <c r="AF533" s="2">
        <f t="shared" si="239"/>
        <v>423911</v>
      </c>
      <c r="AG533" s="38" t="s">
        <v>486</v>
      </c>
      <c r="AH533" s="29"/>
      <c r="AI533" s="118">
        <v>42391.1</v>
      </c>
      <c r="AJ533" s="30">
        <v>0</v>
      </c>
      <c r="AK533" s="179"/>
    </row>
    <row r="534" spans="1:37" s="43" customFormat="1" ht="152.25" customHeight="1" x14ac:dyDescent="0.25">
      <c r="A534" s="6">
        <v>531</v>
      </c>
      <c r="B534" s="31">
        <v>151044</v>
      </c>
      <c r="C534" s="11">
        <v>933</v>
      </c>
      <c r="D534" s="11" t="s">
        <v>1639</v>
      </c>
      <c r="E534" s="24" t="s">
        <v>2271</v>
      </c>
      <c r="F534" s="31" t="s">
        <v>2581</v>
      </c>
      <c r="G534" s="27" t="s">
        <v>2580</v>
      </c>
      <c r="H534" s="8" t="s">
        <v>2582</v>
      </c>
      <c r="I534" s="46" t="s">
        <v>2931</v>
      </c>
      <c r="J534" s="25">
        <v>44775</v>
      </c>
      <c r="K534" s="25">
        <v>45140</v>
      </c>
      <c r="L534" s="26">
        <f t="shared" si="228"/>
        <v>83.30000070611662</v>
      </c>
      <c r="M534" s="11">
        <v>1</v>
      </c>
      <c r="N534" s="11" t="s">
        <v>411</v>
      </c>
      <c r="O534" s="11" t="s">
        <v>2583</v>
      </c>
      <c r="P534" s="11" t="s">
        <v>274</v>
      </c>
      <c r="Q534" s="11" t="s">
        <v>34</v>
      </c>
      <c r="R534" s="2">
        <f t="shared" si="235"/>
        <v>353907.55</v>
      </c>
      <c r="S534" s="2">
        <v>353907.55</v>
      </c>
      <c r="T534" s="28">
        <v>0</v>
      </c>
      <c r="U534" s="2">
        <f t="shared" si="236"/>
        <v>62454.27</v>
      </c>
      <c r="V534" s="28">
        <v>62454.27</v>
      </c>
      <c r="W534" s="28">
        <v>0</v>
      </c>
      <c r="X534" s="2">
        <f t="shared" si="237"/>
        <v>0</v>
      </c>
      <c r="Y534" s="2">
        <v>0</v>
      </c>
      <c r="Z534" s="2">
        <v>0</v>
      </c>
      <c r="AA534" s="2">
        <f t="shared" si="238"/>
        <v>8497.18</v>
      </c>
      <c r="AB534" s="2">
        <v>8497.18</v>
      </c>
      <c r="AC534" s="2">
        <v>0</v>
      </c>
      <c r="AD534" s="16">
        <f t="shared" si="234"/>
        <v>424859</v>
      </c>
      <c r="AE534" s="2">
        <v>0</v>
      </c>
      <c r="AF534" s="2">
        <f t="shared" si="239"/>
        <v>424859</v>
      </c>
      <c r="AG534" s="38" t="s">
        <v>486</v>
      </c>
      <c r="AH534" s="29"/>
      <c r="AI534" s="118">
        <v>42485</v>
      </c>
      <c r="AJ534" s="30">
        <v>0</v>
      </c>
      <c r="AK534" s="179"/>
    </row>
    <row r="535" spans="1:37" s="43" customFormat="1" ht="152.25" customHeight="1" x14ac:dyDescent="0.25">
      <c r="A535" s="6">
        <v>532</v>
      </c>
      <c r="B535" s="31">
        <v>151317</v>
      </c>
      <c r="C535" s="11">
        <v>975</v>
      </c>
      <c r="D535" s="11" t="s">
        <v>1639</v>
      </c>
      <c r="E535" s="24" t="s">
        <v>2271</v>
      </c>
      <c r="F535" s="31" t="s">
        <v>2585</v>
      </c>
      <c r="G535" s="27" t="s">
        <v>2584</v>
      </c>
      <c r="H535" s="8" t="s">
        <v>151</v>
      </c>
      <c r="I535" s="46" t="s">
        <v>2932</v>
      </c>
      <c r="J535" s="25">
        <v>44774</v>
      </c>
      <c r="K535" s="25">
        <v>45200</v>
      </c>
      <c r="L535" s="26">
        <f t="shared" si="228"/>
        <v>83.300003503569187</v>
      </c>
      <c r="M535" s="11">
        <v>3</v>
      </c>
      <c r="N535" s="11" t="s">
        <v>330</v>
      </c>
      <c r="O535" s="11" t="s">
        <v>330</v>
      </c>
      <c r="P535" s="11" t="s">
        <v>274</v>
      </c>
      <c r="Q535" s="11" t="s">
        <v>34</v>
      </c>
      <c r="R535" s="2">
        <f t="shared" si="235"/>
        <v>350692.39</v>
      </c>
      <c r="S535" s="2">
        <v>350692.39</v>
      </c>
      <c r="T535" s="28">
        <v>0</v>
      </c>
      <c r="U535" s="2">
        <f t="shared" si="236"/>
        <v>61886.879999999997</v>
      </c>
      <c r="V535" s="28">
        <v>61886.879999999997</v>
      </c>
      <c r="W535" s="28">
        <v>0</v>
      </c>
      <c r="X535" s="2">
        <f t="shared" si="237"/>
        <v>0</v>
      </c>
      <c r="Y535" s="2">
        <v>0</v>
      </c>
      <c r="Z535" s="2">
        <v>0</v>
      </c>
      <c r="AA535" s="2">
        <f t="shared" si="238"/>
        <v>8419.98</v>
      </c>
      <c r="AB535" s="2">
        <v>8419.98</v>
      </c>
      <c r="AC535" s="2">
        <v>0</v>
      </c>
      <c r="AD535" s="16">
        <f t="shared" si="234"/>
        <v>420999.25</v>
      </c>
      <c r="AE535" s="2">
        <v>0</v>
      </c>
      <c r="AF535" s="2">
        <f t="shared" si="239"/>
        <v>420999.25</v>
      </c>
      <c r="AG535" s="38" t="s">
        <v>486</v>
      </c>
      <c r="AH535" s="29"/>
      <c r="AI535" s="118">
        <v>0</v>
      </c>
      <c r="AJ535" s="30">
        <v>0</v>
      </c>
      <c r="AK535" s="179"/>
    </row>
    <row r="536" spans="1:37" s="43" customFormat="1" ht="152.25" customHeight="1" x14ac:dyDescent="0.25">
      <c r="A536" s="6">
        <v>533</v>
      </c>
      <c r="B536" s="31">
        <v>151324</v>
      </c>
      <c r="C536" s="11">
        <v>977</v>
      </c>
      <c r="D536" s="11" t="s">
        <v>1639</v>
      </c>
      <c r="E536" s="24" t="s">
        <v>2271</v>
      </c>
      <c r="F536" s="31" t="s">
        <v>2587</v>
      </c>
      <c r="G536" s="27" t="s">
        <v>2586</v>
      </c>
      <c r="H536" s="8" t="s">
        <v>151</v>
      </c>
      <c r="I536" s="46" t="s">
        <v>2933</v>
      </c>
      <c r="J536" s="25">
        <v>44777</v>
      </c>
      <c r="K536" s="25">
        <v>45142</v>
      </c>
      <c r="L536" s="26">
        <f t="shared" si="228"/>
        <v>83.300001229422534</v>
      </c>
      <c r="M536" s="11">
        <v>5</v>
      </c>
      <c r="N536" s="11" t="s">
        <v>592</v>
      </c>
      <c r="O536" s="11" t="s">
        <v>2588</v>
      </c>
      <c r="P536" s="11" t="s">
        <v>274</v>
      </c>
      <c r="Q536" s="11" t="s">
        <v>34</v>
      </c>
      <c r="R536" s="2">
        <f t="shared" si="235"/>
        <v>338776.94</v>
      </c>
      <c r="S536" s="2">
        <v>338776.94</v>
      </c>
      <c r="T536" s="28">
        <v>0</v>
      </c>
      <c r="U536" s="2">
        <f t="shared" si="236"/>
        <v>59784.160000000003</v>
      </c>
      <c r="V536" s="28">
        <v>59784.160000000003</v>
      </c>
      <c r="W536" s="28">
        <v>0</v>
      </c>
      <c r="X536" s="2">
        <f t="shared" si="237"/>
        <v>0</v>
      </c>
      <c r="Y536" s="2">
        <v>0</v>
      </c>
      <c r="Z536" s="2">
        <v>0</v>
      </c>
      <c r="AA536" s="2">
        <f t="shared" si="238"/>
        <v>8133.9</v>
      </c>
      <c r="AB536" s="2">
        <v>8133.9</v>
      </c>
      <c r="AC536" s="2">
        <v>0</v>
      </c>
      <c r="AD536" s="16">
        <f t="shared" si="234"/>
        <v>406695</v>
      </c>
      <c r="AE536" s="2">
        <v>0</v>
      </c>
      <c r="AF536" s="2">
        <f t="shared" si="239"/>
        <v>406695</v>
      </c>
      <c r="AG536" s="38" t="s">
        <v>486</v>
      </c>
      <c r="AH536" s="29"/>
      <c r="AI536" s="118">
        <v>0</v>
      </c>
      <c r="AJ536" s="30">
        <v>0</v>
      </c>
      <c r="AK536" s="179"/>
    </row>
    <row r="537" spans="1:37" s="43" customFormat="1" ht="152.25" customHeight="1" x14ac:dyDescent="0.25">
      <c r="A537" s="6">
        <v>534</v>
      </c>
      <c r="B537" s="31">
        <v>151106</v>
      </c>
      <c r="C537" s="11">
        <v>986</v>
      </c>
      <c r="D537" s="11" t="s">
        <v>1639</v>
      </c>
      <c r="E537" s="24" t="s">
        <v>2271</v>
      </c>
      <c r="F537" s="31" t="s">
        <v>2590</v>
      </c>
      <c r="G537" s="27" t="s">
        <v>2589</v>
      </c>
      <c r="H537" s="8" t="s">
        <v>151</v>
      </c>
      <c r="I537" s="46" t="s">
        <v>2591</v>
      </c>
      <c r="J537" s="25">
        <v>44775</v>
      </c>
      <c r="K537" s="25">
        <v>45140</v>
      </c>
      <c r="L537" s="26">
        <f t="shared" si="228"/>
        <v>83.300001522444617</v>
      </c>
      <c r="M537" s="11">
        <v>7</v>
      </c>
      <c r="N537" s="11" t="s">
        <v>226</v>
      </c>
      <c r="O537" s="11" t="s">
        <v>226</v>
      </c>
      <c r="P537" s="11" t="s">
        <v>274</v>
      </c>
      <c r="Q537" s="11" t="s">
        <v>34</v>
      </c>
      <c r="R537" s="2">
        <f t="shared" si="235"/>
        <v>354003.69</v>
      </c>
      <c r="S537" s="2">
        <v>354003.69</v>
      </c>
      <c r="T537" s="28">
        <v>0</v>
      </c>
      <c r="U537" s="2">
        <f t="shared" si="236"/>
        <v>62471.23</v>
      </c>
      <c r="V537" s="28">
        <v>62471.23</v>
      </c>
      <c r="W537" s="28">
        <v>0</v>
      </c>
      <c r="X537" s="2">
        <f t="shared" si="237"/>
        <v>0</v>
      </c>
      <c r="Y537" s="2">
        <v>0</v>
      </c>
      <c r="Z537" s="2">
        <v>0</v>
      </c>
      <c r="AA537" s="2">
        <f t="shared" si="238"/>
        <v>8499.49</v>
      </c>
      <c r="AB537" s="2">
        <v>8499.49</v>
      </c>
      <c r="AC537" s="2">
        <v>0</v>
      </c>
      <c r="AD537" s="16">
        <f t="shared" si="234"/>
        <v>424974.41</v>
      </c>
      <c r="AE537" s="2">
        <v>0</v>
      </c>
      <c r="AF537" s="2">
        <f t="shared" si="239"/>
        <v>424974.41</v>
      </c>
      <c r="AG537" s="38" t="s">
        <v>486</v>
      </c>
      <c r="AH537" s="29"/>
      <c r="AI537" s="118">
        <v>42497.440000000002</v>
      </c>
      <c r="AJ537" s="30">
        <v>0</v>
      </c>
      <c r="AK537" s="179"/>
    </row>
    <row r="538" spans="1:37" s="43" customFormat="1" ht="152.25" customHeight="1" x14ac:dyDescent="0.25">
      <c r="A538" s="6">
        <v>535</v>
      </c>
      <c r="B538" s="31">
        <v>151134</v>
      </c>
      <c r="C538" s="11">
        <v>989</v>
      </c>
      <c r="D538" s="11" t="s">
        <v>1639</v>
      </c>
      <c r="E538" s="24" t="s">
        <v>2271</v>
      </c>
      <c r="F538" s="31" t="s">
        <v>2593</v>
      </c>
      <c r="G538" s="27" t="s">
        <v>2592</v>
      </c>
      <c r="H538" s="8" t="s">
        <v>2603</v>
      </c>
      <c r="I538" s="46" t="s">
        <v>2934</v>
      </c>
      <c r="J538" s="25">
        <v>44774</v>
      </c>
      <c r="K538" s="25">
        <v>45139</v>
      </c>
      <c r="L538" s="26">
        <f t="shared" si="228"/>
        <v>83.299997175832658</v>
      </c>
      <c r="M538" s="11" t="s">
        <v>2594</v>
      </c>
      <c r="N538" s="11" t="s">
        <v>2595</v>
      </c>
      <c r="O538" s="11" t="s">
        <v>2596</v>
      </c>
      <c r="P538" s="11" t="s">
        <v>274</v>
      </c>
      <c r="Q538" s="11" t="s">
        <v>34</v>
      </c>
      <c r="R538" s="2">
        <f t="shared" si="235"/>
        <v>353945.02</v>
      </c>
      <c r="S538" s="2">
        <v>353945.02</v>
      </c>
      <c r="T538" s="28">
        <v>0</v>
      </c>
      <c r="U538" s="2">
        <f t="shared" si="236"/>
        <v>62460.9</v>
      </c>
      <c r="V538" s="28">
        <v>62460.9</v>
      </c>
      <c r="W538" s="28">
        <v>0</v>
      </c>
      <c r="X538" s="2">
        <f t="shared" si="237"/>
        <v>0</v>
      </c>
      <c r="Y538" s="2">
        <v>0</v>
      </c>
      <c r="Z538" s="2">
        <v>0</v>
      </c>
      <c r="AA538" s="2">
        <f t="shared" si="238"/>
        <v>8498.08</v>
      </c>
      <c r="AB538" s="2">
        <v>8498.08</v>
      </c>
      <c r="AC538" s="2">
        <v>0</v>
      </c>
      <c r="AD538" s="16">
        <f t="shared" si="234"/>
        <v>424904.00000000006</v>
      </c>
      <c r="AE538" s="2">
        <v>0</v>
      </c>
      <c r="AF538" s="2">
        <f t="shared" si="239"/>
        <v>424904.00000000006</v>
      </c>
      <c r="AG538" s="38" t="s">
        <v>486</v>
      </c>
      <c r="AH538" s="29"/>
      <c r="AI538" s="118">
        <v>0</v>
      </c>
      <c r="AJ538" s="30">
        <v>0</v>
      </c>
      <c r="AK538" s="179"/>
    </row>
    <row r="539" spans="1:37" s="43" customFormat="1" ht="152.25" customHeight="1" x14ac:dyDescent="0.25">
      <c r="A539" s="6">
        <v>536</v>
      </c>
      <c r="B539" s="31">
        <v>151508</v>
      </c>
      <c r="C539" s="11">
        <v>998</v>
      </c>
      <c r="D539" s="11" t="s">
        <v>1639</v>
      </c>
      <c r="E539" s="24" t="s">
        <v>2271</v>
      </c>
      <c r="F539" s="31" t="s">
        <v>2598</v>
      </c>
      <c r="G539" s="27" t="s">
        <v>2597</v>
      </c>
      <c r="H539" s="8" t="s">
        <v>151</v>
      </c>
      <c r="I539" s="46" t="s">
        <v>2935</v>
      </c>
      <c r="J539" s="25">
        <v>44774</v>
      </c>
      <c r="K539" s="25">
        <v>45139</v>
      </c>
      <c r="L539" s="26">
        <f t="shared" si="228"/>
        <v>83.300008123751994</v>
      </c>
      <c r="M539" s="11">
        <v>3</v>
      </c>
      <c r="N539" s="11" t="s">
        <v>254</v>
      </c>
      <c r="O539" s="11" t="s">
        <v>255</v>
      </c>
      <c r="P539" s="11" t="s">
        <v>274</v>
      </c>
      <c r="Q539" s="11" t="s">
        <v>34</v>
      </c>
      <c r="R539" s="2">
        <f t="shared" si="235"/>
        <v>327098.89</v>
      </c>
      <c r="S539" s="2">
        <v>327098.89</v>
      </c>
      <c r="T539" s="28">
        <v>0</v>
      </c>
      <c r="U539" s="2">
        <f t="shared" si="236"/>
        <v>57723.3</v>
      </c>
      <c r="V539" s="28">
        <v>57723.3</v>
      </c>
      <c r="W539" s="28">
        <v>0</v>
      </c>
      <c r="X539" s="2">
        <f t="shared" si="237"/>
        <v>0</v>
      </c>
      <c r="Y539" s="2">
        <v>0</v>
      </c>
      <c r="Z539" s="2">
        <v>0</v>
      </c>
      <c r="AA539" s="2">
        <f t="shared" si="238"/>
        <v>7853.51</v>
      </c>
      <c r="AB539" s="2">
        <v>7853.51</v>
      </c>
      <c r="AC539" s="2">
        <v>0</v>
      </c>
      <c r="AD539" s="16">
        <f t="shared" si="234"/>
        <v>392675.7</v>
      </c>
      <c r="AE539" s="2">
        <v>0</v>
      </c>
      <c r="AF539" s="2">
        <f t="shared" si="239"/>
        <v>392675.7</v>
      </c>
      <c r="AG539" s="38" t="s">
        <v>486</v>
      </c>
      <c r="AH539" s="29"/>
      <c r="AI539" s="118">
        <v>0</v>
      </c>
      <c r="AJ539" s="30">
        <v>0</v>
      </c>
      <c r="AK539" s="179"/>
    </row>
    <row r="540" spans="1:37" s="43" customFormat="1" ht="152.25" customHeight="1" x14ac:dyDescent="0.25">
      <c r="A540" s="6">
        <v>537</v>
      </c>
      <c r="B540" s="31">
        <v>151469</v>
      </c>
      <c r="C540" s="11">
        <v>1023</v>
      </c>
      <c r="D540" s="11" t="s">
        <v>1639</v>
      </c>
      <c r="E540" s="24" t="s">
        <v>2271</v>
      </c>
      <c r="F540" s="31" t="s">
        <v>2600</v>
      </c>
      <c r="G540" s="27" t="s">
        <v>2599</v>
      </c>
      <c r="H540" s="8" t="s">
        <v>151</v>
      </c>
      <c r="I540" s="46" t="s">
        <v>2936</v>
      </c>
      <c r="J540" s="25">
        <v>44777</v>
      </c>
      <c r="K540" s="25">
        <v>45142</v>
      </c>
      <c r="L540" s="26">
        <f t="shared" si="228"/>
        <v>83.300001478147905</v>
      </c>
      <c r="M540" s="11">
        <v>4</v>
      </c>
      <c r="N540" s="11" t="s">
        <v>268</v>
      </c>
      <c r="O540" s="11" t="s">
        <v>269</v>
      </c>
      <c r="P540" s="11" t="s">
        <v>274</v>
      </c>
      <c r="Q540" s="11" t="s">
        <v>34</v>
      </c>
      <c r="R540" s="2">
        <f t="shared" si="235"/>
        <v>328545.61</v>
      </c>
      <c r="S540" s="2">
        <v>328545.61</v>
      </c>
      <c r="T540" s="28">
        <v>0</v>
      </c>
      <c r="U540" s="2">
        <f t="shared" si="236"/>
        <v>57978.63</v>
      </c>
      <c r="V540" s="28">
        <v>57978.63</v>
      </c>
      <c r="W540" s="28">
        <v>0</v>
      </c>
      <c r="X540" s="2">
        <f t="shared" si="237"/>
        <v>0</v>
      </c>
      <c r="Y540" s="2">
        <v>0</v>
      </c>
      <c r="Z540" s="2">
        <v>0</v>
      </c>
      <c r="AA540" s="2">
        <f t="shared" si="238"/>
        <v>7888.25</v>
      </c>
      <c r="AB540" s="2">
        <v>7888.25</v>
      </c>
      <c r="AC540" s="2">
        <v>0</v>
      </c>
      <c r="AD540" s="16">
        <f t="shared" si="234"/>
        <v>394412.49</v>
      </c>
      <c r="AE540" s="2">
        <v>0</v>
      </c>
      <c r="AF540" s="2">
        <f t="shared" si="239"/>
        <v>394412.49</v>
      </c>
      <c r="AG540" s="38" t="s">
        <v>486</v>
      </c>
      <c r="AH540" s="29"/>
      <c r="AI540" s="118">
        <v>0</v>
      </c>
      <c r="AJ540" s="30">
        <v>0</v>
      </c>
      <c r="AK540" s="179"/>
    </row>
    <row r="541" spans="1:37" s="43" customFormat="1" ht="152.25" customHeight="1" x14ac:dyDescent="0.25">
      <c r="A541" s="6">
        <v>538</v>
      </c>
      <c r="B541" s="31">
        <v>151472</v>
      </c>
      <c r="C541" s="11">
        <v>1056</v>
      </c>
      <c r="D541" s="11" t="s">
        <v>1639</v>
      </c>
      <c r="E541" s="24" t="s">
        <v>2271</v>
      </c>
      <c r="F541" s="31" t="s">
        <v>2606</v>
      </c>
      <c r="G541" s="27" t="s">
        <v>2605</v>
      </c>
      <c r="H541" s="8" t="s">
        <v>151</v>
      </c>
      <c r="I541" s="46" t="s">
        <v>2937</v>
      </c>
      <c r="J541" s="25">
        <v>44774</v>
      </c>
      <c r="K541" s="25">
        <v>45078</v>
      </c>
      <c r="L541" s="26">
        <f t="shared" si="228"/>
        <v>83.300001176595174</v>
      </c>
      <c r="M541" s="11">
        <v>7</v>
      </c>
      <c r="N541" s="11" t="s">
        <v>263</v>
      </c>
      <c r="O541" s="11" t="s">
        <v>263</v>
      </c>
      <c r="P541" s="11" t="s">
        <v>274</v>
      </c>
      <c r="Q541" s="11" t="s">
        <v>34</v>
      </c>
      <c r="R541" s="2">
        <f t="shared" si="235"/>
        <v>353987.52</v>
      </c>
      <c r="S541" s="2">
        <v>353987.52</v>
      </c>
      <c r="T541" s="28">
        <v>0</v>
      </c>
      <c r="U541" s="2">
        <f t="shared" si="236"/>
        <v>62468.38</v>
      </c>
      <c r="V541" s="28">
        <v>62468.38</v>
      </c>
      <c r="W541" s="28">
        <v>0</v>
      </c>
      <c r="X541" s="2">
        <f t="shared" si="237"/>
        <v>0</v>
      </c>
      <c r="Y541" s="2">
        <v>0</v>
      </c>
      <c r="Z541" s="2">
        <v>0</v>
      </c>
      <c r="AA541" s="2">
        <f t="shared" si="238"/>
        <v>8499.1</v>
      </c>
      <c r="AB541" s="2">
        <v>8499.1</v>
      </c>
      <c r="AC541" s="2">
        <v>0</v>
      </c>
      <c r="AD541" s="16">
        <f t="shared" si="234"/>
        <v>424955</v>
      </c>
      <c r="AE541" s="2">
        <v>0</v>
      </c>
      <c r="AF541" s="2">
        <f t="shared" si="239"/>
        <v>424955</v>
      </c>
      <c r="AG541" s="38" t="s">
        <v>486</v>
      </c>
      <c r="AH541" s="29"/>
      <c r="AI541" s="118">
        <v>0</v>
      </c>
      <c r="AJ541" s="30">
        <v>0</v>
      </c>
      <c r="AK541" s="179"/>
    </row>
    <row r="542" spans="1:37" s="43" customFormat="1" ht="152.25" customHeight="1" x14ac:dyDescent="0.25">
      <c r="A542" s="6">
        <v>539</v>
      </c>
      <c r="B542" s="31">
        <v>151520</v>
      </c>
      <c r="C542" s="11">
        <v>1064</v>
      </c>
      <c r="D542" s="11" t="s">
        <v>1639</v>
      </c>
      <c r="E542" s="24" t="s">
        <v>2271</v>
      </c>
      <c r="F542" s="31" t="s">
        <v>2602</v>
      </c>
      <c r="G542" s="27" t="s">
        <v>2601</v>
      </c>
      <c r="H542" s="8" t="s">
        <v>151</v>
      </c>
      <c r="I542" s="46" t="s">
        <v>2938</v>
      </c>
      <c r="J542" s="25">
        <v>44775</v>
      </c>
      <c r="K542" s="25">
        <v>45201</v>
      </c>
      <c r="L542" s="26">
        <f t="shared" si="228"/>
        <v>83.300003326642226</v>
      </c>
      <c r="M542" s="11">
        <v>1</v>
      </c>
      <c r="N542" s="11" t="s">
        <v>290</v>
      </c>
      <c r="O542" s="11" t="s">
        <v>2604</v>
      </c>
      <c r="P542" s="11" t="s">
        <v>274</v>
      </c>
      <c r="Q542" s="11" t="s">
        <v>34</v>
      </c>
      <c r="R542" s="2">
        <f t="shared" si="235"/>
        <v>342801.23</v>
      </c>
      <c r="S542" s="2">
        <v>342801.23</v>
      </c>
      <c r="T542" s="28">
        <v>0</v>
      </c>
      <c r="U542" s="2">
        <f t="shared" si="236"/>
        <v>60494.34</v>
      </c>
      <c r="V542" s="28">
        <v>60494.34</v>
      </c>
      <c r="W542" s="28">
        <v>0</v>
      </c>
      <c r="X542" s="2">
        <f t="shared" si="237"/>
        <v>0</v>
      </c>
      <c r="Y542" s="2">
        <v>0</v>
      </c>
      <c r="Z542" s="2">
        <v>0</v>
      </c>
      <c r="AA542" s="2">
        <f t="shared" si="238"/>
        <v>8230.5</v>
      </c>
      <c r="AB542" s="2">
        <v>8230.5</v>
      </c>
      <c r="AC542" s="2">
        <v>0</v>
      </c>
      <c r="AD542" s="16">
        <f t="shared" si="234"/>
        <v>411526.06999999995</v>
      </c>
      <c r="AE542" s="2">
        <v>0</v>
      </c>
      <c r="AF542" s="2">
        <f t="shared" si="239"/>
        <v>411526.06999999995</v>
      </c>
      <c r="AG542" s="38" t="s">
        <v>486</v>
      </c>
      <c r="AH542" s="29"/>
      <c r="AI542" s="118">
        <v>0</v>
      </c>
      <c r="AJ542" s="30">
        <v>0</v>
      </c>
      <c r="AK542" s="179"/>
    </row>
    <row r="543" spans="1:37" s="43" customFormat="1" ht="173.25" x14ac:dyDescent="0.25">
      <c r="A543" s="6">
        <v>540</v>
      </c>
      <c r="B543" s="31">
        <v>151550</v>
      </c>
      <c r="C543" s="11">
        <v>922</v>
      </c>
      <c r="D543" s="11" t="s">
        <v>1639</v>
      </c>
      <c r="E543" s="24" t="s">
        <v>2271</v>
      </c>
      <c r="F543" s="31" t="s">
        <v>3078</v>
      </c>
      <c r="G543" s="27" t="s">
        <v>3077</v>
      </c>
      <c r="H543" s="8" t="s">
        <v>151</v>
      </c>
      <c r="I543" s="46" t="s">
        <v>3079</v>
      </c>
      <c r="J543" s="25">
        <v>44777</v>
      </c>
      <c r="K543" s="25">
        <v>45203</v>
      </c>
      <c r="L543" s="26">
        <f t="shared" si="228"/>
        <v>83.300004010275742</v>
      </c>
      <c r="M543" s="11">
        <v>2</v>
      </c>
      <c r="N543" s="11" t="s">
        <v>485</v>
      </c>
      <c r="O543" s="11" t="s">
        <v>2089</v>
      </c>
      <c r="P543" s="11" t="s">
        <v>274</v>
      </c>
      <c r="Q543" s="11" t="s">
        <v>34</v>
      </c>
      <c r="R543" s="2">
        <f t="shared" si="235"/>
        <v>353117.88</v>
      </c>
      <c r="S543" s="2">
        <v>353117.88</v>
      </c>
      <c r="T543" s="28">
        <v>0</v>
      </c>
      <c r="U543" s="2">
        <f t="shared" si="236"/>
        <v>62314.9</v>
      </c>
      <c r="V543" s="28">
        <v>62314.9</v>
      </c>
      <c r="W543" s="2">
        <v>0</v>
      </c>
      <c r="X543" s="2">
        <f t="shared" si="237"/>
        <v>0</v>
      </c>
      <c r="Y543" s="2">
        <v>0</v>
      </c>
      <c r="Z543" s="2">
        <v>0</v>
      </c>
      <c r="AA543" s="2">
        <f t="shared" si="238"/>
        <v>8478.2199999999993</v>
      </c>
      <c r="AB543" s="2">
        <v>8478.2199999999993</v>
      </c>
      <c r="AC543" s="2">
        <v>0</v>
      </c>
      <c r="AD543" s="16">
        <f t="shared" si="234"/>
        <v>423911</v>
      </c>
      <c r="AE543" s="2">
        <v>0</v>
      </c>
      <c r="AF543" s="2">
        <f t="shared" si="239"/>
        <v>423911</v>
      </c>
      <c r="AG543" s="38" t="s">
        <v>486</v>
      </c>
      <c r="AH543" s="29"/>
      <c r="AI543" s="118">
        <v>42391.1</v>
      </c>
      <c r="AJ543" s="30">
        <v>0</v>
      </c>
      <c r="AK543" s="179"/>
    </row>
    <row r="544" spans="1:37" s="43" customFormat="1" ht="236.25" x14ac:dyDescent="0.25">
      <c r="A544" s="6">
        <v>541</v>
      </c>
      <c r="B544" s="31">
        <v>151155</v>
      </c>
      <c r="C544" s="11">
        <v>935</v>
      </c>
      <c r="D544" s="11" t="s">
        <v>1639</v>
      </c>
      <c r="E544" s="24" t="s">
        <v>2271</v>
      </c>
      <c r="F544" s="31" t="s">
        <v>3081</v>
      </c>
      <c r="G544" s="27" t="s">
        <v>3080</v>
      </c>
      <c r="H544" s="11" t="s">
        <v>3082</v>
      </c>
      <c r="I544" s="46" t="s">
        <v>3136</v>
      </c>
      <c r="J544" s="25">
        <v>44781</v>
      </c>
      <c r="K544" s="25">
        <v>45146</v>
      </c>
      <c r="L544" s="26">
        <f t="shared" si="228"/>
        <v>83.30000260556119</v>
      </c>
      <c r="M544" s="11">
        <v>1</v>
      </c>
      <c r="N544" s="11" t="s">
        <v>407</v>
      </c>
      <c r="O544" s="11" t="s">
        <v>3083</v>
      </c>
      <c r="P544" s="11" t="s">
        <v>274</v>
      </c>
      <c r="Q544" s="11" t="s">
        <v>34</v>
      </c>
      <c r="R544" s="2">
        <f t="shared" si="235"/>
        <v>331210.03999999998</v>
      </c>
      <c r="S544" s="2">
        <v>331210.03999999998</v>
      </c>
      <c r="T544" s="28">
        <v>0</v>
      </c>
      <c r="U544" s="2">
        <f t="shared" si="236"/>
        <v>58448.82</v>
      </c>
      <c r="V544" s="28">
        <v>58448.82</v>
      </c>
      <c r="W544" s="2">
        <v>0</v>
      </c>
      <c r="X544" s="2">
        <f t="shared" si="237"/>
        <v>0</v>
      </c>
      <c r="Y544" s="2">
        <v>0</v>
      </c>
      <c r="Z544" s="2">
        <v>0</v>
      </c>
      <c r="AA544" s="2">
        <f t="shared" si="238"/>
        <v>7952.22</v>
      </c>
      <c r="AB544" s="2">
        <v>7952.22</v>
      </c>
      <c r="AC544" s="2">
        <v>0</v>
      </c>
      <c r="AD544" s="16">
        <f t="shared" si="234"/>
        <v>397611.07999999996</v>
      </c>
      <c r="AE544" s="2">
        <v>0</v>
      </c>
      <c r="AF544" s="2">
        <f t="shared" si="239"/>
        <v>397611.07999999996</v>
      </c>
      <c r="AG544" s="38" t="s">
        <v>486</v>
      </c>
      <c r="AH544" s="29"/>
      <c r="AI544" s="118">
        <v>0</v>
      </c>
      <c r="AJ544" s="30">
        <v>0</v>
      </c>
      <c r="AK544" s="179"/>
    </row>
    <row r="545" spans="1:37" s="43" customFormat="1" ht="141.75" x14ac:dyDescent="0.25">
      <c r="A545" s="6">
        <v>542</v>
      </c>
      <c r="B545" s="31">
        <v>151179</v>
      </c>
      <c r="C545" s="11">
        <v>938</v>
      </c>
      <c r="D545" s="11" t="s">
        <v>1639</v>
      </c>
      <c r="E545" s="24" t="s">
        <v>2271</v>
      </c>
      <c r="F545" s="31" t="s">
        <v>3085</v>
      </c>
      <c r="G545" s="27" t="s">
        <v>3084</v>
      </c>
      <c r="H545" s="8" t="s">
        <v>151</v>
      </c>
      <c r="I545" s="46" t="s">
        <v>3137</v>
      </c>
      <c r="J545" s="25">
        <v>44782</v>
      </c>
      <c r="K545" s="25">
        <v>45208</v>
      </c>
      <c r="L545" s="26">
        <f t="shared" si="228"/>
        <v>83.30000113263975</v>
      </c>
      <c r="M545" s="11">
        <v>1</v>
      </c>
      <c r="N545" s="11" t="s">
        <v>407</v>
      </c>
      <c r="O545" s="11" t="s">
        <v>797</v>
      </c>
      <c r="P545" s="11" t="s">
        <v>274</v>
      </c>
      <c r="Q545" s="11" t="s">
        <v>34</v>
      </c>
      <c r="R545" s="2">
        <f t="shared" si="235"/>
        <v>172095.32</v>
      </c>
      <c r="S545" s="2">
        <v>172095.32</v>
      </c>
      <c r="T545" s="28">
        <v>0</v>
      </c>
      <c r="U545" s="2">
        <f t="shared" si="236"/>
        <v>30369.75</v>
      </c>
      <c r="V545" s="28">
        <v>30369.75</v>
      </c>
      <c r="W545" s="2">
        <v>0</v>
      </c>
      <c r="X545" s="2">
        <f t="shared" si="237"/>
        <v>0</v>
      </c>
      <c r="Y545" s="2">
        <v>0</v>
      </c>
      <c r="Z545" s="2">
        <v>0</v>
      </c>
      <c r="AA545" s="2">
        <f t="shared" si="238"/>
        <v>4131.95</v>
      </c>
      <c r="AB545" s="2">
        <v>4131.95</v>
      </c>
      <c r="AC545" s="2">
        <v>0</v>
      </c>
      <c r="AD545" s="16">
        <f t="shared" si="234"/>
        <v>206597.02000000002</v>
      </c>
      <c r="AE545" s="2">
        <v>0</v>
      </c>
      <c r="AF545" s="2">
        <f t="shared" si="239"/>
        <v>206597.02000000002</v>
      </c>
      <c r="AG545" s="38" t="s">
        <v>486</v>
      </c>
      <c r="AH545" s="29"/>
      <c r="AI545" s="118">
        <v>20659.7</v>
      </c>
      <c r="AJ545" s="30">
        <v>0</v>
      </c>
      <c r="AK545" s="179"/>
    </row>
    <row r="546" spans="1:37" s="43" customFormat="1" ht="173.25" x14ac:dyDescent="0.25">
      <c r="A546" s="6">
        <v>543</v>
      </c>
      <c r="B546" s="31">
        <v>151250</v>
      </c>
      <c r="C546" s="11">
        <v>940</v>
      </c>
      <c r="D546" s="11" t="s">
        <v>1639</v>
      </c>
      <c r="E546" s="24" t="s">
        <v>2271</v>
      </c>
      <c r="F546" s="31" t="s">
        <v>3087</v>
      </c>
      <c r="G546" s="27" t="s">
        <v>3086</v>
      </c>
      <c r="H546" s="11" t="s">
        <v>3088</v>
      </c>
      <c r="I546" s="46" t="s">
        <v>3138</v>
      </c>
      <c r="J546" s="25">
        <v>44781</v>
      </c>
      <c r="K546" s="25">
        <v>45207</v>
      </c>
      <c r="L546" s="26">
        <f t="shared" si="228"/>
        <v>83.299998980725618</v>
      </c>
      <c r="M546" s="11">
        <v>2</v>
      </c>
      <c r="N546" s="11" t="s">
        <v>186</v>
      </c>
      <c r="O546" s="11" t="s">
        <v>186</v>
      </c>
      <c r="P546" s="11" t="s">
        <v>274</v>
      </c>
      <c r="Q546" s="11" t="s">
        <v>34</v>
      </c>
      <c r="R546" s="2">
        <f t="shared" si="235"/>
        <v>353868.4</v>
      </c>
      <c r="S546" s="2">
        <v>353868.4</v>
      </c>
      <c r="T546" s="28">
        <v>0</v>
      </c>
      <c r="U546" s="2">
        <f t="shared" si="236"/>
        <v>62447.37</v>
      </c>
      <c r="V546" s="28">
        <v>62447.37</v>
      </c>
      <c r="W546" s="2">
        <v>0</v>
      </c>
      <c r="X546" s="2">
        <f t="shared" si="237"/>
        <v>0</v>
      </c>
      <c r="Y546" s="2">
        <v>0</v>
      </c>
      <c r="Z546" s="2">
        <v>0</v>
      </c>
      <c r="AA546" s="2">
        <f t="shared" si="238"/>
        <v>8496.24</v>
      </c>
      <c r="AB546" s="2">
        <v>8496.24</v>
      </c>
      <c r="AC546" s="2">
        <v>0</v>
      </c>
      <c r="AD546" s="16">
        <f t="shared" si="234"/>
        <v>424812.01</v>
      </c>
      <c r="AE546" s="2">
        <v>0</v>
      </c>
      <c r="AF546" s="2">
        <f t="shared" si="239"/>
        <v>424812.01</v>
      </c>
      <c r="AG546" s="38" t="s">
        <v>486</v>
      </c>
      <c r="AH546" s="29"/>
      <c r="AI546" s="118">
        <v>0</v>
      </c>
      <c r="AJ546" s="30">
        <v>0</v>
      </c>
      <c r="AK546" s="179"/>
    </row>
    <row r="547" spans="1:37" s="43" customFormat="1" ht="173.25" x14ac:dyDescent="0.25">
      <c r="A547" s="6">
        <v>544</v>
      </c>
      <c r="B547" s="31">
        <v>151286</v>
      </c>
      <c r="C547" s="11">
        <v>941</v>
      </c>
      <c r="D547" s="11" t="s">
        <v>1639</v>
      </c>
      <c r="E547" s="24" t="s">
        <v>2271</v>
      </c>
      <c r="F547" s="31" t="s">
        <v>3090</v>
      </c>
      <c r="G547" s="27" t="s">
        <v>3089</v>
      </c>
      <c r="H547" s="8" t="s">
        <v>3091</v>
      </c>
      <c r="I547" s="46" t="s">
        <v>3139</v>
      </c>
      <c r="J547" s="25">
        <v>44782</v>
      </c>
      <c r="K547" s="25">
        <v>45208</v>
      </c>
      <c r="L547" s="26">
        <f t="shared" si="228"/>
        <v>83.300003437285312</v>
      </c>
      <c r="M547" s="11">
        <v>7</v>
      </c>
      <c r="N547" s="11" t="s">
        <v>752</v>
      </c>
      <c r="O547" s="11" t="s">
        <v>3092</v>
      </c>
      <c r="P547" s="11" t="s">
        <v>274</v>
      </c>
      <c r="Q547" s="11" t="s">
        <v>34</v>
      </c>
      <c r="R547" s="2">
        <f t="shared" si="235"/>
        <v>353819.93</v>
      </c>
      <c r="S547" s="2">
        <v>353819.93</v>
      </c>
      <c r="T547" s="28">
        <v>0</v>
      </c>
      <c r="U547" s="2">
        <f t="shared" si="236"/>
        <v>62438.8</v>
      </c>
      <c r="V547" s="28">
        <v>62438.8</v>
      </c>
      <c r="W547" s="2">
        <v>0</v>
      </c>
      <c r="X547" s="2">
        <f t="shared" si="237"/>
        <v>0</v>
      </c>
      <c r="Y547" s="2">
        <v>0</v>
      </c>
      <c r="Z547" s="2">
        <v>0</v>
      </c>
      <c r="AA547" s="2">
        <f t="shared" si="238"/>
        <v>8495.07</v>
      </c>
      <c r="AB547" s="2">
        <v>8495.07</v>
      </c>
      <c r="AC547" s="2">
        <v>0</v>
      </c>
      <c r="AD547" s="16">
        <f t="shared" si="234"/>
        <v>424753.8</v>
      </c>
      <c r="AE547" s="2">
        <v>0</v>
      </c>
      <c r="AF547" s="2">
        <f t="shared" si="239"/>
        <v>424753.8</v>
      </c>
      <c r="AG547" s="38" t="s">
        <v>486</v>
      </c>
      <c r="AH547" s="29"/>
      <c r="AI547" s="118">
        <v>42475.38</v>
      </c>
      <c r="AJ547" s="30">
        <v>0</v>
      </c>
      <c r="AK547" s="179"/>
    </row>
    <row r="548" spans="1:37" s="43" customFormat="1" ht="141.75" x14ac:dyDescent="0.25">
      <c r="A548" s="6">
        <v>545</v>
      </c>
      <c r="B548" s="31">
        <v>151408</v>
      </c>
      <c r="C548" s="11">
        <v>943</v>
      </c>
      <c r="D548" s="11" t="s">
        <v>1639</v>
      </c>
      <c r="E548" s="24" t="s">
        <v>2271</v>
      </c>
      <c r="F548" s="31" t="s">
        <v>3094</v>
      </c>
      <c r="G548" s="27" t="s">
        <v>3093</v>
      </c>
      <c r="H548" s="8" t="s">
        <v>151</v>
      </c>
      <c r="I548" s="46" t="s">
        <v>3095</v>
      </c>
      <c r="J548" s="25">
        <v>44782</v>
      </c>
      <c r="K548" s="25">
        <v>45208</v>
      </c>
      <c r="L548" s="26">
        <f t="shared" si="228"/>
        <v>83.300004010275742</v>
      </c>
      <c r="M548" s="11">
        <v>2</v>
      </c>
      <c r="N548" s="11" t="s">
        <v>280</v>
      </c>
      <c r="O548" s="11" t="s">
        <v>3096</v>
      </c>
      <c r="P548" s="11" t="s">
        <v>274</v>
      </c>
      <c r="Q548" s="11" t="s">
        <v>34</v>
      </c>
      <c r="R548" s="2">
        <f t="shared" si="235"/>
        <v>353117.88</v>
      </c>
      <c r="S548" s="2">
        <v>353117.88</v>
      </c>
      <c r="T548" s="28">
        <v>0</v>
      </c>
      <c r="U548" s="2">
        <f t="shared" si="236"/>
        <v>62314.9</v>
      </c>
      <c r="V548" s="28">
        <v>62314.9</v>
      </c>
      <c r="W548" s="2">
        <v>0</v>
      </c>
      <c r="X548" s="2">
        <f t="shared" si="237"/>
        <v>0</v>
      </c>
      <c r="Y548" s="2">
        <v>0</v>
      </c>
      <c r="Z548" s="2">
        <v>0</v>
      </c>
      <c r="AA548" s="2">
        <f t="shared" si="238"/>
        <v>8478.2199999999993</v>
      </c>
      <c r="AB548" s="2">
        <v>8478.2199999999993</v>
      </c>
      <c r="AC548" s="2">
        <v>0</v>
      </c>
      <c r="AD548" s="16">
        <f t="shared" si="234"/>
        <v>423911</v>
      </c>
      <c r="AE548" s="2">
        <v>0</v>
      </c>
      <c r="AF548" s="2">
        <f t="shared" si="239"/>
        <v>423911</v>
      </c>
      <c r="AG548" s="38" t="s">
        <v>486</v>
      </c>
      <c r="AH548" s="29"/>
      <c r="AI548" s="118">
        <v>42391.1</v>
      </c>
      <c r="AJ548" s="30">
        <v>0</v>
      </c>
      <c r="AK548" s="179"/>
    </row>
    <row r="549" spans="1:37" s="43" customFormat="1" ht="157.5" x14ac:dyDescent="0.25">
      <c r="A549" s="6">
        <v>546</v>
      </c>
      <c r="B549" s="31">
        <v>151439</v>
      </c>
      <c r="C549" s="11">
        <v>946</v>
      </c>
      <c r="D549" s="11" t="s">
        <v>1639</v>
      </c>
      <c r="E549" s="24" t="s">
        <v>2271</v>
      </c>
      <c r="F549" s="31" t="s">
        <v>3098</v>
      </c>
      <c r="G549" s="27" t="s">
        <v>3097</v>
      </c>
      <c r="H549" s="8" t="s">
        <v>151</v>
      </c>
      <c r="I549" s="46" t="s">
        <v>3099</v>
      </c>
      <c r="J549" s="25">
        <v>44782</v>
      </c>
      <c r="K549" s="25">
        <v>45208</v>
      </c>
      <c r="L549" s="26">
        <f t="shared" si="228"/>
        <v>83.299998833853991</v>
      </c>
      <c r="M549" s="11">
        <v>7</v>
      </c>
      <c r="N549" s="11" t="s">
        <v>226</v>
      </c>
      <c r="O549" s="11" t="s">
        <v>226</v>
      </c>
      <c r="P549" s="11" t="s">
        <v>274</v>
      </c>
      <c r="Q549" s="11" t="s">
        <v>34</v>
      </c>
      <c r="R549" s="2">
        <f t="shared" si="235"/>
        <v>321443.45</v>
      </c>
      <c r="S549" s="2">
        <v>321443.45</v>
      </c>
      <c r="T549" s="28">
        <v>0</v>
      </c>
      <c r="U549" s="2">
        <f t="shared" si="236"/>
        <v>56725.32</v>
      </c>
      <c r="V549" s="28">
        <v>56725.32</v>
      </c>
      <c r="W549" s="2">
        <v>0</v>
      </c>
      <c r="X549" s="2">
        <f t="shared" si="237"/>
        <v>0</v>
      </c>
      <c r="Y549" s="2">
        <v>0</v>
      </c>
      <c r="Z549" s="2">
        <v>0</v>
      </c>
      <c r="AA549" s="2">
        <f t="shared" si="238"/>
        <v>7717.73</v>
      </c>
      <c r="AB549" s="2">
        <v>7717.73</v>
      </c>
      <c r="AC549" s="2">
        <v>0</v>
      </c>
      <c r="AD549" s="16">
        <f t="shared" si="234"/>
        <v>385886.5</v>
      </c>
      <c r="AE549" s="2">
        <v>0</v>
      </c>
      <c r="AF549" s="2">
        <f t="shared" si="239"/>
        <v>385886.5</v>
      </c>
      <c r="AG549" s="38" t="s">
        <v>486</v>
      </c>
      <c r="AH549" s="29"/>
      <c r="AI549" s="118">
        <v>0</v>
      </c>
      <c r="AJ549" s="30">
        <v>0</v>
      </c>
      <c r="AK549" s="179"/>
    </row>
    <row r="550" spans="1:37" s="43" customFormat="1" ht="141.75" x14ac:dyDescent="0.25">
      <c r="A550" s="6">
        <v>547</v>
      </c>
      <c r="B550" s="31">
        <v>151557</v>
      </c>
      <c r="C550" s="11">
        <v>1011</v>
      </c>
      <c r="D550" s="11" t="s">
        <v>1639</v>
      </c>
      <c r="E550" s="24" t="s">
        <v>2271</v>
      </c>
      <c r="F550" s="31" t="s">
        <v>3101</v>
      </c>
      <c r="G550" s="27" t="s">
        <v>3100</v>
      </c>
      <c r="H550" s="8" t="s">
        <v>151</v>
      </c>
      <c r="I550" s="46" t="s">
        <v>3140</v>
      </c>
      <c r="J550" s="25">
        <v>44782</v>
      </c>
      <c r="K550" s="25">
        <v>45025</v>
      </c>
      <c r="L550" s="26">
        <f t="shared" si="228"/>
        <v>83.299999206311455</v>
      </c>
      <c r="M550" s="11">
        <v>5</v>
      </c>
      <c r="N550" s="11" t="s">
        <v>592</v>
      </c>
      <c r="O550" s="11" t="s">
        <v>3102</v>
      </c>
      <c r="P550" s="11" t="s">
        <v>274</v>
      </c>
      <c r="Q550" s="11" t="s">
        <v>34</v>
      </c>
      <c r="R550" s="2">
        <f t="shared" si="235"/>
        <v>350543.04</v>
      </c>
      <c r="S550" s="2">
        <v>350543.04</v>
      </c>
      <c r="T550" s="28">
        <v>0</v>
      </c>
      <c r="U550" s="2">
        <f t="shared" si="236"/>
        <v>61860.54</v>
      </c>
      <c r="V550" s="28">
        <v>61860.54</v>
      </c>
      <c r="W550" s="2">
        <v>0</v>
      </c>
      <c r="X550" s="2">
        <f t="shared" si="237"/>
        <v>0</v>
      </c>
      <c r="Y550" s="2">
        <v>0</v>
      </c>
      <c r="Z550" s="2">
        <v>0</v>
      </c>
      <c r="AA550" s="2">
        <f t="shared" si="238"/>
        <v>8416.4</v>
      </c>
      <c r="AB550" s="2">
        <v>8416.4</v>
      </c>
      <c r="AC550" s="2">
        <v>0</v>
      </c>
      <c r="AD550" s="16">
        <f t="shared" si="234"/>
        <v>420819.98</v>
      </c>
      <c r="AE550" s="2">
        <v>0</v>
      </c>
      <c r="AF550" s="2">
        <f t="shared" si="239"/>
        <v>420819.98</v>
      </c>
      <c r="AG550" s="38" t="s">
        <v>486</v>
      </c>
      <c r="AH550" s="29"/>
      <c r="AI550" s="118">
        <v>0</v>
      </c>
      <c r="AJ550" s="30">
        <v>0</v>
      </c>
      <c r="AK550" s="179"/>
    </row>
    <row r="551" spans="1:37" s="43" customFormat="1" ht="236.25" x14ac:dyDescent="0.25">
      <c r="A551" s="6">
        <v>548</v>
      </c>
      <c r="B551" s="31">
        <v>151437</v>
      </c>
      <c r="C551" s="11">
        <v>1017</v>
      </c>
      <c r="D551" s="11" t="s">
        <v>1639</v>
      </c>
      <c r="E551" s="24" t="s">
        <v>2271</v>
      </c>
      <c r="F551" s="31" t="s">
        <v>3104</v>
      </c>
      <c r="G551" s="27" t="s">
        <v>3103</v>
      </c>
      <c r="H551" s="8" t="s">
        <v>151</v>
      </c>
      <c r="I551" s="46" t="s">
        <v>3141</v>
      </c>
      <c r="J551" s="25">
        <v>44782</v>
      </c>
      <c r="K551" s="25">
        <v>45147</v>
      </c>
      <c r="L551" s="26">
        <f t="shared" si="228"/>
        <v>83.300001399003847</v>
      </c>
      <c r="M551" s="11">
        <v>5</v>
      </c>
      <c r="N551" s="11" t="s">
        <v>285</v>
      </c>
      <c r="O551" s="11" t="s">
        <v>3105</v>
      </c>
      <c r="P551" s="11" t="s">
        <v>274</v>
      </c>
      <c r="Q551" s="11" t="s">
        <v>34</v>
      </c>
      <c r="R551" s="2">
        <f t="shared" si="235"/>
        <v>353681.66</v>
      </c>
      <c r="S551" s="2">
        <v>353681.66</v>
      </c>
      <c r="T551" s="28">
        <v>0</v>
      </c>
      <c r="U551" s="2">
        <f t="shared" si="236"/>
        <v>62414.400000000001</v>
      </c>
      <c r="V551" s="28">
        <v>62414.400000000001</v>
      </c>
      <c r="W551" s="2">
        <v>0</v>
      </c>
      <c r="X551" s="2">
        <f t="shared" si="237"/>
        <v>0</v>
      </c>
      <c r="Y551" s="2">
        <v>0</v>
      </c>
      <c r="Z551" s="2">
        <v>0</v>
      </c>
      <c r="AA551" s="2">
        <f t="shared" si="238"/>
        <v>8491.76</v>
      </c>
      <c r="AB551" s="2">
        <v>8491.76</v>
      </c>
      <c r="AC551" s="2">
        <v>0</v>
      </c>
      <c r="AD551" s="16">
        <f t="shared" si="234"/>
        <v>424587.82</v>
      </c>
      <c r="AE551" s="2">
        <v>0</v>
      </c>
      <c r="AF551" s="2">
        <f t="shared" si="239"/>
        <v>424587.82</v>
      </c>
      <c r="AG551" s="38" t="s">
        <v>486</v>
      </c>
      <c r="AH551" s="29"/>
      <c r="AI551" s="118">
        <v>0</v>
      </c>
      <c r="AJ551" s="30">
        <v>0</v>
      </c>
      <c r="AK551" s="179"/>
    </row>
    <row r="552" spans="1:37" s="43" customFormat="1" ht="141.75" x14ac:dyDescent="0.25">
      <c r="A552" s="6">
        <v>549</v>
      </c>
      <c r="B552" s="31">
        <v>151465</v>
      </c>
      <c r="C552" s="11">
        <v>1020</v>
      </c>
      <c r="D552" s="11" t="s">
        <v>1639</v>
      </c>
      <c r="E552" s="24" t="s">
        <v>2271</v>
      </c>
      <c r="F552" s="31" t="s">
        <v>3107</v>
      </c>
      <c r="G552" s="27" t="s">
        <v>3106</v>
      </c>
      <c r="H552" s="8" t="s">
        <v>151</v>
      </c>
      <c r="I552" s="46" t="s">
        <v>3142</v>
      </c>
      <c r="J552" s="25">
        <v>44782</v>
      </c>
      <c r="K552" s="25">
        <v>45208</v>
      </c>
      <c r="L552" s="26">
        <f t="shared" si="228"/>
        <v>83.300000000000011</v>
      </c>
      <c r="M552" s="11">
        <v>4</v>
      </c>
      <c r="N552" s="11" t="s">
        <v>499</v>
      </c>
      <c r="O552" s="11" t="s">
        <v>746</v>
      </c>
      <c r="P552" s="11" t="s">
        <v>274</v>
      </c>
      <c r="Q552" s="11" t="s">
        <v>34</v>
      </c>
      <c r="R552" s="2">
        <f t="shared" si="235"/>
        <v>342696.2</v>
      </c>
      <c r="S552" s="2">
        <v>342696.2</v>
      </c>
      <c r="T552" s="28">
        <v>0</v>
      </c>
      <c r="U552" s="2">
        <f t="shared" si="236"/>
        <v>60475.8</v>
      </c>
      <c r="V552" s="28">
        <v>60475.8</v>
      </c>
      <c r="W552" s="2">
        <v>0</v>
      </c>
      <c r="X552" s="2">
        <f t="shared" si="237"/>
        <v>0</v>
      </c>
      <c r="Y552" s="2">
        <v>0</v>
      </c>
      <c r="Z552" s="2">
        <v>0</v>
      </c>
      <c r="AA552" s="2">
        <f t="shared" si="238"/>
        <v>8228</v>
      </c>
      <c r="AB552" s="2">
        <v>8228</v>
      </c>
      <c r="AC552" s="2">
        <v>0</v>
      </c>
      <c r="AD552" s="16">
        <f t="shared" si="234"/>
        <v>411400</v>
      </c>
      <c r="AE552" s="2">
        <v>0</v>
      </c>
      <c r="AF552" s="2">
        <f t="shared" si="239"/>
        <v>411400</v>
      </c>
      <c r="AG552" s="38" t="s">
        <v>486</v>
      </c>
      <c r="AH552" s="29"/>
      <c r="AI552" s="118">
        <v>0</v>
      </c>
      <c r="AJ552" s="30">
        <v>0</v>
      </c>
      <c r="AK552" s="179"/>
    </row>
    <row r="553" spans="1:37" s="43" customFormat="1" ht="141.75" x14ac:dyDescent="0.25">
      <c r="A553" s="6">
        <v>550</v>
      </c>
      <c r="B553" s="31">
        <v>151522</v>
      </c>
      <c r="C553" s="11">
        <v>1065</v>
      </c>
      <c r="D553" s="11" t="s">
        <v>1639</v>
      </c>
      <c r="E553" s="24" t="s">
        <v>2271</v>
      </c>
      <c r="F553" s="31" t="s">
        <v>3109</v>
      </c>
      <c r="G553" s="27" t="s">
        <v>3108</v>
      </c>
      <c r="H553" s="8" t="s">
        <v>151</v>
      </c>
      <c r="I553" s="46" t="s">
        <v>3143</v>
      </c>
      <c r="J553" s="25">
        <v>44782</v>
      </c>
      <c r="K553" s="25">
        <v>45208</v>
      </c>
      <c r="L553" s="26">
        <f t="shared" si="228"/>
        <v>83.300001233377913</v>
      </c>
      <c r="M553" s="11">
        <v>3</v>
      </c>
      <c r="N553" s="11" t="s">
        <v>254</v>
      </c>
      <c r="O553" s="11" t="s">
        <v>3110</v>
      </c>
      <c r="P553" s="11" t="s">
        <v>274</v>
      </c>
      <c r="Q553" s="11" t="s">
        <v>34</v>
      </c>
      <c r="R553" s="2">
        <f t="shared" si="235"/>
        <v>337015.12</v>
      </c>
      <c r="S553" s="2">
        <v>337015.12</v>
      </c>
      <c r="T553" s="28">
        <v>0</v>
      </c>
      <c r="U553" s="2">
        <f t="shared" si="236"/>
        <v>59473.25</v>
      </c>
      <c r="V553" s="28">
        <v>59473.25</v>
      </c>
      <c r="W553" s="2">
        <v>0</v>
      </c>
      <c r="X553" s="2">
        <f t="shared" si="237"/>
        <v>0</v>
      </c>
      <c r="Y553" s="2">
        <v>0</v>
      </c>
      <c r="Z553" s="2">
        <v>0</v>
      </c>
      <c r="AA553" s="2">
        <f t="shared" si="238"/>
        <v>8091.6</v>
      </c>
      <c r="AB553" s="2">
        <v>8091.6</v>
      </c>
      <c r="AC553" s="2">
        <v>0</v>
      </c>
      <c r="AD553" s="16">
        <f t="shared" si="234"/>
        <v>404579.97</v>
      </c>
      <c r="AE553" s="2">
        <v>0</v>
      </c>
      <c r="AF553" s="2">
        <f t="shared" si="239"/>
        <v>404579.97</v>
      </c>
      <c r="AG553" s="38" t="s">
        <v>486</v>
      </c>
      <c r="AH553" s="29"/>
      <c r="AI553" s="118">
        <v>0</v>
      </c>
      <c r="AJ553" s="30">
        <v>0</v>
      </c>
      <c r="AK553" s="179"/>
    </row>
    <row r="554" spans="1:37" s="43" customFormat="1" ht="141.75" x14ac:dyDescent="0.25">
      <c r="A554" s="6">
        <v>551</v>
      </c>
      <c r="B554" s="31">
        <v>150925</v>
      </c>
      <c r="C554" s="11">
        <v>883</v>
      </c>
      <c r="D554" s="11" t="s">
        <v>1639</v>
      </c>
      <c r="E554" s="24" t="s">
        <v>2271</v>
      </c>
      <c r="F554" s="31" t="s">
        <v>3116</v>
      </c>
      <c r="G554" s="27" t="s">
        <v>3115</v>
      </c>
      <c r="H554" s="8" t="s">
        <v>151</v>
      </c>
      <c r="I554" s="46" t="s">
        <v>3117</v>
      </c>
      <c r="J554" s="25">
        <v>44785</v>
      </c>
      <c r="K554" s="25">
        <v>45211</v>
      </c>
      <c r="L554" s="26">
        <f t="shared" si="228"/>
        <v>83.300005882352949</v>
      </c>
      <c r="M554" s="11">
        <v>1</v>
      </c>
      <c r="N554" s="11" t="s">
        <v>361</v>
      </c>
      <c r="O554" s="11" t="s">
        <v>3118</v>
      </c>
      <c r="P554" s="11" t="s">
        <v>274</v>
      </c>
      <c r="Q554" s="11" t="s">
        <v>34</v>
      </c>
      <c r="R554" s="2">
        <f t="shared" si="235"/>
        <v>141610.01</v>
      </c>
      <c r="S554" s="2">
        <v>141610.01</v>
      </c>
      <c r="T554" s="28">
        <v>0</v>
      </c>
      <c r="U554" s="2">
        <f t="shared" si="236"/>
        <v>24989.99</v>
      </c>
      <c r="V554" s="28">
        <v>24989.99</v>
      </c>
      <c r="W554" s="2">
        <v>0</v>
      </c>
      <c r="X554" s="2">
        <f t="shared" si="237"/>
        <v>0</v>
      </c>
      <c r="Y554" s="2">
        <v>0</v>
      </c>
      <c r="Z554" s="2">
        <v>0</v>
      </c>
      <c r="AA554" s="2">
        <f t="shared" si="238"/>
        <v>3400</v>
      </c>
      <c r="AB554" s="2">
        <v>3400</v>
      </c>
      <c r="AC554" s="2">
        <v>0</v>
      </c>
      <c r="AD554" s="16">
        <f t="shared" si="234"/>
        <v>170000</v>
      </c>
      <c r="AE554" s="2">
        <v>0</v>
      </c>
      <c r="AF554" s="2">
        <f t="shared" si="239"/>
        <v>170000</v>
      </c>
      <c r="AG554" s="38" t="s">
        <v>486</v>
      </c>
      <c r="AH554" s="29"/>
      <c r="AI554" s="118">
        <v>17000</v>
      </c>
      <c r="AJ554" s="30">
        <v>0</v>
      </c>
      <c r="AK554" s="179"/>
    </row>
    <row r="555" spans="1:37" s="43" customFormat="1" ht="283.5" x14ac:dyDescent="0.25">
      <c r="A555" s="6">
        <v>552</v>
      </c>
      <c r="B555" s="31">
        <v>151169</v>
      </c>
      <c r="C555" s="11">
        <v>937</v>
      </c>
      <c r="D555" s="11" t="s">
        <v>1639</v>
      </c>
      <c r="E555" s="24" t="s">
        <v>2271</v>
      </c>
      <c r="F555" s="31" t="s">
        <v>3120</v>
      </c>
      <c r="G555" s="27" t="s">
        <v>3119</v>
      </c>
      <c r="H555" s="8" t="s">
        <v>151</v>
      </c>
      <c r="I555" s="46" t="s">
        <v>3144</v>
      </c>
      <c r="J555" s="25">
        <v>44784</v>
      </c>
      <c r="K555" s="25">
        <v>45149</v>
      </c>
      <c r="L555" s="26">
        <f t="shared" si="228"/>
        <v>83.300002544322169</v>
      </c>
      <c r="M555" s="11">
        <v>1</v>
      </c>
      <c r="N555" s="11" t="s">
        <v>407</v>
      </c>
      <c r="O555" s="11" t="s">
        <v>3121</v>
      </c>
      <c r="P555" s="11" t="s">
        <v>274</v>
      </c>
      <c r="Q555" s="11" t="s">
        <v>34</v>
      </c>
      <c r="R555" s="2">
        <f t="shared" si="235"/>
        <v>329360.03000000003</v>
      </c>
      <c r="S555" s="2">
        <v>329360.03000000003</v>
      </c>
      <c r="T555" s="28">
        <v>0</v>
      </c>
      <c r="U555" s="2">
        <f t="shared" si="236"/>
        <v>58122.35</v>
      </c>
      <c r="V555" s="28">
        <v>58122.35</v>
      </c>
      <c r="W555" s="2">
        <v>0</v>
      </c>
      <c r="X555" s="2">
        <f t="shared" si="237"/>
        <v>0</v>
      </c>
      <c r="Y555" s="2">
        <v>0</v>
      </c>
      <c r="Z555" s="2">
        <v>0</v>
      </c>
      <c r="AA555" s="2">
        <f t="shared" si="238"/>
        <v>7907.8</v>
      </c>
      <c r="AB555" s="2">
        <v>7907.8</v>
      </c>
      <c r="AC555" s="2">
        <v>0</v>
      </c>
      <c r="AD555" s="16">
        <f t="shared" si="234"/>
        <v>395390.18</v>
      </c>
      <c r="AE555" s="2">
        <v>0</v>
      </c>
      <c r="AF555" s="2">
        <f t="shared" si="239"/>
        <v>395390.18</v>
      </c>
      <c r="AG555" s="38" t="s">
        <v>486</v>
      </c>
      <c r="AH555" s="29"/>
      <c r="AI555" s="118">
        <v>0</v>
      </c>
      <c r="AJ555" s="30">
        <v>0</v>
      </c>
      <c r="AK555" s="179"/>
    </row>
    <row r="556" spans="1:37" s="43" customFormat="1" ht="204.75" x14ac:dyDescent="0.25">
      <c r="A556" s="6">
        <v>553</v>
      </c>
      <c r="B556" s="31">
        <v>151484</v>
      </c>
      <c r="C556" s="11">
        <v>947</v>
      </c>
      <c r="D556" s="11" t="s">
        <v>1639</v>
      </c>
      <c r="E556" s="24" t="s">
        <v>2271</v>
      </c>
      <c r="F556" s="31" t="s">
        <v>3122</v>
      </c>
      <c r="G556" s="27" t="s">
        <v>2369</v>
      </c>
      <c r="H556" s="8" t="s">
        <v>151</v>
      </c>
      <c r="I556" s="46" t="s">
        <v>3145</v>
      </c>
      <c r="J556" s="25">
        <v>44784</v>
      </c>
      <c r="K556" s="25">
        <v>45210</v>
      </c>
      <c r="L556" s="26">
        <f t="shared" si="228"/>
        <v>83.300001737399867</v>
      </c>
      <c r="M556" s="11">
        <v>7</v>
      </c>
      <c r="N556" s="11" t="s">
        <v>752</v>
      </c>
      <c r="O556" s="11" t="s">
        <v>752</v>
      </c>
      <c r="P556" s="11" t="s">
        <v>274</v>
      </c>
      <c r="Q556" s="11" t="s">
        <v>34</v>
      </c>
      <c r="R556" s="2">
        <f t="shared" si="235"/>
        <v>353356.2</v>
      </c>
      <c r="S556" s="2">
        <v>353356.2</v>
      </c>
      <c r="T556" s="28">
        <v>0</v>
      </c>
      <c r="U556" s="2">
        <f t="shared" si="236"/>
        <v>62356.98</v>
      </c>
      <c r="V556" s="28">
        <v>62356.98</v>
      </c>
      <c r="W556" s="2">
        <v>0</v>
      </c>
      <c r="X556" s="2">
        <f t="shared" si="237"/>
        <v>0</v>
      </c>
      <c r="Y556" s="2">
        <v>0</v>
      </c>
      <c r="Z556" s="2">
        <v>0</v>
      </c>
      <c r="AA556" s="2">
        <f t="shared" si="238"/>
        <v>8483.93</v>
      </c>
      <c r="AB556" s="2">
        <v>8483.93</v>
      </c>
      <c r="AC556" s="2">
        <v>0</v>
      </c>
      <c r="AD556" s="16">
        <f t="shared" si="234"/>
        <v>424197.11</v>
      </c>
      <c r="AE556" s="2">
        <v>0</v>
      </c>
      <c r="AF556" s="2">
        <f t="shared" si="239"/>
        <v>424197.11</v>
      </c>
      <c r="AG556" s="38" t="s">
        <v>486</v>
      </c>
      <c r="AH556" s="29"/>
      <c r="AI556" s="118">
        <v>0</v>
      </c>
      <c r="AJ556" s="30">
        <v>0</v>
      </c>
      <c r="AK556" s="179"/>
    </row>
    <row r="557" spans="1:37" s="43" customFormat="1" ht="299.25" x14ac:dyDescent="0.25">
      <c r="A557" s="6">
        <v>554</v>
      </c>
      <c r="B557" s="31">
        <v>151486</v>
      </c>
      <c r="C557" s="11">
        <v>948</v>
      </c>
      <c r="D557" s="11" t="s">
        <v>1639</v>
      </c>
      <c r="E557" s="24" t="s">
        <v>2271</v>
      </c>
      <c r="F557" s="31" t="s">
        <v>3124</v>
      </c>
      <c r="G557" s="27" t="s">
        <v>3123</v>
      </c>
      <c r="H557" s="8" t="s">
        <v>151</v>
      </c>
      <c r="I557" s="46" t="s">
        <v>3146</v>
      </c>
      <c r="J557" s="25">
        <v>44784</v>
      </c>
      <c r="K557" s="25">
        <v>45180</v>
      </c>
      <c r="L557" s="26">
        <f t="shared" si="228"/>
        <v>83.300001970656808</v>
      </c>
      <c r="M557" s="11">
        <v>4</v>
      </c>
      <c r="N557" s="11" t="s">
        <v>499</v>
      </c>
      <c r="O557" s="11" t="s">
        <v>3125</v>
      </c>
      <c r="P557" s="11" t="s">
        <v>274</v>
      </c>
      <c r="Q557" s="11" t="s">
        <v>34</v>
      </c>
      <c r="R557" s="2">
        <f t="shared" si="235"/>
        <v>236290.26</v>
      </c>
      <c r="S557" s="2">
        <v>236290.26</v>
      </c>
      <c r="T557" s="28">
        <v>0</v>
      </c>
      <c r="U557" s="2">
        <f t="shared" si="236"/>
        <v>41698.28</v>
      </c>
      <c r="V557" s="28">
        <v>41698.28</v>
      </c>
      <c r="W557" s="2">
        <v>0</v>
      </c>
      <c r="X557" s="2">
        <f t="shared" si="237"/>
        <v>0</v>
      </c>
      <c r="Y557" s="2">
        <v>0</v>
      </c>
      <c r="Z557" s="2">
        <v>0</v>
      </c>
      <c r="AA557" s="2">
        <f t="shared" si="238"/>
        <v>5673.23</v>
      </c>
      <c r="AB557" s="2">
        <v>5673.23</v>
      </c>
      <c r="AC557" s="2">
        <v>0</v>
      </c>
      <c r="AD557" s="16">
        <f t="shared" si="234"/>
        <v>283661.77</v>
      </c>
      <c r="AE557" s="2">
        <v>0</v>
      </c>
      <c r="AF557" s="2">
        <f t="shared" si="239"/>
        <v>283661.77</v>
      </c>
      <c r="AG557" s="38" t="s">
        <v>486</v>
      </c>
      <c r="AH557" s="29"/>
      <c r="AI557" s="118">
        <v>28366</v>
      </c>
      <c r="AJ557" s="30">
        <v>0</v>
      </c>
      <c r="AK557" s="179"/>
    </row>
    <row r="558" spans="1:37" s="43" customFormat="1" ht="409.5" x14ac:dyDescent="0.25">
      <c r="A558" s="6">
        <v>555</v>
      </c>
      <c r="B558" s="31">
        <v>151020</v>
      </c>
      <c r="C558" s="11">
        <v>1029</v>
      </c>
      <c r="D558" s="11" t="s">
        <v>1639</v>
      </c>
      <c r="E558" s="24" t="s">
        <v>2271</v>
      </c>
      <c r="F558" s="31" t="s">
        <v>3126</v>
      </c>
      <c r="G558" s="27" t="s">
        <v>894</v>
      </c>
      <c r="H558" s="8" t="s">
        <v>151</v>
      </c>
      <c r="I558" s="46" t="s">
        <v>3147</v>
      </c>
      <c r="J558" s="25">
        <v>44784</v>
      </c>
      <c r="K558" s="25">
        <v>45210</v>
      </c>
      <c r="L558" s="26">
        <f t="shared" si="228"/>
        <v>83.299995411457004</v>
      </c>
      <c r="M558" s="11">
        <v>4</v>
      </c>
      <c r="N558" s="11" t="s">
        <v>231</v>
      </c>
      <c r="O558" s="11" t="s">
        <v>3127</v>
      </c>
      <c r="P558" s="11" t="s">
        <v>274</v>
      </c>
      <c r="Q558" s="11" t="s">
        <v>34</v>
      </c>
      <c r="R558" s="2">
        <f t="shared" si="235"/>
        <v>354001.24</v>
      </c>
      <c r="S558" s="2">
        <v>354001.24</v>
      </c>
      <c r="T558" s="28">
        <v>0</v>
      </c>
      <c r="U558" s="2">
        <f t="shared" si="236"/>
        <v>62470.83</v>
      </c>
      <c r="V558" s="28">
        <v>62470.83</v>
      </c>
      <c r="W558" s="2">
        <v>0</v>
      </c>
      <c r="X558" s="2">
        <f t="shared" si="237"/>
        <v>0</v>
      </c>
      <c r="Y558" s="2">
        <v>0</v>
      </c>
      <c r="Z558" s="2">
        <v>0</v>
      </c>
      <c r="AA558" s="2">
        <f t="shared" si="238"/>
        <v>8499.43</v>
      </c>
      <c r="AB558" s="2">
        <v>8499.43</v>
      </c>
      <c r="AC558" s="2">
        <v>0</v>
      </c>
      <c r="AD558" s="16">
        <f t="shared" si="234"/>
        <v>424971.5</v>
      </c>
      <c r="AE558" s="2">
        <v>0</v>
      </c>
      <c r="AF558" s="2">
        <f t="shared" si="239"/>
        <v>424971.5</v>
      </c>
      <c r="AG558" s="38" t="s">
        <v>486</v>
      </c>
      <c r="AH558" s="29"/>
      <c r="AI558" s="118">
        <v>0</v>
      </c>
      <c r="AJ558" s="30">
        <v>0</v>
      </c>
      <c r="AK558" s="179"/>
    </row>
    <row r="559" spans="1:37" s="43" customFormat="1" ht="204.75" x14ac:dyDescent="0.25">
      <c r="A559" s="6">
        <v>556</v>
      </c>
      <c r="B559" s="31">
        <v>151358</v>
      </c>
      <c r="C559" s="11">
        <v>1039</v>
      </c>
      <c r="D559" s="11" t="s">
        <v>1639</v>
      </c>
      <c r="E559" s="24" t="s">
        <v>2271</v>
      </c>
      <c r="F559" s="31" t="s">
        <v>3129</v>
      </c>
      <c r="G559" s="27" t="s">
        <v>3128</v>
      </c>
      <c r="H559" s="8" t="s">
        <v>151</v>
      </c>
      <c r="I559" s="46" t="s">
        <v>3148</v>
      </c>
      <c r="J559" s="25">
        <v>44784</v>
      </c>
      <c r="K559" s="25">
        <v>45149</v>
      </c>
      <c r="L559" s="26">
        <f t="shared" si="228"/>
        <v>83.299987794295419</v>
      </c>
      <c r="M559" s="11">
        <v>6</v>
      </c>
      <c r="N559" s="11" t="s">
        <v>182</v>
      </c>
      <c r="O559" s="11" t="s">
        <v>394</v>
      </c>
      <c r="P559" s="11" t="s">
        <v>274</v>
      </c>
      <c r="Q559" s="11" t="s">
        <v>34</v>
      </c>
      <c r="R559" s="2">
        <f t="shared" si="235"/>
        <v>348740.98</v>
      </c>
      <c r="S559" s="2">
        <v>348740.98</v>
      </c>
      <c r="T559" s="28">
        <v>0</v>
      </c>
      <c r="U559" s="2">
        <f t="shared" si="236"/>
        <v>61542.57</v>
      </c>
      <c r="V559" s="28">
        <v>61542.57</v>
      </c>
      <c r="W559" s="2">
        <v>0</v>
      </c>
      <c r="X559" s="2">
        <f t="shared" si="237"/>
        <v>0</v>
      </c>
      <c r="Y559" s="2">
        <v>0</v>
      </c>
      <c r="Z559" s="2">
        <v>0</v>
      </c>
      <c r="AA559" s="2">
        <f t="shared" si="238"/>
        <v>8373.15</v>
      </c>
      <c r="AB559" s="2">
        <v>8373.15</v>
      </c>
      <c r="AC559" s="2">
        <v>0</v>
      </c>
      <c r="AD559" s="16">
        <f t="shared" si="234"/>
        <v>418656.7</v>
      </c>
      <c r="AE559" s="2">
        <v>0</v>
      </c>
      <c r="AF559" s="2">
        <f t="shared" si="239"/>
        <v>418656.7</v>
      </c>
      <c r="AG559" s="38" t="s">
        <v>486</v>
      </c>
      <c r="AH559" s="29"/>
      <c r="AI559" s="118">
        <v>41865.67</v>
      </c>
      <c r="AJ559" s="30">
        <v>0</v>
      </c>
      <c r="AK559" s="179"/>
    </row>
    <row r="560" spans="1:37" s="43" customFormat="1" ht="141.75" x14ac:dyDescent="0.25">
      <c r="A560" s="6">
        <v>557</v>
      </c>
      <c r="B560" s="31">
        <v>151340</v>
      </c>
      <c r="C560" s="11">
        <v>1053</v>
      </c>
      <c r="D560" s="11" t="s">
        <v>1639</v>
      </c>
      <c r="E560" s="24" t="s">
        <v>2271</v>
      </c>
      <c r="F560" s="31" t="s">
        <v>3131</v>
      </c>
      <c r="G560" s="27" t="s">
        <v>3130</v>
      </c>
      <c r="H560" s="8" t="s">
        <v>151</v>
      </c>
      <c r="I560" s="46" t="s">
        <v>3132</v>
      </c>
      <c r="J560" s="25">
        <v>44783</v>
      </c>
      <c r="K560" s="25">
        <v>45026</v>
      </c>
      <c r="L560" s="26">
        <f t="shared" si="228"/>
        <v>83.300002497334248</v>
      </c>
      <c r="M560" s="11">
        <v>3</v>
      </c>
      <c r="N560" s="11" t="s">
        <v>330</v>
      </c>
      <c r="O560" s="11" t="s">
        <v>3133</v>
      </c>
      <c r="P560" s="11" t="s">
        <v>274</v>
      </c>
      <c r="Q560" s="11" t="s">
        <v>34</v>
      </c>
      <c r="R560" s="2">
        <f t="shared" si="235"/>
        <v>352901.91</v>
      </c>
      <c r="S560" s="2">
        <v>352901.91</v>
      </c>
      <c r="T560" s="28">
        <v>0</v>
      </c>
      <c r="U560" s="2">
        <f t="shared" si="236"/>
        <v>62276.800000000003</v>
      </c>
      <c r="V560" s="28">
        <v>62276.800000000003</v>
      </c>
      <c r="W560" s="2">
        <v>0</v>
      </c>
      <c r="X560" s="2">
        <f t="shared" si="237"/>
        <v>0</v>
      </c>
      <c r="Y560" s="2">
        <v>0</v>
      </c>
      <c r="Z560" s="2">
        <v>0</v>
      </c>
      <c r="AA560" s="2">
        <f t="shared" si="238"/>
        <v>8473.0300000000007</v>
      </c>
      <c r="AB560" s="2">
        <v>8473.0300000000007</v>
      </c>
      <c r="AC560" s="2">
        <v>0</v>
      </c>
      <c r="AD560" s="16">
        <f t="shared" si="234"/>
        <v>423651.74</v>
      </c>
      <c r="AE560" s="2">
        <v>0</v>
      </c>
      <c r="AF560" s="2">
        <f t="shared" si="239"/>
        <v>423651.74</v>
      </c>
      <c r="AG560" s="38" t="s">
        <v>486</v>
      </c>
      <c r="AH560" s="29"/>
      <c r="AI560" s="118">
        <v>42365.17</v>
      </c>
      <c r="AJ560" s="30">
        <v>0</v>
      </c>
      <c r="AK560" s="179"/>
    </row>
    <row r="561" spans="1:37" s="43" customFormat="1" ht="141.75" x14ac:dyDescent="0.25">
      <c r="A561" s="6">
        <v>558</v>
      </c>
      <c r="B561" s="31">
        <v>151528</v>
      </c>
      <c r="C561" s="11">
        <v>921</v>
      </c>
      <c r="D561" s="11" t="s">
        <v>1639</v>
      </c>
      <c r="E561" s="24" t="s">
        <v>2271</v>
      </c>
      <c r="F561" s="31" t="s">
        <v>3154</v>
      </c>
      <c r="G561" s="27" t="s">
        <v>3153</v>
      </c>
      <c r="H561" s="8" t="s">
        <v>151</v>
      </c>
      <c r="I561" s="46" t="s">
        <v>3156</v>
      </c>
      <c r="J561" s="25">
        <v>44790</v>
      </c>
      <c r="K561" s="25">
        <v>45216</v>
      </c>
      <c r="L561" s="26">
        <f t="shared" si="228"/>
        <v>83.300004010275742</v>
      </c>
      <c r="M561" s="11">
        <v>2</v>
      </c>
      <c r="N561" s="11" t="s">
        <v>280</v>
      </c>
      <c r="O561" s="11" t="s">
        <v>3155</v>
      </c>
      <c r="P561" s="11" t="s">
        <v>274</v>
      </c>
      <c r="Q561" s="11" t="s">
        <v>34</v>
      </c>
      <c r="R561" s="2">
        <f t="shared" si="235"/>
        <v>353117.88</v>
      </c>
      <c r="S561" s="2">
        <v>353117.88</v>
      </c>
      <c r="T561" s="2">
        <v>0</v>
      </c>
      <c r="U561" s="2">
        <f t="shared" si="236"/>
        <v>62314.9</v>
      </c>
      <c r="V561" s="28">
        <v>62314.9</v>
      </c>
      <c r="W561" s="2">
        <v>0</v>
      </c>
      <c r="X561" s="2">
        <f t="shared" si="237"/>
        <v>0</v>
      </c>
      <c r="Y561" s="2">
        <v>0</v>
      </c>
      <c r="Z561" s="2">
        <v>0</v>
      </c>
      <c r="AA561" s="2">
        <f t="shared" si="238"/>
        <v>8478.2199999999993</v>
      </c>
      <c r="AB561" s="2">
        <v>8478.2199999999993</v>
      </c>
      <c r="AC561" s="2">
        <v>0</v>
      </c>
      <c r="AD561" s="16">
        <f t="shared" si="234"/>
        <v>423911</v>
      </c>
      <c r="AE561" s="2">
        <v>0</v>
      </c>
      <c r="AF561" s="2">
        <f t="shared" si="239"/>
        <v>423911</v>
      </c>
      <c r="AG561" s="38" t="s">
        <v>486</v>
      </c>
      <c r="AH561" s="29"/>
      <c r="AI561" s="118">
        <v>42391.1</v>
      </c>
      <c r="AJ561" s="30">
        <v>0</v>
      </c>
      <c r="AK561" s="179"/>
    </row>
    <row r="562" spans="1:37" s="43" customFormat="1" ht="189" x14ac:dyDescent="0.25">
      <c r="A562" s="6">
        <v>559</v>
      </c>
      <c r="B562" s="31">
        <v>150753</v>
      </c>
      <c r="C562" s="11">
        <v>927</v>
      </c>
      <c r="D562" s="11" t="s">
        <v>1639</v>
      </c>
      <c r="E562" s="24" t="s">
        <v>2271</v>
      </c>
      <c r="F562" s="31" t="s">
        <v>3158</v>
      </c>
      <c r="G562" s="27" t="s">
        <v>3157</v>
      </c>
      <c r="H562" s="8" t="s">
        <v>151</v>
      </c>
      <c r="I562" s="46" t="s">
        <v>3159</v>
      </c>
      <c r="J562" s="25">
        <v>44790</v>
      </c>
      <c r="K562" s="25">
        <v>45216</v>
      </c>
      <c r="L562" s="26">
        <f t="shared" si="228"/>
        <v>83.299996437112966</v>
      </c>
      <c r="M562" s="11">
        <v>6</v>
      </c>
      <c r="N562" s="11" t="s">
        <v>3160</v>
      </c>
      <c r="O562" s="11" t="s">
        <v>3160</v>
      </c>
      <c r="P562" s="11" t="s">
        <v>274</v>
      </c>
      <c r="Q562" s="11" t="s">
        <v>34</v>
      </c>
      <c r="R562" s="2">
        <f t="shared" si="235"/>
        <v>333397.59000000003</v>
      </c>
      <c r="S562" s="2">
        <v>333397.59000000003</v>
      </c>
      <c r="T562" s="2">
        <v>0</v>
      </c>
      <c r="U562" s="2">
        <f t="shared" si="236"/>
        <v>58834.87</v>
      </c>
      <c r="V562" s="28">
        <v>58834.87</v>
      </c>
      <c r="W562" s="2">
        <v>0</v>
      </c>
      <c r="X562" s="2">
        <f t="shared" si="237"/>
        <v>0</v>
      </c>
      <c r="Y562" s="2">
        <v>0</v>
      </c>
      <c r="Z562" s="2">
        <v>0</v>
      </c>
      <c r="AA562" s="2">
        <f t="shared" si="238"/>
        <v>8004.76</v>
      </c>
      <c r="AB562" s="2">
        <v>8004.76</v>
      </c>
      <c r="AC562" s="2">
        <v>0</v>
      </c>
      <c r="AD562" s="16">
        <f t="shared" si="234"/>
        <v>400237.22000000003</v>
      </c>
      <c r="AE562" s="2">
        <v>0</v>
      </c>
      <c r="AF562" s="2">
        <f t="shared" si="239"/>
        <v>400237.22000000003</v>
      </c>
      <c r="AG562" s="38" t="s">
        <v>486</v>
      </c>
      <c r="AH562" s="29"/>
      <c r="AI562" s="118">
        <v>0</v>
      </c>
      <c r="AJ562" s="30">
        <v>0</v>
      </c>
      <c r="AK562" s="179"/>
    </row>
    <row r="563" spans="1:37" s="43" customFormat="1" ht="189" x14ac:dyDescent="0.25">
      <c r="A563" s="6">
        <v>560</v>
      </c>
      <c r="B563" s="31">
        <v>150891</v>
      </c>
      <c r="C563" s="11">
        <v>967</v>
      </c>
      <c r="D563" s="11" t="s">
        <v>1639</v>
      </c>
      <c r="E563" s="24" t="s">
        <v>2271</v>
      </c>
      <c r="F563" s="31" t="s">
        <v>3162</v>
      </c>
      <c r="G563" s="27" t="s">
        <v>3161</v>
      </c>
      <c r="H563" s="8" t="s">
        <v>151</v>
      </c>
      <c r="I563" s="46" t="s">
        <v>3163</v>
      </c>
      <c r="J563" s="25">
        <v>44790</v>
      </c>
      <c r="K563" s="25">
        <v>45216</v>
      </c>
      <c r="L563" s="26">
        <f t="shared" si="228"/>
        <v>83.300003294179646</v>
      </c>
      <c r="M563" s="11">
        <v>4</v>
      </c>
      <c r="N563" s="11" t="s">
        <v>231</v>
      </c>
      <c r="O563" s="11" t="s">
        <v>231</v>
      </c>
      <c r="P563" s="11" t="s">
        <v>274</v>
      </c>
      <c r="Q563" s="11" t="s">
        <v>34</v>
      </c>
      <c r="R563" s="2">
        <f t="shared" si="235"/>
        <v>354018.35</v>
      </c>
      <c r="S563" s="2">
        <v>354018.35</v>
      </c>
      <c r="T563" s="2">
        <v>0</v>
      </c>
      <c r="U563" s="2">
        <f t="shared" si="236"/>
        <v>62473.81</v>
      </c>
      <c r="V563" s="28">
        <v>62473.81</v>
      </c>
      <c r="W563" s="2">
        <v>0</v>
      </c>
      <c r="X563" s="2">
        <f t="shared" si="237"/>
        <v>0</v>
      </c>
      <c r="Y563" s="2">
        <v>0</v>
      </c>
      <c r="Z563" s="2">
        <v>0</v>
      </c>
      <c r="AA563" s="2">
        <f t="shared" si="238"/>
        <v>8499.84</v>
      </c>
      <c r="AB563" s="2">
        <v>8499.84</v>
      </c>
      <c r="AC563" s="2">
        <v>0</v>
      </c>
      <c r="AD563" s="16">
        <f t="shared" si="234"/>
        <v>424992</v>
      </c>
      <c r="AE563" s="2">
        <v>0</v>
      </c>
      <c r="AF563" s="2">
        <f t="shared" si="239"/>
        <v>424992</v>
      </c>
      <c r="AG563" s="38" t="s">
        <v>486</v>
      </c>
      <c r="AH563" s="29"/>
      <c r="AI563" s="118">
        <v>0</v>
      </c>
      <c r="AJ563" s="30">
        <v>0</v>
      </c>
      <c r="AK563" s="179"/>
    </row>
    <row r="564" spans="1:37" s="43" customFormat="1" ht="173.25" x14ac:dyDescent="0.25">
      <c r="A564" s="6">
        <v>561</v>
      </c>
      <c r="B564" s="31">
        <v>150998</v>
      </c>
      <c r="C564" s="11">
        <v>1026</v>
      </c>
      <c r="D564" s="11" t="s">
        <v>1639</v>
      </c>
      <c r="E564" s="24" t="s">
        <v>2271</v>
      </c>
      <c r="F564" s="31" t="s">
        <v>3165</v>
      </c>
      <c r="G564" s="27" t="s">
        <v>3164</v>
      </c>
      <c r="H564" s="8" t="s">
        <v>151</v>
      </c>
      <c r="I564" s="46" t="s">
        <v>3166</v>
      </c>
      <c r="J564" s="25">
        <v>44790</v>
      </c>
      <c r="K564" s="25">
        <v>45216</v>
      </c>
      <c r="L564" s="26">
        <f t="shared" si="228"/>
        <v>83.300001253372415</v>
      </c>
      <c r="M564" s="11">
        <v>7</v>
      </c>
      <c r="N564" s="11" t="s">
        <v>194</v>
      </c>
      <c r="O564" s="11" t="s">
        <v>3167</v>
      </c>
      <c r="P564" s="11" t="s">
        <v>274</v>
      </c>
      <c r="Q564" s="11" t="s">
        <v>34</v>
      </c>
      <c r="R564" s="2">
        <f t="shared" si="235"/>
        <v>334961.90000000002</v>
      </c>
      <c r="S564" s="2">
        <v>334961.90000000002</v>
      </c>
      <c r="T564" s="2">
        <v>0</v>
      </c>
      <c r="U564" s="2">
        <f t="shared" si="236"/>
        <v>59110.91</v>
      </c>
      <c r="V564" s="28">
        <v>59110.91</v>
      </c>
      <c r="W564" s="2">
        <v>0</v>
      </c>
      <c r="X564" s="2">
        <f t="shared" si="237"/>
        <v>0</v>
      </c>
      <c r="Y564" s="2">
        <v>0</v>
      </c>
      <c r="Z564" s="2">
        <v>0</v>
      </c>
      <c r="AA564" s="2">
        <f t="shared" si="238"/>
        <v>8042.31</v>
      </c>
      <c r="AB564" s="2">
        <v>8042.31</v>
      </c>
      <c r="AC564" s="2">
        <v>0</v>
      </c>
      <c r="AD564" s="16">
        <f t="shared" si="234"/>
        <v>402115.12000000005</v>
      </c>
      <c r="AE564" s="2">
        <v>0</v>
      </c>
      <c r="AF564" s="2">
        <f t="shared" si="239"/>
        <v>402115.12000000005</v>
      </c>
      <c r="AG564" s="38" t="s">
        <v>486</v>
      </c>
      <c r="AH564" s="29"/>
      <c r="AI564" s="118">
        <v>0</v>
      </c>
      <c r="AJ564" s="30">
        <v>0</v>
      </c>
      <c r="AK564" s="179"/>
    </row>
    <row r="565" spans="1:37" s="43" customFormat="1" ht="141.75" x14ac:dyDescent="0.25">
      <c r="A565" s="6">
        <v>562</v>
      </c>
      <c r="B565" s="31">
        <v>151345</v>
      </c>
      <c r="C565" s="11">
        <v>1036</v>
      </c>
      <c r="D565" s="11" t="s">
        <v>1639</v>
      </c>
      <c r="E565" s="24" t="s">
        <v>2271</v>
      </c>
      <c r="F565" s="31" t="s">
        <v>3169</v>
      </c>
      <c r="G565" s="27" t="s">
        <v>3168</v>
      </c>
      <c r="H565" s="8" t="s">
        <v>151</v>
      </c>
      <c r="I565" s="46" t="s">
        <v>3180</v>
      </c>
      <c r="J565" s="25">
        <v>44792</v>
      </c>
      <c r="K565" s="25">
        <v>45157</v>
      </c>
      <c r="L565" s="26">
        <f t="shared" si="228"/>
        <v>83.299999527023516</v>
      </c>
      <c r="M565" s="11" t="s">
        <v>3170</v>
      </c>
      <c r="N565" s="11" t="s">
        <v>3171</v>
      </c>
      <c r="O565" s="11" t="s">
        <v>3171</v>
      </c>
      <c r="P565" s="11" t="s">
        <v>274</v>
      </c>
      <c r="Q565" s="11" t="s">
        <v>34</v>
      </c>
      <c r="R565" s="2">
        <f t="shared" si="235"/>
        <v>352237.38</v>
      </c>
      <c r="S565" s="2">
        <v>352237.38</v>
      </c>
      <c r="T565" s="2">
        <v>0</v>
      </c>
      <c r="U565" s="2">
        <f t="shared" si="236"/>
        <v>62159.54</v>
      </c>
      <c r="V565" s="28">
        <v>62159.54</v>
      </c>
      <c r="W565" s="2">
        <v>0</v>
      </c>
      <c r="X565" s="2">
        <f t="shared" si="237"/>
        <v>0</v>
      </c>
      <c r="Y565" s="2">
        <v>0</v>
      </c>
      <c r="Z565" s="2">
        <v>0</v>
      </c>
      <c r="AA565" s="2">
        <f t="shared" si="238"/>
        <v>8457.08</v>
      </c>
      <c r="AB565" s="2">
        <v>8457.08</v>
      </c>
      <c r="AC565" s="2">
        <v>0</v>
      </c>
      <c r="AD565" s="16">
        <f t="shared" si="234"/>
        <v>422854</v>
      </c>
      <c r="AE565" s="2">
        <v>53912.5</v>
      </c>
      <c r="AF565" s="2">
        <f t="shared" si="239"/>
        <v>476766.5</v>
      </c>
      <c r="AG565" s="38" t="s">
        <v>486</v>
      </c>
      <c r="AH565" s="29"/>
      <c r="AI565" s="118">
        <v>0</v>
      </c>
      <c r="AJ565" s="30">
        <v>0</v>
      </c>
      <c r="AK565" s="179"/>
    </row>
    <row r="566" spans="1:37" s="43" customFormat="1" ht="299.25" x14ac:dyDescent="0.25">
      <c r="A566" s="6">
        <v>563</v>
      </c>
      <c r="B566" s="31">
        <v>151348</v>
      </c>
      <c r="C566" s="11">
        <v>1037</v>
      </c>
      <c r="D566" s="11" t="s">
        <v>1639</v>
      </c>
      <c r="E566" s="24" t="s">
        <v>2271</v>
      </c>
      <c r="F566" s="31" t="s">
        <v>3173</v>
      </c>
      <c r="G566" s="27" t="s">
        <v>3172</v>
      </c>
      <c r="H566" s="8" t="s">
        <v>151</v>
      </c>
      <c r="I566" s="46" t="s">
        <v>3181</v>
      </c>
      <c r="J566" s="25">
        <v>44790</v>
      </c>
      <c r="K566" s="25">
        <v>45216</v>
      </c>
      <c r="L566" s="26">
        <f t="shared" si="228"/>
        <v>83.300002067797152</v>
      </c>
      <c r="M566" s="11">
        <v>3</v>
      </c>
      <c r="N566" s="11" t="s">
        <v>200</v>
      </c>
      <c r="O566" s="11" t="s">
        <v>202</v>
      </c>
      <c r="P566" s="11" t="s">
        <v>274</v>
      </c>
      <c r="Q566" s="11" t="s">
        <v>34</v>
      </c>
      <c r="R566" s="2">
        <f t="shared" si="235"/>
        <v>345237.45</v>
      </c>
      <c r="S566" s="2">
        <v>345237.45</v>
      </c>
      <c r="T566" s="2">
        <v>0</v>
      </c>
      <c r="U566" s="2">
        <f t="shared" si="236"/>
        <v>60924.26</v>
      </c>
      <c r="V566" s="28">
        <v>60924.26</v>
      </c>
      <c r="W566" s="2">
        <v>0</v>
      </c>
      <c r="X566" s="2">
        <f t="shared" si="237"/>
        <v>0</v>
      </c>
      <c r="Y566" s="2">
        <v>0</v>
      </c>
      <c r="Z566" s="2">
        <v>0</v>
      </c>
      <c r="AA566" s="2">
        <f t="shared" si="238"/>
        <v>8289</v>
      </c>
      <c r="AB566" s="2">
        <v>8289</v>
      </c>
      <c r="AC566" s="2">
        <v>0</v>
      </c>
      <c r="AD566" s="16">
        <f t="shared" si="234"/>
        <v>414450.71</v>
      </c>
      <c r="AE566" s="2">
        <v>0</v>
      </c>
      <c r="AF566" s="2">
        <f t="shared" si="239"/>
        <v>414450.71</v>
      </c>
      <c r="AG566" s="38" t="s">
        <v>486</v>
      </c>
      <c r="AH566" s="29"/>
      <c r="AI566" s="118">
        <v>0</v>
      </c>
      <c r="AJ566" s="30">
        <v>0</v>
      </c>
      <c r="AK566" s="179"/>
    </row>
    <row r="567" spans="1:37" s="43" customFormat="1" ht="173.25" x14ac:dyDescent="0.25">
      <c r="A567" s="6">
        <v>564</v>
      </c>
      <c r="B567" s="31">
        <v>151293</v>
      </c>
      <c r="C567" s="11">
        <v>1050</v>
      </c>
      <c r="D567" s="11" t="s">
        <v>1639</v>
      </c>
      <c r="E567" s="24" t="s">
        <v>2271</v>
      </c>
      <c r="F567" s="31" t="s">
        <v>3175</v>
      </c>
      <c r="G567" s="27" t="s">
        <v>3174</v>
      </c>
      <c r="H567" s="8" t="s">
        <v>151</v>
      </c>
      <c r="I567" s="46" t="s">
        <v>3182</v>
      </c>
      <c r="J567" s="25">
        <v>44790</v>
      </c>
      <c r="K567" s="25">
        <v>45033</v>
      </c>
      <c r="L567" s="26">
        <f t="shared" si="228"/>
        <v>83.300002811945745</v>
      </c>
      <c r="M567" s="11">
        <v>3</v>
      </c>
      <c r="N567" s="11" t="s">
        <v>330</v>
      </c>
      <c r="O567" s="11" t="s">
        <v>3176</v>
      </c>
      <c r="P567" s="11" t="s">
        <v>274</v>
      </c>
      <c r="Q567" s="11" t="s">
        <v>34</v>
      </c>
      <c r="R567" s="2">
        <f t="shared" si="235"/>
        <v>353113.51</v>
      </c>
      <c r="S567" s="2">
        <v>353113.51</v>
      </c>
      <c r="T567" s="2">
        <v>0</v>
      </c>
      <c r="U567" s="2">
        <f t="shared" si="236"/>
        <v>62314.14</v>
      </c>
      <c r="V567" s="28">
        <v>62314.14</v>
      </c>
      <c r="W567" s="2">
        <v>0</v>
      </c>
      <c r="X567" s="2">
        <f t="shared" si="237"/>
        <v>0</v>
      </c>
      <c r="Y567" s="2">
        <v>0</v>
      </c>
      <c r="Z567" s="2">
        <v>0</v>
      </c>
      <c r="AA567" s="2">
        <f t="shared" si="238"/>
        <v>8478.11</v>
      </c>
      <c r="AB567" s="2">
        <v>8478.11</v>
      </c>
      <c r="AC567" s="2">
        <v>0</v>
      </c>
      <c r="AD567" s="16">
        <f t="shared" si="234"/>
        <v>423905.76</v>
      </c>
      <c r="AE567" s="2">
        <v>0</v>
      </c>
      <c r="AF567" s="2">
        <f t="shared" si="239"/>
        <v>423905.76</v>
      </c>
      <c r="AG567" s="38" t="s">
        <v>486</v>
      </c>
      <c r="AH567" s="29"/>
      <c r="AI567" s="118">
        <v>0</v>
      </c>
      <c r="AJ567" s="30">
        <v>0</v>
      </c>
      <c r="AK567" s="179"/>
    </row>
    <row r="568" spans="1:37" s="43" customFormat="1" ht="236.25" x14ac:dyDescent="0.25">
      <c r="A568" s="6">
        <v>565</v>
      </c>
      <c r="B568" s="31">
        <v>151529</v>
      </c>
      <c r="C568" s="11">
        <v>1066</v>
      </c>
      <c r="D568" s="11" t="s">
        <v>1639</v>
      </c>
      <c r="E568" s="24" t="s">
        <v>2271</v>
      </c>
      <c r="F568" s="31" t="s">
        <v>3178</v>
      </c>
      <c r="G568" s="27" t="s">
        <v>3177</v>
      </c>
      <c r="H568" s="8" t="s">
        <v>151</v>
      </c>
      <c r="I568" s="46" t="s">
        <v>3183</v>
      </c>
      <c r="J568" s="25">
        <v>44792</v>
      </c>
      <c r="K568" s="25">
        <v>45218</v>
      </c>
      <c r="L568" s="26">
        <f t="shared" si="228"/>
        <v>83.300003982203265</v>
      </c>
      <c r="M568" s="11">
        <v>2</v>
      </c>
      <c r="N568" s="11" t="s">
        <v>1928</v>
      </c>
      <c r="O568" s="11" t="s">
        <v>3179</v>
      </c>
      <c r="P568" s="11" t="s">
        <v>274</v>
      </c>
      <c r="Q568" s="11" t="s">
        <v>34</v>
      </c>
      <c r="R568" s="2">
        <f t="shared" si="235"/>
        <v>292434.61</v>
      </c>
      <c r="S568" s="2">
        <v>292434.61</v>
      </c>
      <c r="T568" s="2">
        <v>0</v>
      </c>
      <c r="U568" s="2">
        <f t="shared" si="236"/>
        <v>51606.09</v>
      </c>
      <c r="V568" s="28">
        <v>51606.09</v>
      </c>
      <c r="W568" s="2">
        <v>0</v>
      </c>
      <c r="X568" s="2">
        <f t="shared" si="237"/>
        <v>0</v>
      </c>
      <c r="Y568" s="2">
        <v>0</v>
      </c>
      <c r="Z568" s="2">
        <v>0</v>
      </c>
      <c r="AA568" s="2">
        <f t="shared" si="238"/>
        <v>7021.24</v>
      </c>
      <c r="AB568" s="2">
        <v>7021.24</v>
      </c>
      <c r="AC568" s="2">
        <v>0</v>
      </c>
      <c r="AD568" s="16">
        <f t="shared" si="234"/>
        <v>351061.93999999994</v>
      </c>
      <c r="AE568" s="2">
        <v>0</v>
      </c>
      <c r="AF568" s="2">
        <f t="shared" si="239"/>
        <v>351061.93999999994</v>
      </c>
      <c r="AG568" s="38" t="s">
        <v>486</v>
      </c>
      <c r="AH568" s="29"/>
      <c r="AI568" s="118">
        <v>0</v>
      </c>
      <c r="AJ568" s="30">
        <v>0</v>
      </c>
      <c r="AK568" s="179"/>
    </row>
    <row r="569" spans="1:37" s="43" customFormat="1" ht="204.75" x14ac:dyDescent="0.25">
      <c r="A569" s="6">
        <v>566</v>
      </c>
      <c r="B569" s="31">
        <v>151249</v>
      </c>
      <c r="C569" s="11">
        <v>939</v>
      </c>
      <c r="D569" s="11" t="s">
        <v>1639</v>
      </c>
      <c r="E569" s="24" t="s">
        <v>2271</v>
      </c>
      <c r="F569" s="31" t="s">
        <v>3191</v>
      </c>
      <c r="G569" s="27" t="s">
        <v>3190</v>
      </c>
      <c r="H569" s="8" t="s">
        <v>151</v>
      </c>
      <c r="I569" s="46" t="s">
        <v>3204</v>
      </c>
      <c r="J569" s="25">
        <v>44797</v>
      </c>
      <c r="K569" s="25">
        <v>45101</v>
      </c>
      <c r="L569" s="26">
        <f t="shared" si="228"/>
        <v>83.300002578196072</v>
      </c>
      <c r="M569" s="11">
        <v>6</v>
      </c>
      <c r="N569" s="11" t="s">
        <v>416</v>
      </c>
      <c r="O569" s="11" t="s">
        <v>416</v>
      </c>
      <c r="P569" s="11" t="s">
        <v>274</v>
      </c>
      <c r="Q569" s="11" t="s">
        <v>34</v>
      </c>
      <c r="R569" s="2">
        <f t="shared" si="235"/>
        <v>339248.84</v>
      </c>
      <c r="S569" s="2">
        <v>339248.84</v>
      </c>
      <c r="T569" s="2">
        <v>0</v>
      </c>
      <c r="U569" s="2">
        <f t="shared" si="236"/>
        <v>59867.43</v>
      </c>
      <c r="V569" s="28">
        <v>59867.43</v>
      </c>
      <c r="W569" s="2">
        <v>0</v>
      </c>
      <c r="X569" s="2">
        <f t="shared" si="237"/>
        <v>0</v>
      </c>
      <c r="Y569" s="2">
        <v>0</v>
      </c>
      <c r="Z569" s="2">
        <v>0</v>
      </c>
      <c r="AA569" s="2">
        <f t="shared" si="238"/>
        <v>8145.23</v>
      </c>
      <c r="AB569" s="2">
        <v>8145.23</v>
      </c>
      <c r="AC569" s="2">
        <v>0</v>
      </c>
      <c r="AD569" s="16">
        <f t="shared" si="234"/>
        <v>407261.5</v>
      </c>
      <c r="AE569" s="2">
        <v>0</v>
      </c>
      <c r="AF569" s="2">
        <f t="shared" si="239"/>
        <v>407261.5</v>
      </c>
      <c r="AG569" s="38" t="s">
        <v>486</v>
      </c>
      <c r="AH569" s="29"/>
      <c r="AI569" s="118">
        <v>0</v>
      </c>
      <c r="AJ569" s="30">
        <v>0</v>
      </c>
      <c r="AK569" s="179"/>
    </row>
    <row r="570" spans="1:37" s="43" customFormat="1" ht="220.5" x14ac:dyDescent="0.25">
      <c r="A570" s="6">
        <v>567</v>
      </c>
      <c r="B570" s="31">
        <v>151488</v>
      </c>
      <c r="C570" s="11">
        <v>949</v>
      </c>
      <c r="D570" s="11" t="s">
        <v>1639</v>
      </c>
      <c r="E570" s="24" t="s">
        <v>2271</v>
      </c>
      <c r="F570" s="31" t="s">
        <v>3193</v>
      </c>
      <c r="G570" s="27" t="s">
        <v>3192</v>
      </c>
      <c r="H570" s="8" t="s">
        <v>151</v>
      </c>
      <c r="I570" s="46" t="s">
        <v>3205</v>
      </c>
      <c r="J570" s="25">
        <v>44795</v>
      </c>
      <c r="K570" s="25">
        <v>45160</v>
      </c>
      <c r="L570" s="26">
        <f t="shared" si="228"/>
        <v>83.299999499579641</v>
      </c>
      <c r="M570" s="11">
        <v>4</v>
      </c>
      <c r="N570" s="11" t="s">
        <v>2574</v>
      </c>
      <c r="O570" s="11" t="s">
        <v>3194</v>
      </c>
      <c r="P570" s="11" t="s">
        <v>274</v>
      </c>
      <c r="Q570" s="11" t="s">
        <v>34</v>
      </c>
      <c r="R570" s="2">
        <f t="shared" si="235"/>
        <v>332920.11</v>
      </c>
      <c r="S570" s="2">
        <v>332920.11</v>
      </c>
      <c r="T570" s="2">
        <v>0</v>
      </c>
      <c r="U570" s="2">
        <f t="shared" si="236"/>
        <v>58750.61</v>
      </c>
      <c r="V570" s="28">
        <v>58750.61</v>
      </c>
      <c r="W570" s="2">
        <v>0</v>
      </c>
      <c r="X570" s="2">
        <f t="shared" si="237"/>
        <v>0</v>
      </c>
      <c r="Y570" s="2">
        <v>0</v>
      </c>
      <c r="Z570" s="2">
        <v>0</v>
      </c>
      <c r="AA570" s="2">
        <f t="shared" si="238"/>
        <v>7993.28</v>
      </c>
      <c r="AB570" s="2">
        <v>7993.28</v>
      </c>
      <c r="AC570" s="2">
        <v>0</v>
      </c>
      <c r="AD570" s="16">
        <f t="shared" si="234"/>
        <v>399664</v>
      </c>
      <c r="AE570" s="2">
        <v>0</v>
      </c>
      <c r="AF570" s="2">
        <f t="shared" si="239"/>
        <v>399664</v>
      </c>
      <c r="AG570" s="38" t="s">
        <v>486</v>
      </c>
      <c r="AH570" s="29"/>
      <c r="AI570" s="118">
        <v>0</v>
      </c>
      <c r="AJ570" s="30">
        <v>0</v>
      </c>
      <c r="AK570" s="179"/>
    </row>
    <row r="571" spans="1:37" s="43" customFormat="1" ht="283.5" x14ac:dyDescent="0.25">
      <c r="A571" s="6">
        <v>568</v>
      </c>
      <c r="B571" s="31">
        <v>151511</v>
      </c>
      <c r="C571" s="11">
        <v>1000</v>
      </c>
      <c r="D571" s="11" t="s">
        <v>1639</v>
      </c>
      <c r="E571" s="24" t="s">
        <v>2271</v>
      </c>
      <c r="F571" s="31" t="s">
        <v>3196</v>
      </c>
      <c r="G571" s="27" t="s">
        <v>3195</v>
      </c>
      <c r="H571" s="8" t="s">
        <v>151</v>
      </c>
      <c r="I571" s="46" t="s">
        <v>3197</v>
      </c>
      <c r="J571" s="25">
        <v>44796</v>
      </c>
      <c r="K571" s="25">
        <v>44980</v>
      </c>
      <c r="L571" s="26">
        <f t="shared" si="228"/>
        <v>83.300003989065914</v>
      </c>
      <c r="M571" s="11">
        <v>3</v>
      </c>
      <c r="N571" s="11" t="s">
        <v>240</v>
      </c>
      <c r="O571" s="11" t="s">
        <v>3198</v>
      </c>
      <c r="P571" s="11" t="s">
        <v>274</v>
      </c>
      <c r="Q571" s="11" t="s">
        <v>34</v>
      </c>
      <c r="R571" s="2">
        <f t="shared" si="235"/>
        <v>353742.48</v>
      </c>
      <c r="S571" s="2">
        <v>353742.48</v>
      </c>
      <c r="T571" s="2">
        <v>0</v>
      </c>
      <c r="U571" s="2">
        <f t="shared" si="236"/>
        <v>62425.13</v>
      </c>
      <c r="V571" s="28">
        <v>62425.13</v>
      </c>
      <c r="W571" s="2">
        <v>0</v>
      </c>
      <c r="X571" s="2">
        <f t="shared" si="237"/>
        <v>0</v>
      </c>
      <c r="Y571" s="2">
        <v>0</v>
      </c>
      <c r="Z571" s="2">
        <v>0</v>
      </c>
      <c r="AA571" s="2">
        <f t="shared" si="238"/>
        <v>8493.2099999999991</v>
      </c>
      <c r="AB571" s="2">
        <v>8493.2099999999991</v>
      </c>
      <c r="AC571" s="2">
        <v>0</v>
      </c>
      <c r="AD571" s="16">
        <f t="shared" si="234"/>
        <v>424660.82</v>
      </c>
      <c r="AE571" s="2">
        <v>0</v>
      </c>
      <c r="AF571" s="2">
        <f t="shared" si="239"/>
        <v>424660.82</v>
      </c>
      <c r="AG571" s="38" t="s">
        <v>486</v>
      </c>
      <c r="AH571" s="29"/>
      <c r="AI571" s="118">
        <v>0</v>
      </c>
      <c r="AJ571" s="30">
        <v>0</v>
      </c>
      <c r="AK571" s="179"/>
    </row>
    <row r="572" spans="1:37" s="43" customFormat="1" ht="204.75" x14ac:dyDescent="0.25">
      <c r="A572" s="6">
        <v>569</v>
      </c>
      <c r="B572" s="31">
        <v>151056</v>
      </c>
      <c r="C572" s="11">
        <v>1030</v>
      </c>
      <c r="D572" s="11" t="s">
        <v>1639</v>
      </c>
      <c r="E572" s="24" t="s">
        <v>2271</v>
      </c>
      <c r="F572" s="31" t="s">
        <v>3200</v>
      </c>
      <c r="G572" s="27" t="s">
        <v>3199</v>
      </c>
      <c r="H572" s="8" t="s">
        <v>151</v>
      </c>
      <c r="I572" s="46" t="s">
        <v>3206</v>
      </c>
      <c r="J572" s="25">
        <v>44795</v>
      </c>
      <c r="K572" s="25">
        <v>45221</v>
      </c>
      <c r="L572" s="26">
        <f t="shared" si="228"/>
        <v>83.300003326642226</v>
      </c>
      <c r="M572" s="11">
        <v>5</v>
      </c>
      <c r="N572" s="11" t="s">
        <v>537</v>
      </c>
      <c r="O572" s="11" t="s">
        <v>3201</v>
      </c>
      <c r="P572" s="11" t="s">
        <v>274</v>
      </c>
      <c r="Q572" s="11" t="s">
        <v>34</v>
      </c>
      <c r="R572" s="2">
        <f t="shared" si="235"/>
        <v>342801.23</v>
      </c>
      <c r="S572" s="2">
        <v>342801.23</v>
      </c>
      <c r="T572" s="2">
        <v>0</v>
      </c>
      <c r="U572" s="2">
        <f t="shared" si="236"/>
        <v>60494.34</v>
      </c>
      <c r="V572" s="28">
        <v>60494.34</v>
      </c>
      <c r="W572" s="2">
        <v>0</v>
      </c>
      <c r="X572" s="2">
        <f t="shared" si="237"/>
        <v>0</v>
      </c>
      <c r="Y572" s="2">
        <v>0</v>
      </c>
      <c r="Z572" s="2">
        <v>0</v>
      </c>
      <c r="AA572" s="2">
        <f t="shared" si="238"/>
        <v>8230.5</v>
      </c>
      <c r="AB572" s="2">
        <v>8230.5</v>
      </c>
      <c r="AC572" s="2">
        <v>0</v>
      </c>
      <c r="AD572" s="16">
        <f t="shared" si="234"/>
        <v>411526.06999999995</v>
      </c>
      <c r="AE572" s="2">
        <v>0</v>
      </c>
      <c r="AF572" s="2">
        <f t="shared" si="239"/>
        <v>411526.06999999995</v>
      </c>
      <c r="AG572" s="38" t="s">
        <v>486</v>
      </c>
      <c r="AH572" s="29"/>
      <c r="AI572" s="118">
        <v>0</v>
      </c>
      <c r="AJ572" s="30">
        <v>0</v>
      </c>
      <c r="AK572" s="179"/>
    </row>
    <row r="573" spans="1:37" s="43" customFormat="1" ht="220.5" x14ac:dyDescent="0.25">
      <c r="A573" s="6">
        <v>570</v>
      </c>
      <c r="B573" s="31">
        <v>151349</v>
      </c>
      <c r="C573" s="11">
        <v>1038</v>
      </c>
      <c r="D573" s="11" t="s">
        <v>1639</v>
      </c>
      <c r="E573" s="24" t="s">
        <v>2271</v>
      </c>
      <c r="F573" s="31" t="s">
        <v>3203</v>
      </c>
      <c r="G573" s="27" t="s">
        <v>3202</v>
      </c>
      <c r="H573" s="8" t="s">
        <v>294</v>
      </c>
      <c r="I573" s="46" t="s">
        <v>3207</v>
      </c>
      <c r="J573" s="25">
        <v>44797</v>
      </c>
      <c r="K573" s="25">
        <v>45162</v>
      </c>
      <c r="L573" s="26">
        <f t="shared" si="228"/>
        <v>83.299999220261185</v>
      </c>
      <c r="M573" s="11">
        <v>7</v>
      </c>
      <c r="N573" s="11" t="s">
        <v>660</v>
      </c>
      <c r="O573" s="11" t="s">
        <v>660</v>
      </c>
      <c r="P573" s="11" t="s">
        <v>274</v>
      </c>
      <c r="Q573" s="11" t="s">
        <v>34</v>
      </c>
      <c r="R573" s="2">
        <f t="shared" si="235"/>
        <v>248915.4</v>
      </c>
      <c r="S573" s="2">
        <v>248915.4</v>
      </c>
      <c r="T573" s="2">
        <v>0</v>
      </c>
      <c r="U573" s="2">
        <f t="shared" si="236"/>
        <v>43926.25</v>
      </c>
      <c r="V573" s="28">
        <v>43926.25</v>
      </c>
      <c r="W573" s="2">
        <v>0</v>
      </c>
      <c r="X573" s="2">
        <f t="shared" si="237"/>
        <v>0</v>
      </c>
      <c r="Y573" s="2">
        <v>0</v>
      </c>
      <c r="Z573" s="2">
        <v>0</v>
      </c>
      <c r="AA573" s="2">
        <f t="shared" si="238"/>
        <v>5976.36</v>
      </c>
      <c r="AB573" s="2">
        <v>5976.36</v>
      </c>
      <c r="AC573" s="2">
        <v>0</v>
      </c>
      <c r="AD573" s="16">
        <f t="shared" si="234"/>
        <v>298818.01</v>
      </c>
      <c r="AE573" s="2">
        <v>0</v>
      </c>
      <c r="AF573" s="2">
        <f t="shared" si="239"/>
        <v>298818.01</v>
      </c>
      <c r="AG573" s="38" t="s">
        <v>486</v>
      </c>
      <c r="AH573" s="29"/>
      <c r="AI573" s="118">
        <v>0</v>
      </c>
      <c r="AJ573" s="30">
        <v>0</v>
      </c>
      <c r="AK573" s="179"/>
    </row>
    <row r="574" spans="1:37" s="43" customFormat="1" ht="330.75" x14ac:dyDescent="0.25">
      <c r="A574" s="6">
        <v>571</v>
      </c>
      <c r="B574" s="31">
        <v>151477</v>
      </c>
      <c r="C574" s="11">
        <v>1057</v>
      </c>
      <c r="D574" s="11" t="s">
        <v>1639</v>
      </c>
      <c r="E574" s="24" t="s">
        <v>2271</v>
      </c>
      <c r="F574" s="31" t="s">
        <v>3213</v>
      </c>
      <c r="G574" s="27" t="s">
        <v>3212</v>
      </c>
      <c r="H574" s="8" t="s">
        <v>294</v>
      </c>
      <c r="I574" s="46" t="s">
        <v>3214</v>
      </c>
      <c r="J574" s="25">
        <v>44798</v>
      </c>
      <c r="K574" s="25">
        <v>45224</v>
      </c>
      <c r="L574" s="26">
        <f t="shared" si="228"/>
        <v>83.300004183780601</v>
      </c>
      <c r="M574" s="11">
        <v>6</v>
      </c>
      <c r="N574" s="11" t="s">
        <v>411</v>
      </c>
      <c r="O574" s="11" t="s">
        <v>3215</v>
      </c>
      <c r="P574" s="11" t="s">
        <v>274</v>
      </c>
      <c r="Q574" s="11" t="s">
        <v>34</v>
      </c>
      <c r="R574" s="2">
        <f t="shared" si="235"/>
        <v>339469.3</v>
      </c>
      <c r="S574" s="2">
        <v>339469.3</v>
      </c>
      <c r="T574" s="2">
        <v>0</v>
      </c>
      <c r="U574" s="2">
        <f t="shared" si="236"/>
        <v>59906.33</v>
      </c>
      <c r="V574" s="28">
        <v>59906.33</v>
      </c>
      <c r="W574" s="2">
        <v>0</v>
      </c>
      <c r="X574" s="2">
        <f t="shared" si="237"/>
        <v>0</v>
      </c>
      <c r="Y574" s="2">
        <v>0</v>
      </c>
      <c r="Z574" s="2">
        <v>0</v>
      </c>
      <c r="AA574" s="2">
        <f t="shared" si="238"/>
        <v>8150.52</v>
      </c>
      <c r="AB574" s="2">
        <v>8150.52</v>
      </c>
      <c r="AC574" s="2">
        <v>0</v>
      </c>
      <c r="AD574" s="16">
        <f t="shared" si="234"/>
        <v>407526.15</v>
      </c>
      <c r="AE574" s="2">
        <v>0</v>
      </c>
      <c r="AF574" s="2">
        <f t="shared" si="239"/>
        <v>407526.15</v>
      </c>
      <c r="AG574" s="38" t="s">
        <v>486</v>
      </c>
      <c r="AH574" s="29"/>
      <c r="AI574" s="118">
        <v>0</v>
      </c>
      <c r="AJ574" s="30">
        <v>0</v>
      </c>
      <c r="AK574" s="179"/>
    </row>
    <row r="575" spans="1:37" s="43" customFormat="1" ht="141.75" x14ac:dyDescent="0.25">
      <c r="A575" s="6">
        <v>572</v>
      </c>
      <c r="B575" s="31">
        <v>150804</v>
      </c>
      <c r="C575" s="11">
        <v>928</v>
      </c>
      <c r="D575" s="11" t="s">
        <v>1639</v>
      </c>
      <c r="E575" s="24" t="s">
        <v>2271</v>
      </c>
      <c r="F575" s="31" t="s">
        <v>3217</v>
      </c>
      <c r="G575" s="27" t="s">
        <v>3216</v>
      </c>
      <c r="H575" s="11" t="s">
        <v>3218</v>
      </c>
      <c r="I575" s="46" t="s">
        <v>3219</v>
      </c>
      <c r="J575" s="25">
        <v>44799</v>
      </c>
      <c r="K575" s="25">
        <v>45164</v>
      </c>
      <c r="L575" s="26">
        <f t="shared" si="228"/>
        <v>83.300002510172661</v>
      </c>
      <c r="M575" s="11">
        <v>2</v>
      </c>
      <c r="N575" s="11" t="s">
        <v>186</v>
      </c>
      <c r="O575" s="11" t="s">
        <v>186</v>
      </c>
      <c r="P575" s="11" t="s">
        <v>274</v>
      </c>
      <c r="Q575" s="11" t="s">
        <v>34</v>
      </c>
      <c r="R575" s="2">
        <f t="shared" si="235"/>
        <v>353751.77</v>
      </c>
      <c r="S575" s="2">
        <v>353751.77</v>
      </c>
      <c r="T575" s="2">
        <v>0</v>
      </c>
      <c r="U575" s="2">
        <f t="shared" si="236"/>
        <v>62426.78</v>
      </c>
      <c r="V575" s="28">
        <v>62426.78</v>
      </c>
      <c r="W575" s="2">
        <v>0</v>
      </c>
      <c r="X575" s="2">
        <f t="shared" si="237"/>
        <v>0</v>
      </c>
      <c r="Y575" s="2">
        <v>0</v>
      </c>
      <c r="Z575" s="2">
        <v>0</v>
      </c>
      <c r="AA575" s="2">
        <f t="shared" si="238"/>
        <v>8493.43</v>
      </c>
      <c r="AB575" s="2">
        <v>8493.43</v>
      </c>
      <c r="AC575" s="2">
        <v>0</v>
      </c>
      <c r="AD575" s="16">
        <f t="shared" si="234"/>
        <v>424671.98000000004</v>
      </c>
      <c r="AE575" s="2">
        <v>0</v>
      </c>
      <c r="AF575" s="2">
        <f t="shared" si="239"/>
        <v>424671.98000000004</v>
      </c>
      <c r="AG575" s="38" t="s">
        <v>486</v>
      </c>
      <c r="AH575" s="29"/>
      <c r="AI575" s="118">
        <v>0</v>
      </c>
      <c r="AJ575" s="118">
        <v>0</v>
      </c>
      <c r="AK575" s="179"/>
    </row>
    <row r="576" spans="1:37" s="43" customFormat="1" ht="267.75" x14ac:dyDescent="0.25">
      <c r="A576" s="6">
        <v>573</v>
      </c>
      <c r="B576" s="31">
        <v>151309</v>
      </c>
      <c r="C576" s="11">
        <v>942</v>
      </c>
      <c r="D576" s="11" t="s">
        <v>1639</v>
      </c>
      <c r="E576" s="24" t="s">
        <v>2271</v>
      </c>
      <c r="F576" s="31" t="s">
        <v>3221</v>
      </c>
      <c r="G576" s="27" t="s">
        <v>3220</v>
      </c>
      <c r="H576" s="8" t="s">
        <v>3222</v>
      </c>
      <c r="I576" s="46" t="s">
        <v>3225</v>
      </c>
      <c r="J576" s="25">
        <v>44799</v>
      </c>
      <c r="K576" s="25">
        <v>45225</v>
      </c>
      <c r="L576" s="26">
        <f t="shared" si="228"/>
        <v>83.300000182240083</v>
      </c>
      <c r="M576" s="11" t="s">
        <v>2539</v>
      </c>
      <c r="N576" s="11" t="s">
        <v>3224</v>
      </c>
      <c r="O576" s="11" t="s">
        <v>3223</v>
      </c>
      <c r="P576" s="11" t="s">
        <v>274</v>
      </c>
      <c r="Q576" s="11" t="s">
        <v>34</v>
      </c>
      <c r="R576" s="2">
        <f t="shared" si="235"/>
        <v>347387.89</v>
      </c>
      <c r="S576" s="2">
        <v>347387.89</v>
      </c>
      <c r="T576" s="2">
        <v>0</v>
      </c>
      <c r="U576" s="2">
        <f t="shared" si="236"/>
        <v>61303.74</v>
      </c>
      <c r="V576" s="28">
        <v>61303.74</v>
      </c>
      <c r="W576" s="2">
        <v>0</v>
      </c>
      <c r="X576" s="2">
        <f t="shared" si="237"/>
        <v>0</v>
      </c>
      <c r="Y576" s="2">
        <v>0</v>
      </c>
      <c r="Z576" s="2">
        <v>0</v>
      </c>
      <c r="AA576" s="2">
        <f t="shared" si="238"/>
        <v>8340.65</v>
      </c>
      <c r="AB576" s="2">
        <v>8340.65</v>
      </c>
      <c r="AC576" s="2">
        <v>0</v>
      </c>
      <c r="AD576" s="16">
        <f t="shared" si="234"/>
        <v>417032.28</v>
      </c>
      <c r="AE576" s="2">
        <v>140</v>
      </c>
      <c r="AF576" s="2">
        <f t="shared" si="239"/>
        <v>417172.28</v>
      </c>
      <c r="AG576" s="38" t="s">
        <v>486</v>
      </c>
      <c r="AH576" s="29"/>
      <c r="AI576" s="118">
        <v>0</v>
      </c>
      <c r="AJ576" s="118">
        <v>0</v>
      </c>
      <c r="AK576" s="179"/>
    </row>
    <row r="577" spans="1:37" s="43" customFormat="1" ht="141.75" x14ac:dyDescent="0.25">
      <c r="A577" s="6">
        <v>574</v>
      </c>
      <c r="B577" s="31">
        <v>151186</v>
      </c>
      <c r="C577" s="11">
        <v>1035</v>
      </c>
      <c r="D577" s="11" t="s">
        <v>1639</v>
      </c>
      <c r="E577" s="24" t="s">
        <v>2271</v>
      </c>
      <c r="F577" s="31" t="s">
        <v>3227</v>
      </c>
      <c r="G577" s="27" t="s">
        <v>3226</v>
      </c>
      <c r="H577" s="11" t="s">
        <v>3228</v>
      </c>
      <c r="I577" s="46" t="s">
        <v>3256</v>
      </c>
      <c r="J577" s="25">
        <v>44802</v>
      </c>
      <c r="K577" s="25">
        <v>45045</v>
      </c>
      <c r="L577" s="26">
        <f t="shared" si="228"/>
        <v>83.299998536468351</v>
      </c>
      <c r="M577" s="11">
        <v>5</v>
      </c>
      <c r="N577" s="11" t="s">
        <v>592</v>
      </c>
      <c r="O577" s="11" t="s">
        <v>3229</v>
      </c>
      <c r="P577" s="11" t="s">
        <v>274</v>
      </c>
      <c r="Q577" s="11" t="s">
        <v>34</v>
      </c>
      <c r="R577" s="2">
        <f t="shared" si="235"/>
        <v>346625.23</v>
      </c>
      <c r="S577" s="2">
        <v>346625.23</v>
      </c>
      <c r="T577" s="2">
        <v>0</v>
      </c>
      <c r="U577" s="2">
        <f t="shared" si="236"/>
        <v>61169.17</v>
      </c>
      <c r="V577" s="28">
        <v>61169.17</v>
      </c>
      <c r="W577" s="2">
        <v>0</v>
      </c>
      <c r="X577" s="2">
        <f t="shared" si="237"/>
        <v>0</v>
      </c>
      <c r="Y577" s="2">
        <v>0</v>
      </c>
      <c r="Z577" s="2">
        <v>0</v>
      </c>
      <c r="AA577" s="2">
        <f t="shared" si="238"/>
        <v>8322.33</v>
      </c>
      <c r="AB577" s="2">
        <v>8322.33</v>
      </c>
      <c r="AC577" s="2">
        <v>0</v>
      </c>
      <c r="AD577" s="16">
        <f t="shared" si="234"/>
        <v>416116.73</v>
      </c>
      <c r="AE577" s="2">
        <v>0</v>
      </c>
      <c r="AF577" s="2">
        <f t="shared" si="239"/>
        <v>416116.73</v>
      </c>
      <c r="AG577" s="38" t="s">
        <v>486</v>
      </c>
      <c r="AH577" s="29"/>
      <c r="AI577" s="118">
        <v>0</v>
      </c>
      <c r="AJ577" s="118">
        <v>0</v>
      </c>
      <c r="AK577" s="179"/>
    </row>
    <row r="578" spans="1:37" s="43" customFormat="1" ht="141.75" x14ac:dyDescent="0.25">
      <c r="A578" s="6">
        <v>575</v>
      </c>
      <c r="B578" s="31">
        <v>151424</v>
      </c>
      <c r="C578" s="11">
        <v>1043</v>
      </c>
      <c r="D578" s="11" t="s">
        <v>1639</v>
      </c>
      <c r="E578" s="24" t="s">
        <v>2271</v>
      </c>
      <c r="F578" s="31" t="s">
        <v>3231</v>
      </c>
      <c r="G578" s="27" t="s">
        <v>3230</v>
      </c>
      <c r="H578" s="8" t="s">
        <v>151</v>
      </c>
      <c r="I578" s="46" t="s">
        <v>3257</v>
      </c>
      <c r="J578" s="25">
        <v>44804</v>
      </c>
      <c r="K578" s="25">
        <v>45229</v>
      </c>
      <c r="L578" s="26">
        <f t="shared" si="228"/>
        <v>83.299999433257582</v>
      </c>
      <c r="M578" s="11">
        <v>7</v>
      </c>
      <c r="N578" s="11" t="s">
        <v>263</v>
      </c>
      <c r="O578" s="11" t="s">
        <v>263</v>
      </c>
      <c r="P578" s="11" t="s">
        <v>274</v>
      </c>
      <c r="Q578" s="11" t="s">
        <v>34</v>
      </c>
      <c r="R578" s="2">
        <f t="shared" si="235"/>
        <v>352752.84</v>
      </c>
      <c r="S578" s="2">
        <v>352752.84</v>
      </c>
      <c r="T578" s="2">
        <v>0</v>
      </c>
      <c r="U578" s="2">
        <f t="shared" si="236"/>
        <v>62250.5</v>
      </c>
      <c r="V578" s="28">
        <v>62250.5</v>
      </c>
      <c r="W578" s="2">
        <v>0</v>
      </c>
      <c r="X578" s="2">
        <f t="shared" si="237"/>
        <v>0</v>
      </c>
      <c r="Y578" s="2">
        <v>0</v>
      </c>
      <c r="Z578" s="2">
        <v>0</v>
      </c>
      <c r="AA578" s="2">
        <f t="shared" si="238"/>
        <v>8469.4599999999991</v>
      </c>
      <c r="AB578" s="2">
        <v>8469.4599999999991</v>
      </c>
      <c r="AC578" s="2">
        <v>0</v>
      </c>
      <c r="AD578" s="16">
        <f t="shared" si="234"/>
        <v>423472.80000000005</v>
      </c>
      <c r="AE578" s="2">
        <v>0</v>
      </c>
      <c r="AF578" s="2">
        <f t="shared" si="239"/>
        <v>423472.80000000005</v>
      </c>
      <c r="AG578" s="38" t="s">
        <v>486</v>
      </c>
      <c r="AH578" s="29"/>
      <c r="AI578" s="118">
        <v>0</v>
      </c>
      <c r="AJ578" s="118">
        <v>0</v>
      </c>
      <c r="AK578" s="179"/>
    </row>
    <row r="579" spans="1:37" s="43" customFormat="1" ht="204.75" x14ac:dyDescent="0.25">
      <c r="A579" s="6">
        <v>576</v>
      </c>
      <c r="B579" s="31">
        <v>151187</v>
      </c>
      <c r="C579" s="11">
        <v>1044</v>
      </c>
      <c r="D579" s="11" t="s">
        <v>1639</v>
      </c>
      <c r="E579" s="24" t="s">
        <v>2271</v>
      </c>
      <c r="F579" s="31" t="s">
        <v>3232</v>
      </c>
      <c r="G579" s="27" t="s">
        <v>369</v>
      </c>
      <c r="H579" s="8" t="s">
        <v>151</v>
      </c>
      <c r="I579" s="46" t="s">
        <v>3258</v>
      </c>
      <c r="J579" s="25">
        <v>44802</v>
      </c>
      <c r="K579" s="25">
        <v>45228</v>
      </c>
      <c r="L579" s="26">
        <f t="shared" si="228"/>
        <v>83.300002124349732</v>
      </c>
      <c r="M579" s="11">
        <v>5</v>
      </c>
      <c r="N579" s="11" t="s">
        <v>3233</v>
      </c>
      <c r="O579" s="11" t="s">
        <v>3233</v>
      </c>
      <c r="P579" s="11" t="s">
        <v>274</v>
      </c>
      <c r="Q579" s="11" t="s">
        <v>34</v>
      </c>
      <c r="R579" s="2">
        <f t="shared" si="235"/>
        <v>326635.96000000002</v>
      </c>
      <c r="S579" s="2">
        <v>326635.96000000002</v>
      </c>
      <c r="T579" s="2">
        <v>0</v>
      </c>
      <c r="U579" s="2">
        <f>V579+W579</f>
        <v>57641.63</v>
      </c>
      <c r="V579" s="28">
        <v>57641.63</v>
      </c>
      <c r="W579" s="2">
        <v>0</v>
      </c>
      <c r="X579" s="2">
        <f t="shared" si="237"/>
        <v>0</v>
      </c>
      <c r="Y579" s="2">
        <v>0</v>
      </c>
      <c r="Z579" s="2">
        <v>0</v>
      </c>
      <c r="AA579" s="2">
        <f t="shared" si="238"/>
        <v>7842.4</v>
      </c>
      <c r="AB579" s="2">
        <v>7842.4</v>
      </c>
      <c r="AC579" s="2">
        <v>0</v>
      </c>
      <c r="AD579" s="16">
        <f t="shared" si="234"/>
        <v>392119.99000000005</v>
      </c>
      <c r="AE579" s="2">
        <v>0</v>
      </c>
      <c r="AF579" s="2">
        <f t="shared" si="239"/>
        <v>392119.99000000005</v>
      </c>
      <c r="AG579" s="38" t="s">
        <v>486</v>
      </c>
      <c r="AH579" s="29"/>
      <c r="AI579" s="118">
        <v>0</v>
      </c>
      <c r="AJ579" s="118">
        <v>0</v>
      </c>
      <c r="AK579" s="179"/>
    </row>
    <row r="580" spans="1:37" s="43" customFormat="1" ht="283.5" x14ac:dyDescent="0.25">
      <c r="A580" s="6">
        <v>577</v>
      </c>
      <c r="B580" s="31">
        <v>151577</v>
      </c>
      <c r="C580" s="11">
        <v>1073</v>
      </c>
      <c r="D580" s="11" t="s">
        <v>1639</v>
      </c>
      <c r="E580" s="24" t="s">
        <v>2271</v>
      </c>
      <c r="F580" s="31" t="s">
        <v>3235</v>
      </c>
      <c r="G580" s="27" t="s">
        <v>3234</v>
      </c>
      <c r="H580" s="8" t="s">
        <v>151</v>
      </c>
      <c r="I580" s="46" t="s">
        <v>3237</v>
      </c>
      <c r="J580" s="25">
        <v>44803</v>
      </c>
      <c r="K580" s="25">
        <v>44985</v>
      </c>
      <c r="L580" s="26">
        <f t="shared" si="228"/>
        <v>83.299999275706767</v>
      </c>
      <c r="M580" s="11">
        <v>3</v>
      </c>
      <c r="N580" s="11" t="s">
        <v>1445</v>
      </c>
      <c r="O580" s="11" t="s">
        <v>3236</v>
      </c>
      <c r="P580" s="11" t="s">
        <v>274</v>
      </c>
      <c r="Q580" s="11" t="s">
        <v>34</v>
      </c>
      <c r="R580" s="2">
        <f t="shared" si="235"/>
        <v>351926.52</v>
      </c>
      <c r="S580" s="2">
        <v>351926.52</v>
      </c>
      <c r="T580" s="2">
        <v>0</v>
      </c>
      <c r="U580" s="2">
        <f t="shared" si="236"/>
        <v>62104.69</v>
      </c>
      <c r="V580" s="28">
        <v>62104.69</v>
      </c>
      <c r="W580" s="2">
        <v>0</v>
      </c>
      <c r="X580" s="2">
        <f t="shared" si="237"/>
        <v>0</v>
      </c>
      <c r="Y580" s="2">
        <v>0</v>
      </c>
      <c r="Z580" s="2">
        <v>0</v>
      </c>
      <c r="AA580" s="2">
        <f t="shared" si="238"/>
        <v>8449.61</v>
      </c>
      <c r="AB580" s="2">
        <v>8449.61</v>
      </c>
      <c r="AC580" s="2">
        <v>0</v>
      </c>
      <c r="AD580" s="16">
        <f t="shared" si="234"/>
        <v>422480.82</v>
      </c>
      <c r="AE580" s="2">
        <v>0</v>
      </c>
      <c r="AF580" s="2">
        <f t="shared" si="239"/>
        <v>422480.82</v>
      </c>
      <c r="AG580" s="38" t="s">
        <v>486</v>
      </c>
      <c r="AH580" s="29"/>
      <c r="AI580" s="118">
        <v>0</v>
      </c>
      <c r="AJ580" s="118">
        <v>0</v>
      </c>
      <c r="AK580" s="179"/>
    </row>
    <row r="581" spans="1:37" s="43" customFormat="1" ht="204.75" x14ac:dyDescent="0.25">
      <c r="A581" s="6">
        <v>578</v>
      </c>
      <c r="B581" s="31">
        <v>151534</v>
      </c>
      <c r="C581" s="11">
        <v>1004</v>
      </c>
      <c r="D581" s="11" t="s">
        <v>1639</v>
      </c>
      <c r="E581" s="24" t="s">
        <v>2271</v>
      </c>
      <c r="F581" s="31" t="s">
        <v>3262</v>
      </c>
      <c r="G581" s="27" t="s">
        <v>3261</v>
      </c>
      <c r="H581" s="8" t="s">
        <v>151</v>
      </c>
      <c r="I581" s="46" t="s">
        <v>3269</v>
      </c>
      <c r="J581" s="25">
        <v>44805</v>
      </c>
      <c r="K581" s="25">
        <v>45231</v>
      </c>
      <c r="L581" s="26">
        <f t="shared" si="228"/>
        <v>83.299996030046842</v>
      </c>
      <c r="M581" s="11">
        <v>7</v>
      </c>
      <c r="N581" s="11" t="s">
        <v>226</v>
      </c>
      <c r="O581" s="11" t="s">
        <v>3263</v>
      </c>
      <c r="P581" s="11" t="s">
        <v>274</v>
      </c>
      <c r="Q581" s="11" t="s">
        <v>34</v>
      </c>
      <c r="R581" s="2">
        <f t="shared" si="235"/>
        <v>344954.18</v>
      </c>
      <c r="S581" s="2">
        <v>344954.18</v>
      </c>
      <c r="T581" s="2">
        <v>0</v>
      </c>
      <c r="U581" s="2">
        <f t="shared" si="236"/>
        <v>60874.29</v>
      </c>
      <c r="V581" s="28">
        <v>60874.29</v>
      </c>
      <c r="W581" s="2">
        <v>0</v>
      </c>
      <c r="X581" s="2">
        <f t="shared" si="237"/>
        <v>0</v>
      </c>
      <c r="Y581" s="2">
        <v>0</v>
      </c>
      <c r="Z581" s="2">
        <v>0</v>
      </c>
      <c r="AA581" s="2">
        <f t="shared" si="238"/>
        <v>8282.2099999999991</v>
      </c>
      <c r="AB581" s="2">
        <v>8282.2099999999991</v>
      </c>
      <c r="AC581" s="2">
        <v>0</v>
      </c>
      <c r="AD581" s="16">
        <f t="shared" ref="AD581:AD644" si="240">R581+U581+X581+AA581</f>
        <v>414110.68</v>
      </c>
      <c r="AE581" s="2">
        <v>0</v>
      </c>
      <c r="AF581" s="2">
        <f t="shared" si="239"/>
        <v>414110.68</v>
      </c>
      <c r="AG581" s="38" t="s">
        <v>486</v>
      </c>
      <c r="AH581" s="29"/>
      <c r="AI581" s="118">
        <v>0</v>
      </c>
      <c r="AJ581" s="118">
        <v>0</v>
      </c>
      <c r="AK581" s="179"/>
    </row>
    <row r="582" spans="1:37" s="43" customFormat="1" ht="204.75" x14ac:dyDescent="0.25">
      <c r="A582" s="6">
        <v>579</v>
      </c>
      <c r="B582" s="31">
        <v>151562</v>
      </c>
      <c r="C582" s="11">
        <v>1014</v>
      </c>
      <c r="D582" s="11" t="s">
        <v>1639</v>
      </c>
      <c r="E582" s="24" t="s">
        <v>2271</v>
      </c>
      <c r="F582" s="31" t="s">
        <v>3265</v>
      </c>
      <c r="G582" s="27" t="s">
        <v>3264</v>
      </c>
      <c r="H582" s="8" t="s">
        <v>151</v>
      </c>
      <c r="I582" s="46" t="s">
        <v>3270</v>
      </c>
      <c r="J582" s="25">
        <v>44806</v>
      </c>
      <c r="K582" s="25">
        <v>45232</v>
      </c>
      <c r="L582" s="26">
        <f t="shared" si="228"/>
        <v>83.299996030046842</v>
      </c>
      <c r="M582" s="11">
        <v>6</v>
      </c>
      <c r="N582" s="11" t="s">
        <v>182</v>
      </c>
      <c r="O582" s="11" t="s">
        <v>3266</v>
      </c>
      <c r="P582" s="11" t="s">
        <v>274</v>
      </c>
      <c r="Q582" s="11" t="s">
        <v>34</v>
      </c>
      <c r="R582" s="2">
        <f t="shared" si="235"/>
        <v>344954.18</v>
      </c>
      <c r="S582" s="2">
        <v>344954.18</v>
      </c>
      <c r="T582" s="2">
        <v>0</v>
      </c>
      <c r="U582" s="2">
        <f t="shared" si="236"/>
        <v>60874.29</v>
      </c>
      <c r="V582" s="28">
        <v>60874.29</v>
      </c>
      <c r="W582" s="2">
        <v>0</v>
      </c>
      <c r="X582" s="2">
        <f t="shared" si="237"/>
        <v>0</v>
      </c>
      <c r="Y582" s="2">
        <v>0</v>
      </c>
      <c r="Z582" s="2">
        <v>0</v>
      </c>
      <c r="AA582" s="2">
        <f t="shared" si="238"/>
        <v>8282.2099999999991</v>
      </c>
      <c r="AB582" s="2">
        <v>8282.2099999999991</v>
      </c>
      <c r="AC582" s="2">
        <v>0</v>
      </c>
      <c r="AD582" s="16">
        <f t="shared" si="240"/>
        <v>414110.68</v>
      </c>
      <c r="AE582" s="2">
        <v>0</v>
      </c>
      <c r="AF582" s="2">
        <f t="shared" si="239"/>
        <v>414110.68</v>
      </c>
      <c r="AG582" s="38" t="s">
        <v>486</v>
      </c>
      <c r="AH582" s="29"/>
      <c r="AI582" s="118">
        <v>0</v>
      </c>
      <c r="AJ582" s="118">
        <v>0</v>
      </c>
      <c r="AK582" s="179"/>
    </row>
    <row r="583" spans="1:37" s="43" customFormat="1" ht="299.25" x14ac:dyDescent="0.25">
      <c r="A583" s="6">
        <v>580</v>
      </c>
      <c r="B583" s="31">
        <v>150703</v>
      </c>
      <c r="C583" s="11">
        <v>882</v>
      </c>
      <c r="D583" s="11" t="s">
        <v>1639</v>
      </c>
      <c r="E583" s="24" t="s">
        <v>2271</v>
      </c>
      <c r="F583" s="31" t="s">
        <v>3299</v>
      </c>
      <c r="G583" s="27" t="s">
        <v>3298</v>
      </c>
      <c r="H583" s="8" t="s">
        <v>151</v>
      </c>
      <c r="I583" s="46" t="s">
        <v>3300</v>
      </c>
      <c r="J583" s="25">
        <v>44818</v>
      </c>
      <c r="K583" s="25">
        <v>45183</v>
      </c>
      <c r="L583" s="26">
        <f t="shared" si="228"/>
        <v>83.300000515057718</v>
      </c>
      <c r="M583" s="11">
        <v>4</v>
      </c>
      <c r="N583" s="11" t="s">
        <v>499</v>
      </c>
      <c r="O583" s="11" t="s">
        <v>3301</v>
      </c>
      <c r="P583" s="11" t="s">
        <v>274</v>
      </c>
      <c r="Q583" s="11" t="s">
        <v>34</v>
      </c>
      <c r="R583" s="2">
        <f t="shared" si="235"/>
        <v>323458.90000000002</v>
      </c>
      <c r="S583" s="2">
        <v>323458.90000000002</v>
      </c>
      <c r="T583" s="2">
        <v>0</v>
      </c>
      <c r="U583" s="2">
        <f t="shared" si="236"/>
        <v>57080.98</v>
      </c>
      <c r="V583" s="28">
        <v>57080.98</v>
      </c>
      <c r="W583" s="2">
        <v>0</v>
      </c>
      <c r="X583" s="2">
        <f t="shared" si="237"/>
        <v>0</v>
      </c>
      <c r="Y583" s="2">
        <v>0</v>
      </c>
      <c r="Z583" s="2">
        <v>0</v>
      </c>
      <c r="AA583" s="2">
        <f t="shared" si="238"/>
        <v>7766.12</v>
      </c>
      <c r="AB583" s="2">
        <v>7766.12</v>
      </c>
      <c r="AC583" s="2">
        <v>0</v>
      </c>
      <c r="AD583" s="16">
        <f t="shared" si="240"/>
        <v>388306</v>
      </c>
      <c r="AE583" s="2">
        <v>0</v>
      </c>
      <c r="AF583" s="2">
        <f t="shared" si="239"/>
        <v>388306</v>
      </c>
      <c r="AG583" s="38" t="s">
        <v>486</v>
      </c>
      <c r="AH583" s="29"/>
      <c r="AI583" s="118">
        <v>0</v>
      </c>
      <c r="AJ583" s="118">
        <v>0</v>
      </c>
      <c r="AK583" s="179"/>
    </row>
    <row r="584" spans="1:37" s="43" customFormat="1" ht="157.5" x14ac:dyDescent="0.25">
      <c r="A584" s="6">
        <v>581</v>
      </c>
      <c r="B584" s="31">
        <v>151440</v>
      </c>
      <c r="C584" s="11">
        <v>960</v>
      </c>
      <c r="D584" s="11" t="s">
        <v>1639</v>
      </c>
      <c r="E584" s="24" t="s">
        <v>2314</v>
      </c>
      <c r="F584" s="31" t="s">
        <v>2313</v>
      </c>
      <c r="G584" s="27" t="s">
        <v>2312</v>
      </c>
      <c r="H584" s="8" t="s">
        <v>151</v>
      </c>
      <c r="I584" s="46" t="s">
        <v>2939</v>
      </c>
      <c r="J584" s="25">
        <v>44735</v>
      </c>
      <c r="K584" s="25">
        <v>45161</v>
      </c>
      <c r="L584" s="26">
        <f t="shared" si="228"/>
        <v>78.400002703336</v>
      </c>
      <c r="M584" s="11">
        <v>8</v>
      </c>
      <c r="N584" s="11" t="s">
        <v>691</v>
      </c>
      <c r="O584" s="11" t="s">
        <v>691</v>
      </c>
      <c r="P584" s="11" t="s">
        <v>274</v>
      </c>
      <c r="Q584" s="11" t="s">
        <v>34</v>
      </c>
      <c r="R584" s="2">
        <f t="shared" ref="R584:R602" si="241">S584+T584</f>
        <v>331773.78999999998</v>
      </c>
      <c r="S584" s="2">
        <v>0</v>
      </c>
      <c r="T584" s="2">
        <v>331773.78999999998</v>
      </c>
      <c r="U584" s="2">
        <f t="shared" ref="U584:U602" si="242">V584+W584</f>
        <v>82943.429999999993</v>
      </c>
      <c r="V584" s="28">
        <v>0</v>
      </c>
      <c r="W584" s="28">
        <v>82943.429999999993</v>
      </c>
      <c r="X584" s="2">
        <f t="shared" ref="X584:X602" si="243">Y584+Z584</f>
        <v>0</v>
      </c>
      <c r="Y584" s="2">
        <v>0</v>
      </c>
      <c r="Z584" s="2">
        <v>0</v>
      </c>
      <c r="AA584" s="2">
        <f t="shared" ref="AA584:AA602" si="244">AB584+AC584</f>
        <v>8463.6200000000008</v>
      </c>
      <c r="AB584" s="2">
        <v>0</v>
      </c>
      <c r="AC584" s="2">
        <v>8463.6200000000008</v>
      </c>
      <c r="AD584" s="16">
        <f t="shared" si="240"/>
        <v>423180.83999999997</v>
      </c>
      <c r="AE584" s="2">
        <v>2150</v>
      </c>
      <c r="AF584" s="2">
        <f t="shared" ref="AF584:AF602" si="245">AD584+AE584</f>
        <v>425330.83999999997</v>
      </c>
      <c r="AG584" s="38" t="s">
        <v>486</v>
      </c>
      <c r="AH584" s="29"/>
      <c r="AI584" s="118">
        <v>42318.080000000002</v>
      </c>
      <c r="AJ584" s="30">
        <v>0</v>
      </c>
      <c r="AK584" s="179"/>
    </row>
    <row r="585" spans="1:37" s="43" customFormat="1" ht="157.5" customHeight="1" x14ac:dyDescent="0.25">
      <c r="A585" s="6">
        <v>582</v>
      </c>
      <c r="B585" s="31">
        <v>151443</v>
      </c>
      <c r="C585" s="11">
        <v>1086</v>
      </c>
      <c r="D585" s="11" t="s">
        <v>1639</v>
      </c>
      <c r="E585" s="24" t="s">
        <v>2314</v>
      </c>
      <c r="F585" s="31" t="s">
        <v>2360</v>
      </c>
      <c r="G585" s="27" t="s">
        <v>2359</v>
      </c>
      <c r="H585" s="8" t="s">
        <v>151</v>
      </c>
      <c r="I585" s="46" t="s">
        <v>2940</v>
      </c>
      <c r="J585" s="25">
        <v>44743</v>
      </c>
      <c r="K585" s="25">
        <v>45108</v>
      </c>
      <c r="L585" s="26">
        <f t="shared" si="228"/>
        <v>78.400003406603687</v>
      </c>
      <c r="M585" s="11">
        <v>8</v>
      </c>
      <c r="N585" s="11" t="s">
        <v>691</v>
      </c>
      <c r="O585" s="11" t="s">
        <v>716</v>
      </c>
      <c r="P585" s="11" t="s">
        <v>274</v>
      </c>
      <c r="Q585" s="11" t="s">
        <v>34</v>
      </c>
      <c r="R585" s="2">
        <f t="shared" si="241"/>
        <v>322197.75</v>
      </c>
      <c r="S585" s="2">
        <v>0</v>
      </c>
      <c r="T585" s="2">
        <v>322197.75</v>
      </c>
      <c r="U585" s="2">
        <f t="shared" si="242"/>
        <v>80549.41</v>
      </c>
      <c r="V585" s="28">
        <v>0</v>
      </c>
      <c r="W585" s="28">
        <v>80549.41</v>
      </c>
      <c r="X585" s="2">
        <f t="shared" si="243"/>
        <v>0</v>
      </c>
      <c r="Y585" s="2">
        <v>0</v>
      </c>
      <c r="Z585" s="2">
        <v>0</v>
      </c>
      <c r="AA585" s="2">
        <f t="shared" si="244"/>
        <v>8219.34</v>
      </c>
      <c r="AB585" s="2">
        <v>0</v>
      </c>
      <c r="AC585" s="2">
        <v>8219.34</v>
      </c>
      <c r="AD585" s="16">
        <f t="shared" si="240"/>
        <v>410966.50000000006</v>
      </c>
      <c r="AE585" s="2">
        <v>0</v>
      </c>
      <c r="AF585" s="2">
        <f t="shared" si="245"/>
        <v>410966.50000000006</v>
      </c>
      <c r="AG585" s="38" t="s">
        <v>486</v>
      </c>
      <c r="AH585" s="29"/>
      <c r="AI585" s="118">
        <v>41096.65</v>
      </c>
      <c r="AJ585" s="30">
        <v>0</v>
      </c>
      <c r="AK585" s="179"/>
    </row>
    <row r="586" spans="1:37" s="43" customFormat="1" ht="173.25" x14ac:dyDescent="0.25">
      <c r="A586" s="6">
        <v>583</v>
      </c>
      <c r="B586" s="31">
        <v>151482</v>
      </c>
      <c r="C586" s="11">
        <v>963</v>
      </c>
      <c r="D586" s="11" t="s">
        <v>1639</v>
      </c>
      <c r="E586" s="24" t="s">
        <v>2314</v>
      </c>
      <c r="F586" s="31" t="s">
        <v>2368</v>
      </c>
      <c r="G586" s="27" t="s">
        <v>2369</v>
      </c>
      <c r="H586" s="8" t="s">
        <v>151</v>
      </c>
      <c r="I586" s="46" t="s">
        <v>2941</v>
      </c>
      <c r="J586" s="25">
        <v>44746</v>
      </c>
      <c r="K586" s="25">
        <v>45173</v>
      </c>
      <c r="L586" s="26">
        <f t="shared" si="228"/>
        <v>78.400000705183658</v>
      </c>
      <c r="M586" s="11">
        <v>8</v>
      </c>
      <c r="N586" s="11" t="s">
        <v>691</v>
      </c>
      <c r="O586" s="11" t="s">
        <v>2370</v>
      </c>
      <c r="P586" s="11" t="s">
        <v>274</v>
      </c>
      <c r="Q586" s="11" t="s">
        <v>34</v>
      </c>
      <c r="R586" s="2">
        <f t="shared" si="241"/>
        <v>329083.07</v>
      </c>
      <c r="S586" s="2">
        <v>0</v>
      </c>
      <c r="T586" s="2">
        <v>329083.07</v>
      </c>
      <c r="U586" s="2">
        <f t="shared" si="242"/>
        <v>82270.759999999995</v>
      </c>
      <c r="V586" s="28">
        <v>0</v>
      </c>
      <c r="W586" s="28">
        <v>82270.759999999995</v>
      </c>
      <c r="X586" s="2">
        <f t="shared" si="243"/>
        <v>0</v>
      </c>
      <c r="Y586" s="2">
        <v>0</v>
      </c>
      <c r="Z586" s="2">
        <v>0</v>
      </c>
      <c r="AA586" s="2">
        <f t="shared" si="244"/>
        <v>8394.98</v>
      </c>
      <c r="AB586" s="2">
        <v>0</v>
      </c>
      <c r="AC586" s="2">
        <v>8394.98</v>
      </c>
      <c r="AD586" s="16">
        <f t="shared" si="240"/>
        <v>419748.81</v>
      </c>
      <c r="AE586" s="2">
        <v>0</v>
      </c>
      <c r="AF586" s="2">
        <f t="shared" si="245"/>
        <v>419748.81</v>
      </c>
      <c r="AG586" s="38" t="s">
        <v>486</v>
      </c>
      <c r="AH586" s="29"/>
      <c r="AI586" s="118">
        <v>41974.879999999997</v>
      </c>
      <c r="AJ586" s="30">
        <v>0</v>
      </c>
      <c r="AK586" s="179"/>
    </row>
    <row r="587" spans="1:37" s="43" customFormat="1" ht="157.5" x14ac:dyDescent="0.25">
      <c r="A587" s="6">
        <v>584</v>
      </c>
      <c r="B587" s="31">
        <v>151411</v>
      </c>
      <c r="C587" s="11">
        <v>1084</v>
      </c>
      <c r="D587" s="11" t="s">
        <v>1639</v>
      </c>
      <c r="E587" s="24" t="s">
        <v>2314</v>
      </c>
      <c r="F587" s="31" t="s">
        <v>2385</v>
      </c>
      <c r="G587" s="27" t="s">
        <v>2384</v>
      </c>
      <c r="H587" s="8" t="s">
        <v>151</v>
      </c>
      <c r="I587" s="46" t="s">
        <v>2386</v>
      </c>
      <c r="J587" s="25">
        <v>44750</v>
      </c>
      <c r="K587" s="25">
        <v>45177</v>
      </c>
      <c r="L587" s="26">
        <f t="shared" si="228"/>
        <v>78.399998581950825</v>
      </c>
      <c r="M587" s="11">
        <v>8</v>
      </c>
      <c r="N587" s="11" t="s">
        <v>261</v>
      </c>
      <c r="O587" s="11" t="s">
        <v>261</v>
      </c>
      <c r="P587" s="11" t="s">
        <v>274</v>
      </c>
      <c r="Q587" s="11" t="s">
        <v>34</v>
      </c>
      <c r="R587" s="2">
        <f t="shared" si="241"/>
        <v>331723.33</v>
      </c>
      <c r="S587" s="2">
        <v>0</v>
      </c>
      <c r="T587" s="2">
        <v>331723.33</v>
      </c>
      <c r="U587" s="2">
        <f t="shared" si="242"/>
        <v>82930.84</v>
      </c>
      <c r="V587" s="28">
        <v>0</v>
      </c>
      <c r="W587" s="28">
        <v>82930.84</v>
      </c>
      <c r="X587" s="2">
        <f t="shared" si="243"/>
        <v>0</v>
      </c>
      <c r="Y587" s="2">
        <v>0</v>
      </c>
      <c r="Z587" s="2">
        <v>0</v>
      </c>
      <c r="AA587" s="2">
        <f t="shared" si="244"/>
        <v>8462.33</v>
      </c>
      <c r="AB587" s="2">
        <v>0</v>
      </c>
      <c r="AC587" s="2">
        <v>8462.33</v>
      </c>
      <c r="AD587" s="16">
        <f t="shared" si="240"/>
        <v>423116.50000000006</v>
      </c>
      <c r="AE587" s="2">
        <v>0</v>
      </c>
      <c r="AF587" s="2">
        <f t="shared" si="245"/>
        <v>423116.50000000006</v>
      </c>
      <c r="AG587" s="38" t="s">
        <v>486</v>
      </c>
      <c r="AH587" s="29"/>
      <c r="AI587" s="118">
        <v>42310</v>
      </c>
      <c r="AJ587" s="30">
        <v>0</v>
      </c>
      <c r="AK587" s="179"/>
    </row>
    <row r="588" spans="1:37" s="43" customFormat="1" ht="141.75" x14ac:dyDescent="0.25">
      <c r="A588" s="6">
        <v>585</v>
      </c>
      <c r="B588" s="31">
        <v>150612</v>
      </c>
      <c r="C588" s="11">
        <v>958</v>
      </c>
      <c r="D588" s="11" t="s">
        <v>1639</v>
      </c>
      <c r="E588" s="24" t="s">
        <v>2314</v>
      </c>
      <c r="F588" s="31" t="s">
        <v>2393</v>
      </c>
      <c r="G588" s="27" t="s">
        <v>2392</v>
      </c>
      <c r="H588" s="8" t="s">
        <v>151</v>
      </c>
      <c r="I588" s="46" t="s">
        <v>2394</v>
      </c>
      <c r="J588" s="25">
        <v>44753</v>
      </c>
      <c r="K588" s="25">
        <v>45118</v>
      </c>
      <c r="L588" s="26">
        <f t="shared" si="228"/>
        <v>78.400002825610386</v>
      </c>
      <c r="M588" s="11">
        <v>8</v>
      </c>
      <c r="N588" s="11" t="s">
        <v>261</v>
      </c>
      <c r="O588" s="11" t="s">
        <v>261</v>
      </c>
      <c r="P588" s="11" t="s">
        <v>274</v>
      </c>
      <c r="Q588" s="11" t="s">
        <v>34</v>
      </c>
      <c r="R588" s="2">
        <f t="shared" si="241"/>
        <v>332954.62</v>
      </c>
      <c r="S588" s="2">
        <v>0</v>
      </c>
      <c r="T588" s="2">
        <v>332954.62</v>
      </c>
      <c r="U588" s="2">
        <f t="shared" si="242"/>
        <v>83238.64</v>
      </c>
      <c r="V588" s="28">
        <v>0</v>
      </c>
      <c r="W588" s="28">
        <v>83238.64</v>
      </c>
      <c r="X588" s="2">
        <f t="shared" si="243"/>
        <v>0</v>
      </c>
      <c r="Y588" s="2">
        <v>0</v>
      </c>
      <c r="Z588" s="2">
        <v>0</v>
      </c>
      <c r="AA588" s="2">
        <f t="shared" si="244"/>
        <v>8493.74</v>
      </c>
      <c r="AB588" s="2">
        <v>0</v>
      </c>
      <c r="AC588" s="2">
        <v>8493.74</v>
      </c>
      <c r="AD588" s="16">
        <f t="shared" si="240"/>
        <v>424687</v>
      </c>
      <c r="AE588" s="2">
        <v>0</v>
      </c>
      <c r="AF588" s="2">
        <f t="shared" si="245"/>
        <v>424687</v>
      </c>
      <c r="AG588" s="38" t="s">
        <v>486</v>
      </c>
      <c r="AH588" s="29"/>
      <c r="AI588" s="118">
        <v>42468.7</v>
      </c>
      <c r="AJ588" s="30">
        <v>0</v>
      </c>
      <c r="AK588" s="179"/>
    </row>
    <row r="589" spans="1:37" s="43" customFormat="1" ht="141.75" x14ac:dyDescent="0.25">
      <c r="A589" s="6">
        <v>586</v>
      </c>
      <c r="B589" s="31">
        <v>151037</v>
      </c>
      <c r="C589" s="11">
        <v>964</v>
      </c>
      <c r="D589" s="11" t="s">
        <v>1639</v>
      </c>
      <c r="E589" s="24" t="s">
        <v>2314</v>
      </c>
      <c r="F589" s="31" t="s">
        <v>2396</v>
      </c>
      <c r="G589" s="27" t="s">
        <v>2395</v>
      </c>
      <c r="H589" s="8" t="s">
        <v>151</v>
      </c>
      <c r="I589" s="46" t="s">
        <v>2942</v>
      </c>
      <c r="J589" s="25">
        <v>44753</v>
      </c>
      <c r="K589" s="25">
        <v>45180</v>
      </c>
      <c r="L589" s="26">
        <f t="shared" si="228"/>
        <v>78.400002120199403</v>
      </c>
      <c r="M589" s="11">
        <v>8</v>
      </c>
      <c r="N589" s="11" t="s">
        <v>261</v>
      </c>
      <c r="O589" s="11" t="s">
        <v>261</v>
      </c>
      <c r="P589" s="11" t="s">
        <v>274</v>
      </c>
      <c r="Q589" s="11" t="s">
        <v>34</v>
      </c>
      <c r="R589" s="2">
        <f t="shared" si="241"/>
        <v>295821.24</v>
      </c>
      <c r="S589" s="2">
        <v>0</v>
      </c>
      <c r="T589" s="2">
        <v>295821.24</v>
      </c>
      <c r="U589" s="2">
        <f t="shared" si="242"/>
        <v>73955.3</v>
      </c>
      <c r="V589" s="28">
        <v>0</v>
      </c>
      <c r="W589" s="28">
        <v>73955.3</v>
      </c>
      <c r="X589" s="2">
        <f t="shared" si="243"/>
        <v>0</v>
      </c>
      <c r="Y589" s="2">
        <v>0</v>
      </c>
      <c r="Z589" s="2">
        <v>0</v>
      </c>
      <c r="AA589" s="2">
        <f t="shared" si="244"/>
        <v>7546.46</v>
      </c>
      <c r="AB589" s="2">
        <v>0</v>
      </c>
      <c r="AC589" s="2">
        <v>7546.46</v>
      </c>
      <c r="AD589" s="16">
        <f t="shared" si="240"/>
        <v>377323</v>
      </c>
      <c r="AE589" s="2">
        <v>0</v>
      </c>
      <c r="AF589" s="2">
        <f t="shared" si="245"/>
        <v>377323</v>
      </c>
      <c r="AG589" s="38" t="s">
        <v>486</v>
      </c>
      <c r="AH589" s="29"/>
      <c r="AI589" s="118">
        <v>37732.300000000003</v>
      </c>
      <c r="AJ589" s="30">
        <v>0</v>
      </c>
      <c r="AK589" s="179"/>
    </row>
    <row r="590" spans="1:37" s="43" customFormat="1" ht="204.75" customHeight="1" x14ac:dyDescent="0.25">
      <c r="A590" s="6">
        <v>587</v>
      </c>
      <c r="B590" s="31">
        <v>151409</v>
      </c>
      <c r="C590" s="11">
        <v>896</v>
      </c>
      <c r="D590" s="11" t="s">
        <v>1639</v>
      </c>
      <c r="E590" s="24" t="s">
        <v>2314</v>
      </c>
      <c r="F590" s="31" t="s">
        <v>2448</v>
      </c>
      <c r="G590" s="27" t="s">
        <v>2447</v>
      </c>
      <c r="H590" s="8" t="s">
        <v>151</v>
      </c>
      <c r="I590" s="46" t="s">
        <v>2449</v>
      </c>
      <c r="J590" s="25">
        <v>44762</v>
      </c>
      <c r="K590" s="25">
        <v>45127</v>
      </c>
      <c r="L590" s="26">
        <f t="shared" si="228"/>
        <v>78.399999911675167</v>
      </c>
      <c r="M590" s="11">
        <v>8</v>
      </c>
      <c r="N590" s="11" t="s">
        <v>691</v>
      </c>
      <c r="O590" s="11" t="s">
        <v>2450</v>
      </c>
      <c r="P590" s="11" t="s">
        <v>274</v>
      </c>
      <c r="Q590" s="11" t="s">
        <v>34</v>
      </c>
      <c r="R590" s="2">
        <f t="shared" si="241"/>
        <v>284042.40000000002</v>
      </c>
      <c r="S590" s="2">
        <v>0</v>
      </c>
      <c r="T590" s="2">
        <v>284042.40000000002</v>
      </c>
      <c r="U590" s="2">
        <f t="shared" si="242"/>
        <v>71010.600000000006</v>
      </c>
      <c r="V590" s="28">
        <v>0</v>
      </c>
      <c r="W590" s="28">
        <v>71010.600000000006</v>
      </c>
      <c r="X590" s="2">
        <f t="shared" si="243"/>
        <v>0</v>
      </c>
      <c r="Y590" s="2">
        <v>0</v>
      </c>
      <c r="Z590" s="2">
        <v>0</v>
      </c>
      <c r="AA590" s="2">
        <f t="shared" si="244"/>
        <v>7245.98</v>
      </c>
      <c r="AB590" s="2">
        <v>0</v>
      </c>
      <c r="AC590" s="2">
        <v>7245.98</v>
      </c>
      <c r="AD590" s="16">
        <f t="shared" si="240"/>
        <v>362298.98</v>
      </c>
      <c r="AE590" s="2">
        <v>0</v>
      </c>
      <c r="AF590" s="2">
        <f t="shared" si="245"/>
        <v>362298.98</v>
      </c>
      <c r="AG590" s="38" t="s">
        <v>486</v>
      </c>
      <c r="AH590" s="29"/>
      <c r="AI590" s="118">
        <v>35505.300000000003</v>
      </c>
      <c r="AJ590" s="30">
        <v>0</v>
      </c>
      <c r="AK590" s="179"/>
    </row>
    <row r="591" spans="1:37" s="43" customFormat="1" ht="220.5" customHeight="1" x14ac:dyDescent="0.25">
      <c r="A591" s="6">
        <v>588</v>
      </c>
      <c r="B591" s="31">
        <v>151435</v>
      </c>
      <c r="C591" s="11">
        <v>1085</v>
      </c>
      <c r="D591" s="11" t="s">
        <v>1639</v>
      </c>
      <c r="E591" s="24" t="s">
        <v>2314</v>
      </c>
      <c r="F591" s="31" t="s">
        <v>2609</v>
      </c>
      <c r="G591" s="27" t="s">
        <v>2608</v>
      </c>
      <c r="H591" s="8" t="s">
        <v>151</v>
      </c>
      <c r="I591" s="46" t="s">
        <v>2943</v>
      </c>
      <c r="J591" s="25">
        <v>44774</v>
      </c>
      <c r="K591" s="25">
        <v>45200</v>
      </c>
      <c r="L591" s="26">
        <f t="shared" si="228"/>
        <v>78.400002490219634</v>
      </c>
      <c r="M591" s="11">
        <v>8</v>
      </c>
      <c r="N591" s="11" t="s">
        <v>137</v>
      </c>
      <c r="O591" s="11" t="s">
        <v>137</v>
      </c>
      <c r="P591" s="11" t="s">
        <v>274</v>
      </c>
      <c r="Q591" s="11" t="s">
        <v>34</v>
      </c>
      <c r="R591" s="2">
        <f t="shared" si="241"/>
        <v>294682.45</v>
      </c>
      <c r="S591" s="2">
        <v>0</v>
      </c>
      <c r="T591" s="2">
        <v>294682.45</v>
      </c>
      <c r="U591" s="2">
        <f t="shared" si="242"/>
        <v>73670.600000000006</v>
      </c>
      <c r="V591" s="28">
        <v>0</v>
      </c>
      <c r="W591" s="28">
        <v>73670.600000000006</v>
      </c>
      <c r="X591" s="2">
        <f t="shared" si="243"/>
        <v>0</v>
      </c>
      <c r="Y591" s="2">
        <v>0</v>
      </c>
      <c r="Z591" s="2">
        <v>0</v>
      </c>
      <c r="AA591" s="2">
        <f t="shared" si="244"/>
        <v>7517.41</v>
      </c>
      <c r="AB591" s="2">
        <v>0</v>
      </c>
      <c r="AC591" s="2">
        <v>7517.41</v>
      </c>
      <c r="AD591" s="16">
        <f t="shared" si="240"/>
        <v>375870.46</v>
      </c>
      <c r="AE591" s="2">
        <v>0</v>
      </c>
      <c r="AF591" s="2">
        <f t="shared" si="245"/>
        <v>375870.46</v>
      </c>
      <c r="AG591" s="38" t="s">
        <v>486</v>
      </c>
      <c r="AH591" s="29"/>
      <c r="AI591" s="118">
        <v>37500</v>
      </c>
      <c r="AJ591" s="30">
        <v>0</v>
      </c>
      <c r="AK591" s="179"/>
    </row>
    <row r="592" spans="1:37" s="43" customFormat="1" ht="141.75" x14ac:dyDescent="0.25">
      <c r="A592" s="6">
        <v>589</v>
      </c>
      <c r="B592" s="31">
        <v>151211</v>
      </c>
      <c r="C592" s="11">
        <v>1077</v>
      </c>
      <c r="D592" s="11" t="s">
        <v>1639</v>
      </c>
      <c r="E592" s="24" t="s">
        <v>2314</v>
      </c>
      <c r="F592" s="31" t="s">
        <v>2607</v>
      </c>
      <c r="G592" s="27" t="s">
        <v>521</v>
      </c>
      <c r="H592" s="8" t="s">
        <v>151</v>
      </c>
      <c r="I592" s="46" t="s">
        <v>2944</v>
      </c>
      <c r="J592" s="25">
        <v>44774</v>
      </c>
      <c r="K592" s="25">
        <v>45200</v>
      </c>
      <c r="L592" s="26">
        <f t="shared" si="228"/>
        <v>78.400002077069672</v>
      </c>
      <c r="M592" s="11">
        <v>8</v>
      </c>
      <c r="N592" s="11" t="s">
        <v>137</v>
      </c>
      <c r="O592" s="11" t="s">
        <v>137</v>
      </c>
      <c r="P592" s="11" t="s">
        <v>274</v>
      </c>
      <c r="Q592" s="11" t="s">
        <v>34</v>
      </c>
      <c r="R592" s="2">
        <f t="shared" si="241"/>
        <v>301963.88</v>
      </c>
      <c r="S592" s="2">
        <v>0</v>
      </c>
      <c r="T592" s="2">
        <v>301963.88</v>
      </c>
      <c r="U592" s="2">
        <f t="shared" si="242"/>
        <v>75490.960000000006</v>
      </c>
      <c r="V592" s="28">
        <v>0</v>
      </c>
      <c r="W592" s="28">
        <v>75490.960000000006</v>
      </c>
      <c r="X592" s="2">
        <f t="shared" si="243"/>
        <v>0</v>
      </c>
      <c r="Y592" s="2">
        <v>0</v>
      </c>
      <c r="Z592" s="2">
        <v>0</v>
      </c>
      <c r="AA592" s="2">
        <f t="shared" si="244"/>
        <v>7703.16</v>
      </c>
      <c r="AB592" s="2">
        <v>0</v>
      </c>
      <c r="AC592" s="2">
        <v>7703.16</v>
      </c>
      <c r="AD592" s="16">
        <f t="shared" si="240"/>
        <v>385158</v>
      </c>
      <c r="AE592" s="2">
        <v>0</v>
      </c>
      <c r="AF592" s="2">
        <f t="shared" si="245"/>
        <v>385158</v>
      </c>
      <c r="AG592" s="38" t="s">
        <v>486</v>
      </c>
      <c r="AH592" s="29"/>
      <c r="AI592" s="118">
        <v>38515</v>
      </c>
      <c r="AJ592" s="30">
        <v>0</v>
      </c>
      <c r="AK592" s="179"/>
    </row>
    <row r="593" spans="1:37" s="43" customFormat="1" ht="220.5" x14ac:dyDescent="0.25">
      <c r="A593" s="6">
        <v>590</v>
      </c>
      <c r="B593" s="31">
        <v>151576</v>
      </c>
      <c r="C593" s="11">
        <v>1098</v>
      </c>
      <c r="D593" s="11" t="s">
        <v>1639</v>
      </c>
      <c r="E593" s="24" t="s">
        <v>2314</v>
      </c>
      <c r="F593" s="31" t="s">
        <v>3150</v>
      </c>
      <c r="G593" s="27" t="s">
        <v>3149</v>
      </c>
      <c r="H593" s="8" t="s">
        <v>151</v>
      </c>
      <c r="I593" s="46" t="s">
        <v>3151</v>
      </c>
      <c r="J593" s="25">
        <v>44790</v>
      </c>
      <c r="K593" s="25">
        <v>45216</v>
      </c>
      <c r="L593" s="26">
        <f t="shared" si="228"/>
        <v>78.399997607769961</v>
      </c>
      <c r="M593" s="11">
        <v>8</v>
      </c>
      <c r="N593" s="11" t="s">
        <v>691</v>
      </c>
      <c r="O593" s="11" t="s">
        <v>3152</v>
      </c>
      <c r="P593" s="11" t="s">
        <v>274</v>
      </c>
      <c r="Q593" s="11" t="s">
        <v>34</v>
      </c>
      <c r="R593" s="2">
        <f t="shared" si="241"/>
        <v>327727.67</v>
      </c>
      <c r="S593" s="2">
        <v>0</v>
      </c>
      <c r="T593" s="2">
        <v>327727.67</v>
      </c>
      <c r="U593" s="2">
        <f t="shared" si="242"/>
        <v>81931.92</v>
      </c>
      <c r="V593" s="28">
        <v>0</v>
      </c>
      <c r="W593" s="28">
        <v>81931.92</v>
      </c>
      <c r="X593" s="2">
        <f t="shared" si="243"/>
        <v>0</v>
      </c>
      <c r="Y593" s="2">
        <v>0</v>
      </c>
      <c r="Z593" s="2">
        <v>0</v>
      </c>
      <c r="AA593" s="2">
        <f t="shared" si="244"/>
        <v>8360.41</v>
      </c>
      <c r="AB593" s="2">
        <v>0</v>
      </c>
      <c r="AC593" s="2">
        <v>8360.41</v>
      </c>
      <c r="AD593" s="16">
        <f t="shared" si="240"/>
        <v>418019.99999999994</v>
      </c>
      <c r="AE593" s="2">
        <v>0</v>
      </c>
      <c r="AF593" s="2">
        <f t="shared" si="245"/>
        <v>418019.99999999994</v>
      </c>
      <c r="AG593" s="38" t="s">
        <v>486</v>
      </c>
      <c r="AH593" s="29"/>
      <c r="AI593" s="118">
        <v>0</v>
      </c>
      <c r="AJ593" s="30">
        <v>0</v>
      </c>
      <c r="AK593" s="179"/>
    </row>
    <row r="594" spans="1:37" s="43" customFormat="1" ht="267.75" x14ac:dyDescent="0.25">
      <c r="A594" s="6">
        <v>591</v>
      </c>
      <c r="B594" s="31">
        <v>151510</v>
      </c>
      <c r="C594" s="11">
        <v>1078</v>
      </c>
      <c r="D594" s="11" t="s">
        <v>1639</v>
      </c>
      <c r="E594" s="24" t="s">
        <v>2314</v>
      </c>
      <c r="F594" s="31" t="s">
        <v>3238</v>
      </c>
      <c r="G594" s="27" t="s">
        <v>3195</v>
      </c>
      <c r="H594" s="8" t="s">
        <v>151</v>
      </c>
      <c r="I594" s="46" t="s">
        <v>3240</v>
      </c>
      <c r="J594" s="25">
        <v>44803</v>
      </c>
      <c r="K594" s="25">
        <v>44985</v>
      </c>
      <c r="L594" s="26">
        <f t="shared" si="228"/>
        <v>78.40000261872072</v>
      </c>
      <c r="M594" s="11">
        <v>8</v>
      </c>
      <c r="N594" s="11" t="s">
        <v>691</v>
      </c>
      <c r="O594" s="11" t="s">
        <v>3239</v>
      </c>
      <c r="P594" s="11" t="s">
        <v>274</v>
      </c>
      <c r="Q594" s="11" t="s">
        <v>34</v>
      </c>
      <c r="R594" s="2">
        <f t="shared" si="241"/>
        <v>332913.71000000002</v>
      </c>
      <c r="S594" s="2">
        <v>0</v>
      </c>
      <c r="T594" s="2">
        <v>332913.71000000002</v>
      </c>
      <c r="U594" s="2">
        <f t="shared" si="242"/>
        <v>83228.42</v>
      </c>
      <c r="V594" s="2">
        <v>0</v>
      </c>
      <c r="W594" s="28">
        <v>83228.42</v>
      </c>
      <c r="X594" s="2">
        <f t="shared" si="243"/>
        <v>0</v>
      </c>
      <c r="Y594" s="2">
        <v>0</v>
      </c>
      <c r="Z594" s="2">
        <v>0</v>
      </c>
      <c r="AA594" s="2">
        <f t="shared" si="244"/>
        <v>8492.69</v>
      </c>
      <c r="AB594" s="2">
        <v>0</v>
      </c>
      <c r="AC594" s="2">
        <v>8492.69</v>
      </c>
      <c r="AD594" s="16">
        <f t="shared" si="240"/>
        <v>424634.82</v>
      </c>
      <c r="AE594" s="2">
        <v>0</v>
      </c>
      <c r="AF594" s="2">
        <f t="shared" si="245"/>
        <v>424634.82</v>
      </c>
      <c r="AG594" s="38" t="s">
        <v>486</v>
      </c>
      <c r="AH594" s="29"/>
      <c r="AI594" s="118">
        <v>0</v>
      </c>
      <c r="AJ594" s="118">
        <v>0</v>
      </c>
      <c r="AK594" s="179"/>
    </row>
    <row r="595" spans="1:37" s="43" customFormat="1" ht="283.5" x14ac:dyDescent="0.25">
      <c r="A595" s="6">
        <v>592</v>
      </c>
      <c r="B595" s="31">
        <v>151513</v>
      </c>
      <c r="C595" s="11">
        <v>1080</v>
      </c>
      <c r="D595" s="11" t="s">
        <v>1639</v>
      </c>
      <c r="E595" s="24" t="s">
        <v>2314</v>
      </c>
      <c r="F595" s="31" t="s">
        <v>3242</v>
      </c>
      <c r="G595" s="27" t="s">
        <v>3241</v>
      </c>
      <c r="H595" s="8" t="s">
        <v>151</v>
      </c>
      <c r="I595" s="46" t="s">
        <v>3244</v>
      </c>
      <c r="J595" s="25">
        <v>44804</v>
      </c>
      <c r="K595" s="25">
        <v>44985</v>
      </c>
      <c r="L595" s="26">
        <f t="shared" ref="L595:L602" si="246">R595/AD595*100</f>
        <v>78.400001111178014</v>
      </c>
      <c r="M595" s="11">
        <v>8</v>
      </c>
      <c r="N595" s="11" t="s">
        <v>691</v>
      </c>
      <c r="O595" s="11" t="s">
        <v>3243</v>
      </c>
      <c r="P595" s="11" t="s">
        <v>274</v>
      </c>
      <c r="Q595" s="11" t="s">
        <v>34</v>
      </c>
      <c r="R595" s="2">
        <f t="shared" si="241"/>
        <v>333023.15000000002</v>
      </c>
      <c r="S595" s="2">
        <v>0</v>
      </c>
      <c r="T595" s="2">
        <v>333023.15000000002</v>
      </c>
      <c r="U595" s="2">
        <f t="shared" si="242"/>
        <v>83255.78</v>
      </c>
      <c r="V595" s="2">
        <v>0</v>
      </c>
      <c r="W595" s="28">
        <v>83255.78</v>
      </c>
      <c r="X595" s="2">
        <f t="shared" si="243"/>
        <v>0</v>
      </c>
      <c r="Y595" s="2">
        <v>0</v>
      </c>
      <c r="Z595" s="2">
        <v>0</v>
      </c>
      <c r="AA595" s="2">
        <f t="shared" si="244"/>
        <v>8495.49</v>
      </c>
      <c r="AB595" s="2">
        <v>0</v>
      </c>
      <c r="AC595" s="2">
        <v>8495.49</v>
      </c>
      <c r="AD595" s="16">
        <f t="shared" si="240"/>
        <v>424774.42000000004</v>
      </c>
      <c r="AE595" s="2">
        <v>0</v>
      </c>
      <c r="AF595" s="2">
        <f t="shared" si="245"/>
        <v>424774.42000000004</v>
      </c>
      <c r="AG595" s="38" t="s">
        <v>486</v>
      </c>
      <c r="AH595" s="29"/>
      <c r="AI595" s="118">
        <v>0</v>
      </c>
      <c r="AJ595" s="118">
        <v>0</v>
      </c>
      <c r="AK595" s="179"/>
    </row>
    <row r="596" spans="1:37" s="43" customFormat="1" ht="283.5" x14ac:dyDescent="0.25">
      <c r="A596" s="6">
        <v>593</v>
      </c>
      <c r="B596" s="31">
        <v>151359</v>
      </c>
      <c r="C596" s="11">
        <v>1088</v>
      </c>
      <c r="D596" s="11" t="s">
        <v>1639</v>
      </c>
      <c r="E596" s="24" t="s">
        <v>2314</v>
      </c>
      <c r="F596" s="31" t="s">
        <v>3246</v>
      </c>
      <c r="G596" s="27" t="s">
        <v>3245</v>
      </c>
      <c r="H596" s="8" t="s">
        <v>151</v>
      </c>
      <c r="I596" s="46" t="s">
        <v>3259</v>
      </c>
      <c r="J596" s="25">
        <v>44802</v>
      </c>
      <c r="K596" s="25">
        <v>45167</v>
      </c>
      <c r="L596" s="26">
        <f t="shared" si="246"/>
        <v>78.400001698451717</v>
      </c>
      <c r="M596" s="11">
        <v>8</v>
      </c>
      <c r="N596" s="11" t="s">
        <v>691</v>
      </c>
      <c r="O596" s="11" t="s">
        <v>691</v>
      </c>
      <c r="P596" s="11" t="s">
        <v>274</v>
      </c>
      <c r="Q596" s="11" t="s">
        <v>34</v>
      </c>
      <c r="R596" s="2">
        <f t="shared" si="241"/>
        <v>306500.33</v>
      </c>
      <c r="S596" s="2">
        <v>0</v>
      </c>
      <c r="T596" s="2">
        <v>306500.33</v>
      </c>
      <c r="U596" s="2">
        <f t="shared" si="242"/>
        <v>76625.08</v>
      </c>
      <c r="V596" s="2">
        <v>0</v>
      </c>
      <c r="W596" s="28">
        <v>76625.08</v>
      </c>
      <c r="X596" s="2">
        <f t="shared" si="243"/>
        <v>0</v>
      </c>
      <c r="Y596" s="2">
        <v>0</v>
      </c>
      <c r="Z596" s="2">
        <v>0</v>
      </c>
      <c r="AA596" s="2">
        <f t="shared" si="244"/>
        <v>7818.88</v>
      </c>
      <c r="AB596" s="2">
        <v>0</v>
      </c>
      <c r="AC596" s="2">
        <v>7818.88</v>
      </c>
      <c r="AD596" s="16">
        <f t="shared" si="240"/>
        <v>390944.29000000004</v>
      </c>
      <c r="AE596" s="2">
        <v>0</v>
      </c>
      <c r="AF596" s="2">
        <f t="shared" si="245"/>
        <v>390944.29000000004</v>
      </c>
      <c r="AG596" s="38" t="s">
        <v>486</v>
      </c>
      <c r="AH596" s="29"/>
      <c r="AI596" s="118">
        <v>0</v>
      </c>
      <c r="AJ596" s="118">
        <v>0</v>
      </c>
      <c r="AK596" s="179"/>
    </row>
    <row r="597" spans="1:37" s="43" customFormat="1" ht="157.5" x14ac:dyDescent="0.25">
      <c r="A597" s="6">
        <v>594</v>
      </c>
      <c r="B597" s="31">
        <v>151449</v>
      </c>
      <c r="C597" s="11">
        <v>1090</v>
      </c>
      <c r="D597" s="11" t="s">
        <v>1639</v>
      </c>
      <c r="E597" s="24" t="s">
        <v>2314</v>
      </c>
      <c r="F597" s="31" t="s">
        <v>3248</v>
      </c>
      <c r="G597" s="27" t="s">
        <v>3247</v>
      </c>
      <c r="H597" s="8" t="s">
        <v>151</v>
      </c>
      <c r="I597" s="46" t="s">
        <v>3260</v>
      </c>
      <c r="J597" s="25">
        <v>44799</v>
      </c>
      <c r="K597" s="25">
        <v>45225</v>
      </c>
      <c r="L597" s="26">
        <f t="shared" si="246"/>
        <v>78.399999070429516</v>
      </c>
      <c r="M597" s="11">
        <v>8</v>
      </c>
      <c r="N597" s="11" t="s">
        <v>137</v>
      </c>
      <c r="O597" s="11" t="s">
        <v>137</v>
      </c>
      <c r="P597" s="11" t="s">
        <v>274</v>
      </c>
      <c r="Q597" s="11" t="s">
        <v>34</v>
      </c>
      <c r="R597" s="2">
        <f t="shared" si="241"/>
        <v>323865.7</v>
      </c>
      <c r="S597" s="2">
        <v>0</v>
      </c>
      <c r="T597" s="2">
        <v>323865.7</v>
      </c>
      <c r="U597" s="2">
        <f t="shared" si="242"/>
        <v>80966.429999999993</v>
      </c>
      <c r="V597" s="2">
        <v>0</v>
      </c>
      <c r="W597" s="28">
        <v>80966.429999999993</v>
      </c>
      <c r="X597" s="2">
        <f t="shared" si="243"/>
        <v>0</v>
      </c>
      <c r="Y597" s="2">
        <v>0</v>
      </c>
      <c r="Z597" s="2">
        <v>0</v>
      </c>
      <c r="AA597" s="2">
        <f t="shared" si="244"/>
        <v>8261.8799999999992</v>
      </c>
      <c r="AB597" s="2">
        <v>0</v>
      </c>
      <c r="AC597" s="2">
        <v>8261.8799999999992</v>
      </c>
      <c r="AD597" s="16">
        <f t="shared" si="240"/>
        <v>413094.01</v>
      </c>
      <c r="AE597" s="2">
        <v>0</v>
      </c>
      <c r="AF597" s="2">
        <f t="shared" si="245"/>
        <v>413094.01</v>
      </c>
      <c r="AG597" s="38" t="s">
        <v>486</v>
      </c>
      <c r="AH597" s="29"/>
      <c r="AI597" s="118">
        <v>0</v>
      </c>
      <c r="AJ597" s="118">
        <v>0</v>
      </c>
      <c r="AK597" s="179"/>
    </row>
    <row r="598" spans="1:37" s="43" customFormat="1" ht="252" x14ac:dyDescent="0.25">
      <c r="A598" s="6">
        <v>595</v>
      </c>
      <c r="B598" s="31">
        <v>151544</v>
      </c>
      <c r="C598" s="11">
        <v>1097</v>
      </c>
      <c r="D598" s="11" t="s">
        <v>1639</v>
      </c>
      <c r="E598" s="24" t="s">
        <v>2314</v>
      </c>
      <c r="F598" s="31" t="s">
        <v>3250</v>
      </c>
      <c r="G598" s="27" t="s">
        <v>3249</v>
      </c>
      <c r="H598" s="8" t="s">
        <v>151</v>
      </c>
      <c r="I598" s="46" t="s">
        <v>3251</v>
      </c>
      <c r="J598" s="25">
        <v>44804</v>
      </c>
      <c r="K598" s="25">
        <v>45230</v>
      </c>
      <c r="L598" s="26">
        <f t="shared" si="246"/>
        <v>78.399996680623858</v>
      </c>
      <c r="M598" s="11">
        <v>8</v>
      </c>
      <c r="N598" s="11" t="s">
        <v>137</v>
      </c>
      <c r="O598" s="11" t="s">
        <v>137</v>
      </c>
      <c r="P598" s="11" t="s">
        <v>274</v>
      </c>
      <c r="Q598" s="11" t="s">
        <v>34</v>
      </c>
      <c r="R598" s="2">
        <f t="shared" si="241"/>
        <v>330664.53000000003</v>
      </c>
      <c r="S598" s="2">
        <v>0</v>
      </c>
      <c r="T598" s="2">
        <v>330664.53000000003</v>
      </c>
      <c r="U598" s="2">
        <f t="shared" si="242"/>
        <v>82666.14</v>
      </c>
      <c r="V598" s="2">
        <v>0</v>
      </c>
      <c r="W598" s="28">
        <v>82666.14</v>
      </c>
      <c r="X598" s="2">
        <f t="shared" si="243"/>
        <v>0</v>
      </c>
      <c r="Y598" s="2">
        <v>0</v>
      </c>
      <c r="Z598" s="2">
        <v>0</v>
      </c>
      <c r="AA598" s="2">
        <f t="shared" si="244"/>
        <v>8435.33</v>
      </c>
      <c r="AB598" s="2">
        <v>0</v>
      </c>
      <c r="AC598" s="2">
        <v>8435.33</v>
      </c>
      <c r="AD598" s="16">
        <f t="shared" si="240"/>
        <v>421766.00000000006</v>
      </c>
      <c r="AE598" s="2">
        <v>0</v>
      </c>
      <c r="AF598" s="2">
        <f t="shared" si="245"/>
        <v>421766.00000000006</v>
      </c>
      <c r="AG598" s="38" t="s">
        <v>486</v>
      </c>
      <c r="AH598" s="29"/>
      <c r="AI598" s="118">
        <v>0</v>
      </c>
      <c r="AJ598" s="118">
        <v>0</v>
      </c>
      <c r="AK598" s="179"/>
    </row>
    <row r="599" spans="1:37" s="43" customFormat="1" ht="299.25" x14ac:dyDescent="0.25">
      <c r="A599" s="6">
        <v>596</v>
      </c>
      <c r="B599" s="31">
        <v>151480</v>
      </c>
      <c r="C599" s="11">
        <v>1093</v>
      </c>
      <c r="D599" s="11" t="s">
        <v>1639</v>
      </c>
      <c r="E599" s="24" t="s">
        <v>2314</v>
      </c>
      <c r="F599" s="31" t="s">
        <v>3268</v>
      </c>
      <c r="G599" s="27" t="s">
        <v>3267</v>
      </c>
      <c r="H599" s="8" t="s">
        <v>151</v>
      </c>
      <c r="I599" s="46" t="s">
        <v>3271</v>
      </c>
      <c r="J599" s="25">
        <v>44805</v>
      </c>
      <c r="K599" s="25">
        <v>45231</v>
      </c>
      <c r="L599" s="26">
        <f t="shared" si="246"/>
        <v>78.400004944717949</v>
      </c>
      <c r="M599" s="11">
        <v>8</v>
      </c>
      <c r="N599" s="11" t="s">
        <v>137</v>
      </c>
      <c r="O599" s="11" t="s">
        <v>137</v>
      </c>
      <c r="P599" s="11" t="s">
        <v>274</v>
      </c>
      <c r="Q599" s="11" t="s">
        <v>34</v>
      </c>
      <c r="R599" s="2">
        <f t="shared" si="241"/>
        <v>315837.65000000002</v>
      </c>
      <c r="S599" s="2">
        <v>0</v>
      </c>
      <c r="T599" s="2">
        <v>315837.65000000002</v>
      </c>
      <c r="U599" s="2">
        <f t="shared" si="242"/>
        <v>78959.39</v>
      </c>
      <c r="V599" s="2">
        <v>0</v>
      </c>
      <c r="W599" s="28">
        <v>78959.39</v>
      </c>
      <c r="X599" s="2">
        <f t="shared" si="243"/>
        <v>0</v>
      </c>
      <c r="Y599" s="2">
        <v>0</v>
      </c>
      <c r="Z599" s="2">
        <v>0</v>
      </c>
      <c r="AA599" s="2">
        <f t="shared" si="244"/>
        <v>8057.08</v>
      </c>
      <c r="AB599" s="2">
        <v>0</v>
      </c>
      <c r="AC599" s="2">
        <v>8057.08</v>
      </c>
      <c r="AD599" s="16">
        <f t="shared" si="240"/>
        <v>402854.12000000005</v>
      </c>
      <c r="AE599" s="2">
        <v>0</v>
      </c>
      <c r="AF599" s="2">
        <f t="shared" si="245"/>
        <v>402854.12000000005</v>
      </c>
      <c r="AG599" s="38" t="s">
        <v>486</v>
      </c>
      <c r="AH599" s="29"/>
      <c r="AI599" s="118">
        <v>0</v>
      </c>
      <c r="AJ599" s="118">
        <v>0</v>
      </c>
      <c r="AK599" s="179"/>
    </row>
    <row r="600" spans="1:37" s="43" customFormat="1" ht="141.75" x14ac:dyDescent="0.25">
      <c r="A600" s="6">
        <v>597</v>
      </c>
      <c r="B600" s="31">
        <v>151474</v>
      </c>
      <c r="C600" s="11">
        <v>1092</v>
      </c>
      <c r="D600" s="11" t="s">
        <v>1639</v>
      </c>
      <c r="E600" s="24" t="s">
        <v>2314</v>
      </c>
      <c r="F600" s="31" t="s">
        <v>3280</v>
      </c>
      <c r="G600" s="27" t="s">
        <v>3279</v>
      </c>
      <c r="H600" s="8" t="s">
        <v>151</v>
      </c>
      <c r="I600" s="46" t="s">
        <v>3281</v>
      </c>
      <c r="J600" s="25">
        <v>44810</v>
      </c>
      <c r="K600" s="25">
        <v>45236</v>
      </c>
      <c r="L600" s="26">
        <f t="shared" si="246"/>
        <v>78.400000136292874</v>
      </c>
      <c r="M600" s="11">
        <v>8</v>
      </c>
      <c r="N600" s="11" t="s">
        <v>691</v>
      </c>
      <c r="O600" s="11" t="s">
        <v>716</v>
      </c>
      <c r="P600" s="11" t="s">
        <v>274</v>
      </c>
      <c r="Q600" s="11" t="s">
        <v>34</v>
      </c>
      <c r="R600" s="2">
        <f t="shared" si="241"/>
        <v>322129.84999999998</v>
      </c>
      <c r="S600" s="2">
        <v>0</v>
      </c>
      <c r="T600" s="2">
        <v>322129.84999999998</v>
      </c>
      <c r="U600" s="2">
        <f t="shared" si="242"/>
        <v>80532.460000000006</v>
      </c>
      <c r="V600" s="2">
        <v>0</v>
      </c>
      <c r="W600" s="28">
        <v>80532.460000000006</v>
      </c>
      <c r="X600" s="2">
        <f t="shared" si="243"/>
        <v>0</v>
      </c>
      <c r="Y600" s="2">
        <v>0</v>
      </c>
      <c r="Z600" s="2">
        <v>0</v>
      </c>
      <c r="AA600" s="2">
        <f t="shared" si="244"/>
        <v>8217.6</v>
      </c>
      <c r="AB600" s="2">
        <v>0</v>
      </c>
      <c r="AC600" s="2">
        <v>8217.6</v>
      </c>
      <c r="AD600" s="16">
        <f t="shared" si="240"/>
        <v>410879.91</v>
      </c>
      <c r="AE600" s="2">
        <v>0</v>
      </c>
      <c r="AF600" s="2">
        <f t="shared" si="245"/>
        <v>410879.91</v>
      </c>
      <c r="AG600" s="38" t="s">
        <v>486</v>
      </c>
      <c r="AH600" s="29"/>
      <c r="AI600" s="118">
        <v>0</v>
      </c>
      <c r="AJ600" s="118">
        <v>0</v>
      </c>
      <c r="AK600" s="179"/>
    </row>
    <row r="601" spans="1:37" s="43" customFormat="1" ht="362.25" x14ac:dyDescent="0.25">
      <c r="A601" s="6">
        <v>598</v>
      </c>
      <c r="B601" s="31">
        <v>151512</v>
      </c>
      <c r="C601" s="11">
        <v>1079</v>
      </c>
      <c r="D601" s="11" t="s">
        <v>1639</v>
      </c>
      <c r="E601" s="24" t="s">
        <v>2314</v>
      </c>
      <c r="F601" s="31" t="s">
        <v>3288</v>
      </c>
      <c r="G601" s="27" t="s">
        <v>3287</v>
      </c>
      <c r="H601" s="8" t="s">
        <v>151</v>
      </c>
      <c r="I601" s="46" t="s">
        <v>3289</v>
      </c>
      <c r="J601" s="25">
        <v>44816</v>
      </c>
      <c r="K601" s="25">
        <v>44997</v>
      </c>
      <c r="L601" s="26">
        <f t="shared" si="246"/>
        <v>78.400002994791478</v>
      </c>
      <c r="M601" s="11">
        <v>8</v>
      </c>
      <c r="N601" s="11" t="s">
        <v>691</v>
      </c>
      <c r="O601" s="11" t="s">
        <v>3290</v>
      </c>
      <c r="P601" s="11" t="s">
        <v>274</v>
      </c>
      <c r="Q601" s="11" t="s">
        <v>34</v>
      </c>
      <c r="R601" s="2">
        <f t="shared" si="241"/>
        <v>332994.15000000002</v>
      </c>
      <c r="S601" s="2">
        <v>0</v>
      </c>
      <c r="T601" s="2">
        <v>332994.15000000002</v>
      </c>
      <c r="U601" s="2">
        <f t="shared" si="242"/>
        <v>83248.539999999994</v>
      </c>
      <c r="V601" s="2">
        <v>0</v>
      </c>
      <c r="W601" s="28">
        <v>83248.539999999994</v>
      </c>
      <c r="X601" s="2">
        <f t="shared" si="243"/>
        <v>0</v>
      </c>
      <c r="Y601" s="2">
        <v>0</v>
      </c>
      <c r="Z601" s="2">
        <v>0</v>
      </c>
      <c r="AA601" s="2">
        <f t="shared" si="244"/>
        <v>8494.73</v>
      </c>
      <c r="AB601" s="2">
        <v>0</v>
      </c>
      <c r="AC601" s="2">
        <v>8494.73</v>
      </c>
      <c r="AD601" s="16">
        <f t="shared" si="240"/>
        <v>424737.42</v>
      </c>
      <c r="AE601" s="2">
        <v>0</v>
      </c>
      <c r="AF601" s="2">
        <f t="shared" si="245"/>
        <v>424737.42</v>
      </c>
      <c r="AG601" s="38" t="s">
        <v>486</v>
      </c>
      <c r="AH601" s="29"/>
      <c r="AI601" s="118">
        <v>0</v>
      </c>
      <c r="AJ601" s="118">
        <v>0</v>
      </c>
      <c r="AK601" s="179"/>
    </row>
    <row r="602" spans="1:37" s="43" customFormat="1" ht="157.5" x14ac:dyDescent="0.25">
      <c r="A602" s="6">
        <v>599</v>
      </c>
      <c r="B602" s="31">
        <v>151542</v>
      </c>
      <c r="C602" s="11">
        <v>1096</v>
      </c>
      <c r="D602" s="11" t="s">
        <v>1639</v>
      </c>
      <c r="E602" s="24" t="s">
        <v>2314</v>
      </c>
      <c r="F602" s="31" t="s">
        <v>3292</v>
      </c>
      <c r="G602" s="27" t="s">
        <v>3291</v>
      </c>
      <c r="H602" s="8" t="s">
        <v>151</v>
      </c>
      <c r="I602" s="46" t="s">
        <v>3293</v>
      </c>
      <c r="J602" s="25">
        <v>44816</v>
      </c>
      <c r="K602" s="25">
        <v>45181</v>
      </c>
      <c r="L602" s="26">
        <f t="shared" si="246"/>
        <v>78.399999026766352</v>
      </c>
      <c r="M602" s="11">
        <v>8</v>
      </c>
      <c r="N602" s="11" t="s">
        <v>691</v>
      </c>
      <c r="O602" s="11" t="s">
        <v>3294</v>
      </c>
      <c r="P602" s="11" t="s">
        <v>274</v>
      </c>
      <c r="Q602" s="11" t="s">
        <v>34</v>
      </c>
      <c r="R602" s="2">
        <f t="shared" si="241"/>
        <v>322224.78000000003</v>
      </c>
      <c r="S602" s="2">
        <v>0</v>
      </c>
      <c r="T602" s="2">
        <v>322224.78000000003</v>
      </c>
      <c r="U602" s="2">
        <f t="shared" si="242"/>
        <v>80556.2</v>
      </c>
      <c r="V602" s="2">
        <v>0</v>
      </c>
      <c r="W602" s="28">
        <v>80556.2</v>
      </c>
      <c r="X602" s="2">
        <f t="shared" si="243"/>
        <v>0</v>
      </c>
      <c r="Y602" s="2">
        <v>0</v>
      </c>
      <c r="Z602" s="2">
        <v>0</v>
      </c>
      <c r="AA602" s="2">
        <f t="shared" si="244"/>
        <v>8220.02</v>
      </c>
      <c r="AB602" s="2">
        <v>0</v>
      </c>
      <c r="AC602" s="2">
        <v>8220.02</v>
      </c>
      <c r="AD602" s="16">
        <f t="shared" si="240"/>
        <v>411001.00000000006</v>
      </c>
      <c r="AE602" s="2">
        <v>0</v>
      </c>
      <c r="AF602" s="2">
        <f t="shared" si="245"/>
        <v>411001.00000000006</v>
      </c>
      <c r="AG602" s="38" t="s">
        <v>486</v>
      </c>
      <c r="AH602" s="29"/>
      <c r="AI602" s="118">
        <v>0</v>
      </c>
      <c r="AJ602" s="118">
        <v>0</v>
      </c>
      <c r="AK602" s="179"/>
    </row>
    <row r="603" spans="1:37" s="43" customFormat="1" ht="283.5" x14ac:dyDescent="0.25">
      <c r="A603" s="6">
        <v>600</v>
      </c>
      <c r="B603" s="31">
        <v>119193</v>
      </c>
      <c r="C603" s="11">
        <v>2</v>
      </c>
      <c r="D603" s="11" t="s">
        <v>143</v>
      </c>
      <c r="E603" s="24" t="s">
        <v>107</v>
      </c>
      <c r="F603" s="11" t="s">
        <v>35</v>
      </c>
      <c r="G603" s="27" t="s">
        <v>1348</v>
      </c>
      <c r="H603" s="8" t="s">
        <v>151</v>
      </c>
      <c r="I603" s="46" t="s">
        <v>36</v>
      </c>
      <c r="J603" s="25">
        <v>42459</v>
      </c>
      <c r="K603" s="25">
        <v>43373</v>
      </c>
      <c r="L603" s="26">
        <f t="shared" ref="L603:L667" si="247">R603/AD603*100</f>
        <v>83.983862816086358</v>
      </c>
      <c r="M603" s="11" t="s">
        <v>136</v>
      </c>
      <c r="N603" s="11" t="s">
        <v>261</v>
      </c>
      <c r="O603" s="11" t="s">
        <v>261</v>
      </c>
      <c r="P603" s="27" t="s">
        <v>138</v>
      </c>
      <c r="Q603" s="11" t="s">
        <v>34</v>
      </c>
      <c r="R603" s="2">
        <f t="shared" ref="R603:R635" si="248">S603+T603</f>
        <v>11141147.18</v>
      </c>
      <c r="S603" s="2">
        <v>8984364.5299999993</v>
      </c>
      <c r="T603" s="2">
        <v>2156782.65</v>
      </c>
      <c r="U603" s="2">
        <f t="shared" ref="U603:U610" si="249">V603+W603</f>
        <v>0</v>
      </c>
      <c r="V603" s="28">
        <v>0</v>
      </c>
      <c r="W603" s="28">
        <v>0</v>
      </c>
      <c r="X603" s="2">
        <f t="shared" ref="X603:X635" si="250">Y603+Z603</f>
        <v>2124671.7600000002</v>
      </c>
      <c r="Y603" s="2">
        <v>1585476.09</v>
      </c>
      <c r="Z603" s="2">
        <v>539195.67000000004</v>
      </c>
      <c r="AA603" s="2">
        <f t="shared" ref="AA603:AA635" si="251">AB603+AC603</f>
        <v>0</v>
      </c>
      <c r="AB603" s="2">
        <v>0</v>
      </c>
      <c r="AC603" s="2">
        <v>0</v>
      </c>
      <c r="AD603" s="16">
        <f t="shared" si="240"/>
        <v>13265818.939999999</v>
      </c>
      <c r="AE603" s="2">
        <v>0</v>
      </c>
      <c r="AF603" s="2">
        <f t="shared" ref="AF603:AF635" si="252">AD603+AE603</f>
        <v>13265818.939999999</v>
      </c>
      <c r="AG603" s="21" t="s">
        <v>857</v>
      </c>
      <c r="AH603" s="29" t="s">
        <v>275</v>
      </c>
      <c r="AI603" s="118">
        <v>11115534.15</v>
      </c>
      <c r="AJ603" s="30">
        <v>0</v>
      </c>
      <c r="AK603" s="179"/>
    </row>
    <row r="604" spans="1:37" s="179" customFormat="1" ht="141.75" x14ac:dyDescent="0.25">
      <c r="A604" s="6">
        <v>601</v>
      </c>
      <c r="B604" s="31">
        <v>118575</v>
      </c>
      <c r="C604" s="11">
        <v>7</v>
      </c>
      <c r="D604" s="11" t="s">
        <v>143</v>
      </c>
      <c r="E604" s="10" t="s">
        <v>107</v>
      </c>
      <c r="F604" s="11" t="s">
        <v>45</v>
      </c>
      <c r="G604" s="11" t="s">
        <v>1716</v>
      </c>
      <c r="H604" s="8" t="s">
        <v>151</v>
      </c>
      <c r="I604" s="46" t="s">
        <v>46</v>
      </c>
      <c r="J604" s="25">
        <v>42592</v>
      </c>
      <c r="K604" s="25">
        <v>44783</v>
      </c>
      <c r="L604" s="26">
        <f>R604/AD604*100</f>
        <v>83.983862823517285</v>
      </c>
      <c r="M604" s="11" t="s">
        <v>136</v>
      </c>
      <c r="N604" s="11" t="s">
        <v>261</v>
      </c>
      <c r="O604" s="11" t="s">
        <v>261</v>
      </c>
      <c r="P604" s="27" t="s">
        <v>138</v>
      </c>
      <c r="Q604" s="11" t="s">
        <v>34</v>
      </c>
      <c r="R604" s="2">
        <f>S604+T604</f>
        <v>8244072.25</v>
      </c>
      <c r="S604" s="2">
        <v>6648125.9800000004</v>
      </c>
      <c r="T604" s="2">
        <v>1595946.27</v>
      </c>
      <c r="U604" s="2">
        <f>V604+W604</f>
        <v>0</v>
      </c>
      <c r="V604" s="28">
        <v>0</v>
      </c>
      <c r="W604" s="28">
        <v>0</v>
      </c>
      <c r="X604" s="2">
        <f>Y604+Z604</f>
        <v>1572185.27</v>
      </c>
      <c r="Y604" s="2">
        <v>1173198.73</v>
      </c>
      <c r="Z604" s="2">
        <v>398986.54</v>
      </c>
      <c r="AA604" s="2">
        <f>AB604+AC604</f>
        <v>0</v>
      </c>
      <c r="AB604" s="2">
        <v>0</v>
      </c>
      <c r="AC604" s="2">
        <v>0</v>
      </c>
      <c r="AD604" s="16">
        <f t="shared" si="240"/>
        <v>9816257.5199999996</v>
      </c>
      <c r="AE604" s="2">
        <v>0</v>
      </c>
      <c r="AF604" s="2">
        <f>AD604+AE604</f>
        <v>9816257.5199999996</v>
      </c>
      <c r="AG604" s="38" t="s">
        <v>857</v>
      </c>
      <c r="AH604" s="29" t="s">
        <v>1772</v>
      </c>
      <c r="AI604" s="30">
        <f>2526006.82+91434.08+29139.88+39881.42+45202.63+320744.33+2197750.47</f>
        <v>5250159.63</v>
      </c>
      <c r="AJ604" s="30">
        <v>0</v>
      </c>
    </row>
    <row r="605" spans="1:37" s="179" customFormat="1" ht="204.75" x14ac:dyDescent="0.25">
      <c r="A605" s="6">
        <v>602</v>
      </c>
      <c r="B605" s="31">
        <v>117842</v>
      </c>
      <c r="C605" s="11">
        <v>3</v>
      </c>
      <c r="D605" s="11" t="s">
        <v>143</v>
      </c>
      <c r="E605" s="10" t="s">
        <v>107</v>
      </c>
      <c r="F605" s="11" t="s">
        <v>37</v>
      </c>
      <c r="G605" s="11" t="s">
        <v>1349</v>
      </c>
      <c r="H605" s="11" t="s">
        <v>162</v>
      </c>
      <c r="I605" s="46" t="s">
        <v>38</v>
      </c>
      <c r="J605" s="25">
        <v>42534</v>
      </c>
      <c r="K605" s="25">
        <v>43585</v>
      </c>
      <c r="L605" s="26">
        <f t="shared" si="247"/>
        <v>83.983864495221582</v>
      </c>
      <c r="M605" s="11" t="s">
        <v>136</v>
      </c>
      <c r="N605" s="11" t="s">
        <v>261</v>
      </c>
      <c r="O605" s="11" t="s">
        <v>261</v>
      </c>
      <c r="P605" s="27" t="s">
        <v>138</v>
      </c>
      <c r="Q605" s="11" t="s">
        <v>34</v>
      </c>
      <c r="R605" s="2">
        <f t="shared" si="248"/>
        <v>15396417.879999999</v>
      </c>
      <c r="S605" s="2">
        <v>12415869.539999999</v>
      </c>
      <c r="T605" s="2">
        <v>2980548.34</v>
      </c>
      <c r="U605" s="2">
        <f t="shared" si="249"/>
        <v>0</v>
      </c>
      <c r="V605" s="28">
        <v>0</v>
      </c>
      <c r="W605" s="28">
        <v>0</v>
      </c>
      <c r="X605" s="2">
        <f t="shared" si="250"/>
        <v>2936172.52</v>
      </c>
      <c r="Y605" s="2">
        <v>2191035.59</v>
      </c>
      <c r="Z605" s="2">
        <v>745136.93</v>
      </c>
      <c r="AA605" s="2">
        <f t="shared" si="251"/>
        <v>0</v>
      </c>
      <c r="AB605" s="2">
        <v>0</v>
      </c>
      <c r="AC605" s="2">
        <v>0</v>
      </c>
      <c r="AD605" s="16">
        <f t="shared" si="240"/>
        <v>18332590.399999999</v>
      </c>
      <c r="AE605" s="2">
        <v>0</v>
      </c>
      <c r="AF605" s="2">
        <f t="shared" si="252"/>
        <v>18332590.399999999</v>
      </c>
      <c r="AG605" s="21" t="s">
        <v>857</v>
      </c>
      <c r="AH605" s="29" t="s">
        <v>946</v>
      </c>
      <c r="AI605" s="30">
        <f>12217325.54+8762.76</f>
        <v>12226088.299999999</v>
      </c>
      <c r="AJ605" s="130">
        <v>0</v>
      </c>
    </row>
    <row r="606" spans="1:37" s="179" customFormat="1" ht="204.75" x14ac:dyDescent="0.25">
      <c r="A606" s="6">
        <v>603</v>
      </c>
      <c r="B606" s="31">
        <v>118291</v>
      </c>
      <c r="C606" s="11">
        <v>4</v>
      </c>
      <c r="D606" s="11" t="s">
        <v>143</v>
      </c>
      <c r="E606" s="10" t="s">
        <v>107</v>
      </c>
      <c r="F606" s="11" t="s">
        <v>39</v>
      </c>
      <c r="G606" s="11" t="s">
        <v>1350</v>
      </c>
      <c r="H606" s="11" t="s">
        <v>161</v>
      </c>
      <c r="I606" s="46" t="s">
        <v>40</v>
      </c>
      <c r="J606" s="25">
        <v>42459</v>
      </c>
      <c r="K606" s="25">
        <v>43220</v>
      </c>
      <c r="L606" s="26">
        <f t="shared" si="247"/>
        <v>83.983862772799696</v>
      </c>
      <c r="M606" s="11" t="s">
        <v>136</v>
      </c>
      <c r="N606" s="11" t="s">
        <v>261</v>
      </c>
      <c r="O606" s="11" t="s">
        <v>261</v>
      </c>
      <c r="P606" s="27" t="s">
        <v>138</v>
      </c>
      <c r="Q606" s="11" t="s">
        <v>34</v>
      </c>
      <c r="R606" s="2">
        <f t="shared" si="248"/>
        <v>9512414.3200000003</v>
      </c>
      <c r="S606" s="2">
        <v>7670933.3799999999</v>
      </c>
      <c r="T606" s="2">
        <v>1841480.94</v>
      </c>
      <c r="U606" s="2">
        <f t="shared" si="249"/>
        <v>0</v>
      </c>
      <c r="V606" s="28">
        <v>0</v>
      </c>
      <c r="W606" s="28">
        <v>0</v>
      </c>
      <c r="X606" s="2">
        <f t="shared" si="250"/>
        <v>1814064.3699999999</v>
      </c>
      <c r="Y606" s="2">
        <v>1353694.13</v>
      </c>
      <c r="Z606" s="2">
        <v>460370.24</v>
      </c>
      <c r="AA606" s="2">
        <f t="shared" si="251"/>
        <v>0</v>
      </c>
      <c r="AB606" s="2">
        <v>0</v>
      </c>
      <c r="AC606" s="2">
        <v>0</v>
      </c>
      <c r="AD606" s="16">
        <f t="shared" si="240"/>
        <v>11326478.689999999</v>
      </c>
      <c r="AE606" s="2">
        <v>0</v>
      </c>
      <c r="AF606" s="2">
        <f t="shared" si="252"/>
        <v>11326478.689999999</v>
      </c>
      <c r="AG606" s="21" t="s">
        <v>857</v>
      </c>
      <c r="AH606" s="29" t="s">
        <v>173</v>
      </c>
      <c r="AI606" s="30">
        <v>8671071.8500000015</v>
      </c>
      <c r="AJ606" s="130">
        <v>0</v>
      </c>
    </row>
    <row r="607" spans="1:37" s="179" customFormat="1" ht="141.75" x14ac:dyDescent="0.25">
      <c r="A607" s="6">
        <v>604</v>
      </c>
      <c r="B607" s="31">
        <v>118957</v>
      </c>
      <c r="C607" s="11">
        <v>5</v>
      </c>
      <c r="D607" s="11" t="s">
        <v>143</v>
      </c>
      <c r="E607" s="10" t="s">
        <v>107</v>
      </c>
      <c r="F607" s="11" t="s">
        <v>41</v>
      </c>
      <c r="G607" s="27" t="s">
        <v>1351</v>
      </c>
      <c r="H607" s="11" t="s">
        <v>162</v>
      </c>
      <c r="I607" s="46" t="s">
        <v>42</v>
      </c>
      <c r="J607" s="25">
        <v>42900</v>
      </c>
      <c r="K607" s="25">
        <v>43904</v>
      </c>
      <c r="L607" s="26">
        <f t="shared" si="247"/>
        <v>83.983863090563631</v>
      </c>
      <c r="M607" s="11" t="s">
        <v>136</v>
      </c>
      <c r="N607" s="11" t="s">
        <v>261</v>
      </c>
      <c r="O607" s="11" t="s">
        <v>261</v>
      </c>
      <c r="P607" s="27" t="s">
        <v>138</v>
      </c>
      <c r="Q607" s="11" t="s">
        <v>34</v>
      </c>
      <c r="R607" s="2">
        <f t="shared" si="248"/>
        <v>4555318.21</v>
      </c>
      <c r="S607" s="2">
        <v>3673467.24</v>
      </c>
      <c r="T607" s="2">
        <v>881850.97</v>
      </c>
      <c r="U607" s="2">
        <f t="shared" si="249"/>
        <v>0</v>
      </c>
      <c r="V607" s="28">
        <v>0</v>
      </c>
      <c r="W607" s="28">
        <v>0</v>
      </c>
      <c r="X607" s="2">
        <f t="shared" si="250"/>
        <v>868721.65</v>
      </c>
      <c r="Y607" s="2">
        <v>648258.93000000005</v>
      </c>
      <c r="Z607" s="2">
        <v>220462.72</v>
      </c>
      <c r="AA607" s="2">
        <f t="shared" si="251"/>
        <v>0</v>
      </c>
      <c r="AB607" s="2">
        <v>0</v>
      </c>
      <c r="AC607" s="2">
        <v>0</v>
      </c>
      <c r="AD607" s="16">
        <f t="shared" si="240"/>
        <v>5424039.8600000003</v>
      </c>
      <c r="AE607" s="2">
        <v>0</v>
      </c>
      <c r="AF607" s="2">
        <f t="shared" si="252"/>
        <v>5424039.8600000003</v>
      </c>
      <c r="AG607" s="38" t="s">
        <v>857</v>
      </c>
      <c r="AH607" s="29" t="s">
        <v>1404</v>
      </c>
      <c r="AI607" s="30">
        <f>3853955.63+273692.26</f>
        <v>4127647.8899999997</v>
      </c>
      <c r="AJ607" s="130">
        <v>0</v>
      </c>
    </row>
    <row r="608" spans="1:37" s="179" customFormat="1" ht="141.75" x14ac:dyDescent="0.25">
      <c r="A608" s="6">
        <v>605</v>
      </c>
      <c r="B608" s="31">
        <v>118448</v>
      </c>
      <c r="C608" s="11">
        <v>6</v>
      </c>
      <c r="D608" s="11" t="s">
        <v>143</v>
      </c>
      <c r="E608" s="10" t="s">
        <v>107</v>
      </c>
      <c r="F608" s="11" t="s">
        <v>43</v>
      </c>
      <c r="G608" s="11" t="s">
        <v>1349</v>
      </c>
      <c r="H608" s="8" t="s">
        <v>151</v>
      </c>
      <c r="I608" s="46" t="s">
        <v>44</v>
      </c>
      <c r="J608" s="25">
        <v>42458</v>
      </c>
      <c r="K608" s="25">
        <v>43706</v>
      </c>
      <c r="L608" s="26">
        <f t="shared" si="247"/>
        <v>83.983862365752103</v>
      </c>
      <c r="M608" s="11" t="s">
        <v>136</v>
      </c>
      <c r="N608" s="11" t="s">
        <v>261</v>
      </c>
      <c r="O608" s="11" t="s">
        <v>261</v>
      </c>
      <c r="P608" s="27" t="s">
        <v>138</v>
      </c>
      <c r="Q608" s="11" t="s">
        <v>34</v>
      </c>
      <c r="R608" s="2">
        <f t="shared" si="248"/>
        <v>15459786.27</v>
      </c>
      <c r="S608" s="2">
        <v>12466970.77</v>
      </c>
      <c r="T608" s="2">
        <v>2992815.5</v>
      </c>
      <c r="U608" s="2">
        <f t="shared" si="249"/>
        <v>0</v>
      </c>
      <c r="V608" s="28">
        <v>0</v>
      </c>
      <c r="W608" s="28">
        <v>0</v>
      </c>
      <c r="X608" s="2">
        <f t="shared" si="250"/>
        <v>2948257.6500000004</v>
      </c>
      <c r="Y608" s="2">
        <v>2200053.66</v>
      </c>
      <c r="Z608" s="2">
        <v>748203.99</v>
      </c>
      <c r="AA608" s="2">
        <f t="shared" si="251"/>
        <v>0</v>
      </c>
      <c r="AB608" s="2">
        <v>0</v>
      </c>
      <c r="AC608" s="2">
        <v>0</v>
      </c>
      <c r="AD608" s="16">
        <f t="shared" si="240"/>
        <v>18408043.920000002</v>
      </c>
      <c r="AE608" s="2">
        <v>0</v>
      </c>
      <c r="AF608" s="2">
        <f t="shared" si="252"/>
        <v>18408043.920000002</v>
      </c>
      <c r="AG608" s="21" t="s">
        <v>857</v>
      </c>
      <c r="AH608" s="29" t="s">
        <v>1064</v>
      </c>
      <c r="AI608" s="30">
        <v>12495255.649999997</v>
      </c>
      <c r="AJ608" s="130">
        <v>0</v>
      </c>
      <c r="AK608" s="43"/>
    </row>
    <row r="609" spans="1:37" s="179" customFormat="1" ht="141.75" x14ac:dyDescent="0.25">
      <c r="A609" s="6">
        <v>606</v>
      </c>
      <c r="B609" s="31">
        <v>119240</v>
      </c>
      <c r="C609" s="11">
        <v>54</v>
      </c>
      <c r="D609" s="11" t="s">
        <v>145</v>
      </c>
      <c r="E609" s="10" t="s">
        <v>123</v>
      </c>
      <c r="F609" s="11" t="s">
        <v>97</v>
      </c>
      <c r="G609" s="11" t="s">
        <v>94</v>
      </c>
      <c r="H609" s="8" t="s">
        <v>151</v>
      </c>
      <c r="I609" s="46" t="s">
        <v>98</v>
      </c>
      <c r="J609" s="25">
        <v>42943</v>
      </c>
      <c r="K609" s="25">
        <v>44254</v>
      </c>
      <c r="L609" s="26">
        <f t="shared" si="247"/>
        <v>83.983862702386219</v>
      </c>
      <c r="M609" s="11" t="s">
        <v>136</v>
      </c>
      <c r="N609" s="11" t="s">
        <v>261</v>
      </c>
      <c r="O609" s="11" t="s">
        <v>261</v>
      </c>
      <c r="P609" s="27" t="s">
        <v>138</v>
      </c>
      <c r="Q609" s="11" t="s">
        <v>34</v>
      </c>
      <c r="R609" s="2">
        <f t="shared" si="248"/>
        <v>11805482.9</v>
      </c>
      <c r="S609" s="2">
        <v>9520093.4299999997</v>
      </c>
      <c r="T609" s="2">
        <v>2285389.4700000002</v>
      </c>
      <c r="U609" s="2">
        <f t="shared" si="249"/>
        <v>0</v>
      </c>
      <c r="V609" s="28">
        <v>0</v>
      </c>
      <c r="W609" s="28">
        <v>0</v>
      </c>
      <c r="X609" s="2">
        <f t="shared" si="250"/>
        <v>2251363.88</v>
      </c>
      <c r="Y609" s="2">
        <v>1680016.48</v>
      </c>
      <c r="Z609" s="2">
        <v>571347.4</v>
      </c>
      <c r="AA609" s="2">
        <f t="shared" si="251"/>
        <v>0</v>
      </c>
      <c r="AB609" s="2">
        <v>0</v>
      </c>
      <c r="AC609" s="2">
        <v>0</v>
      </c>
      <c r="AD609" s="16">
        <f t="shared" si="240"/>
        <v>14056846.780000001</v>
      </c>
      <c r="AE609" s="2">
        <v>216877.5</v>
      </c>
      <c r="AF609" s="2">
        <f t="shared" si="252"/>
        <v>14273724.280000001</v>
      </c>
      <c r="AG609" s="38" t="s">
        <v>857</v>
      </c>
      <c r="AH609" s="29" t="s">
        <v>1586</v>
      </c>
      <c r="AI609" s="30">
        <f>10551997.58+45332.4+60208.97+567096.84+164236.95</f>
        <v>11388872.74</v>
      </c>
      <c r="AJ609" s="130">
        <v>0</v>
      </c>
    </row>
    <row r="610" spans="1:37" s="179" customFormat="1" ht="236.25" x14ac:dyDescent="0.25">
      <c r="A610" s="6">
        <v>607</v>
      </c>
      <c r="B610" s="31">
        <v>122100</v>
      </c>
      <c r="C610" s="11">
        <v>8</v>
      </c>
      <c r="D610" s="11" t="s">
        <v>143</v>
      </c>
      <c r="E610" s="10" t="s">
        <v>107</v>
      </c>
      <c r="F610" s="11" t="s">
        <v>47</v>
      </c>
      <c r="G610" s="11" t="s">
        <v>1718</v>
      </c>
      <c r="H610" s="8" t="s">
        <v>151</v>
      </c>
      <c r="I610" s="46" t="s">
        <v>48</v>
      </c>
      <c r="J610" s="25">
        <v>42661</v>
      </c>
      <c r="K610" s="25">
        <v>43756</v>
      </c>
      <c r="L610" s="26">
        <f t="shared" si="247"/>
        <v>83.983862943976007</v>
      </c>
      <c r="M610" s="11" t="s">
        <v>136</v>
      </c>
      <c r="N610" s="11" t="s">
        <v>261</v>
      </c>
      <c r="O610" s="11" t="s">
        <v>261</v>
      </c>
      <c r="P610" s="27" t="s">
        <v>138</v>
      </c>
      <c r="Q610" s="11" t="s">
        <v>34</v>
      </c>
      <c r="R610" s="2">
        <f t="shared" si="248"/>
        <v>1681184.87</v>
      </c>
      <c r="S610" s="2">
        <v>1355729.12</v>
      </c>
      <c r="T610" s="2">
        <v>325455.75</v>
      </c>
      <c r="U610" s="2">
        <f t="shared" si="249"/>
        <v>0</v>
      </c>
      <c r="V610" s="28">
        <v>0</v>
      </c>
      <c r="W610" s="28">
        <v>0</v>
      </c>
      <c r="X610" s="2">
        <f t="shared" si="250"/>
        <v>320610.25</v>
      </c>
      <c r="Y610" s="2">
        <v>239246.31</v>
      </c>
      <c r="Z610" s="2">
        <v>81363.94</v>
      </c>
      <c r="AA610" s="2">
        <f t="shared" si="251"/>
        <v>0</v>
      </c>
      <c r="AB610" s="2">
        <v>0</v>
      </c>
      <c r="AC610" s="2">
        <v>0</v>
      </c>
      <c r="AD610" s="16">
        <f t="shared" si="240"/>
        <v>2001795.12</v>
      </c>
      <c r="AE610" s="2">
        <v>0</v>
      </c>
      <c r="AF610" s="2">
        <f t="shared" si="252"/>
        <v>2001795.12</v>
      </c>
      <c r="AG610" s="21" t="s">
        <v>857</v>
      </c>
      <c r="AH610" s="29" t="s">
        <v>1052</v>
      </c>
      <c r="AI610" s="30">
        <v>1110336.8299999998</v>
      </c>
      <c r="AJ610" s="130">
        <v>0</v>
      </c>
    </row>
    <row r="611" spans="1:37" s="179" customFormat="1" ht="173.25" x14ac:dyDescent="0.25">
      <c r="A611" s="6">
        <v>608</v>
      </c>
      <c r="B611" s="31">
        <v>120313</v>
      </c>
      <c r="C611" s="11">
        <v>9</v>
      </c>
      <c r="D611" s="11" t="s">
        <v>143</v>
      </c>
      <c r="E611" s="10" t="s">
        <v>107</v>
      </c>
      <c r="F611" s="11" t="s">
        <v>49</v>
      </c>
      <c r="G611" s="27" t="s">
        <v>1719</v>
      </c>
      <c r="H611" s="11" t="s">
        <v>164</v>
      </c>
      <c r="I611" s="46" t="s">
        <v>50</v>
      </c>
      <c r="J611" s="25">
        <v>42538</v>
      </c>
      <c r="K611" s="25">
        <v>43633</v>
      </c>
      <c r="L611" s="26">
        <f t="shared" si="247"/>
        <v>83.983862848864632</v>
      </c>
      <c r="M611" s="11" t="s">
        <v>136</v>
      </c>
      <c r="N611" s="11" t="s">
        <v>261</v>
      </c>
      <c r="O611" s="11" t="s">
        <v>261</v>
      </c>
      <c r="P611" s="27" t="s">
        <v>138</v>
      </c>
      <c r="Q611" s="11" t="s">
        <v>34</v>
      </c>
      <c r="R611" s="2">
        <f t="shared" si="248"/>
        <v>30189820.119999997</v>
      </c>
      <c r="S611" s="2">
        <v>24345459.629999999</v>
      </c>
      <c r="T611" s="2">
        <v>5844360.4900000002</v>
      </c>
      <c r="U611" s="2">
        <v>1966327.81</v>
      </c>
      <c r="V611" s="28">
        <v>1453132.81</v>
      </c>
      <c r="W611" s="28">
        <v>513195</v>
      </c>
      <c r="X611" s="2">
        <f t="shared" si="250"/>
        <v>3791019.8899999997</v>
      </c>
      <c r="Y611" s="2">
        <v>2843124.76</v>
      </c>
      <c r="Z611" s="2">
        <v>947895.13</v>
      </c>
      <c r="AA611" s="2">
        <f t="shared" si="251"/>
        <v>0</v>
      </c>
      <c r="AB611" s="2">
        <v>0</v>
      </c>
      <c r="AC611" s="2">
        <v>0</v>
      </c>
      <c r="AD611" s="16">
        <f t="shared" si="240"/>
        <v>35947167.819999993</v>
      </c>
      <c r="AE611" s="2">
        <v>0</v>
      </c>
      <c r="AF611" s="2">
        <f t="shared" si="252"/>
        <v>35947167.819999993</v>
      </c>
      <c r="AG611" s="21" t="s">
        <v>857</v>
      </c>
      <c r="AH611" s="29" t="s">
        <v>984</v>
      </c>
      <c r="AI611" s="30">
        <v>26274093.779999994</v>
      </c>
      <c r="AJ611" s="130">
        <v>1669405.63</v>
      </c>
    </row>
    <row r="612" spans="1:37" s="179" customFormat="1" ht="330.75" x14ac:dyDescent="0.25">
      <c r="A612" s="6">
        <v>609</v>
      </c>
      <c r="B612" s="31">
        <v>121644</v>
      </c>
      <c r="C612" s="11">
        <v>10</v>
      </c>
      <c r="D612" s="11" t="s">
        <v>143</v>
      </c>
      <c r="E612" s="10" t="s">
        <v>107</v>
      </c>
      <c r="F612" s="11" t="s">
        <v>1886</v>
      </c>
      <c r="G612" s="11" t="s">
        <v>1718</v>
      </c>
      <c r="H612" s="8" t="s">
        <v>151</v>
      </c>
      <c r="I612" s="46" t="s">
        <v>51</v>
      </c>
      <c r="J612" s="25">
        <v>42538</v>
      </c>
      <c r="K612" s="25">
        <v>43298</v>
      </c>
      <c r="L612" s="26">
        <f t="shared" si="247"/>
        <v>83.983862739322618</v>
      </c>
      <c r="M612" s="11" t="s">
        <v>136</v>
      </c>
      <c r="N612" s="11" t="s">
        <v>261</v>
      </c>
      <c r="O612" s="11" t="s">
        <v>261</v>
      </c>
      <c r="P612" s="27" t="s">
        <v>138</v>
      </c>
      <c r="Q612" s="11" t="s">
        <v>34</v>
      </c>
      <c r="R612" s="2">
        <f t="shared" si="248"/>
        <v>2777962.48</v>
      </c>
      <c r="S612" s="2">
        <v>2240184.71</v>
      </c>
      <c r="T612" s="2">
        <v>537777.77</v>
      </c>
      <c r="U612" s="2">
        <f t="shared" ref="U612:U643" si="253">V612+W612</f>
        <v>0</v>
      </c>
      <c r="V612" s="28">
        <v>0</v>
      </c>
      <c r="W612" s="28">
        <v>0</v>
      </c>
      <c r="X612" s="2">
        <f t="shared" si="250"/>
        <v>529771.16</v>
      </c>
      <c r="Y612" s="2">
        <v>395326.72000000003</v>
      </c>
      <c r="Z612" s="2">
        <v>134444.44</v>
      </c>
      <c r="AA612" s="2">
        <f t="shared" si="251"/>
        <v>0</v>
      </c>
      <c r="AB612" s="2">
        <v>0</v>
      </c>
      <c r="AC612" s="2">
        <v>0</v>
      </c>
      <c r="AD612" s="16">
        <f t="shared" si="240"/>
        <v>3307733.64</v>
      </c>
      <c r="AE612" s="2">
        <v>192499.20000000001</v>
      </c>
      <c r="AF612" s="2">
        <f t="shared" si="252"/>
        <v>3500232.8400000003</v>
      </c>
      <c r="AG612" s="21" t="s">
        <v>857</v>
      </c>
      <c r="AH612" s="29" t="s">
        <v>195</v>
      </c>
      <c r="AI612" s="30">
        <v>2635526.38</v>
      </c>
      <c r="AJ612" s="130">
        <v>0</v>
      </c>
    </row>
    <row r="613" spans="1:37" s="179" customFormat="1" ht="252" x14ac:dyDescent="0.25">
      <c r="A613" s="6">
        <v>610</v>
      </c>
      <c r="B613" s="31">
        <v>118305</v>
      </c>
      <c r="C613" s="11">
        <v>11</v>
      </c>
      <c r="D613" s="11" t="s">
        <v>143</v>
      </c>
      <c r="E613" s="10" t="s">
        <v>107</v>
      </c>
      <c r="F613" s="11" t="s">
        <v>53</v>
      </c>
      <c r="G613" s="11" t="s">
        <v>52</v>
      </c>
      <c r="H613" s="11" t="s">
        <v>164</v>
      </c>
      <c r="I613" s="46" t="s">
        <v>54</v>
      </c>
      <c r="J613" s="25">
        <v>42467</v>
      </c>
      <c r="K613" s="25">
        <v>43562</v>
      </c>
      <c r="L613" s="26">
        <f t="shared" si="247"/>
        <v>83.98386392846011</v>
      </c>
      <c r="M613" s="11" t="s">
        <v>136</v>
      </c>
      <c r="N613" s="11" t="s">
        <v>261</v>
      </c>
      <c r="O613" s="11" t="s">
        <v>261</v>
      </c>
      <c r="P613" s="27" t="s">
        <v>138</v>
      </c>
      <c r="Q613" s="11" t="s">
        <v>34</v>
      </c>
      <c r="R613" s="2">
        <f t="shared" si="248"/>
        <v>13566063.25</v>
      </c>
      <c r="S613" s="2">
        <v>10939848.08</v>
      </c>
      <c r="T613" s="2">
        <v>2626215.17</v>
      </c>
      <c r="U613" s="2">
        <f t="shared" si="253"/>
        <v>0</v>
      </c>
      <c r="V613" s="28">
        <v>0</v>
      </c>
      <c r="W613" s="28">
        <v>0</v>
      </c>
      <c r="X613" s="2">
        <f t="shared" si="250"/>
        <v>2587115.0099999998</v>
      </c>
      <c r="Y613" s="2">
        <v>1930561.24</v>
      </c>
      <c r="Z613" s="2">
        <v>656553.77</v>
      </c>
      <c r="AA613" s="2">
        <f t="shared" si="251"/>
        <v>0</v>
      </c>
      <c r="AB613" s="2">
        <v>0</v>
      </c>
      <c r="AC613" s="2">
        <v>0</v>
      </c>
      <c r="AD613" s="16">
        <f t="shared" si="240"/>
        <v>16153178.26</v>
      </c>
      <c r="AE613" s="2">
        <v>0</v>
      </c>
      <c r="AF613" s="2">
        <f t="shared" si="252"/>
        <v>16153178.26</v>
      </c>
      <c r="AG613" s="21" t="s">
        <v>857</v>
      </c>
      <c r="AH613" s="29" t="s">
        <v>876</v>
      </c>
      <c r="AI613" s="30">
        <v>12427497.709999997</v>
      </c>
      <c r="AJ613" s="130">
        <v>0</v>
      </c>
    </row>
    <row r="614" spans="1:37" s="179" customFormat="1" ht="157.5" x14ac:dyDescent="0.25">
      <c r="A614" s="6">
        <v>611</v>
      </c>
      <c r="B614" s="31">
        <v>118349</v>
      </c>
      <c r="C614" s="11">
        <v>13</v>
      </c>
      <c r="D614" s="11" t="s">
        <v>143</v>
      </c>
      <c r="E614" s="10" t="s">
        <v>107</v>
      </c>
      <c r="F614" s="11" t="s">
        <v>56</v>
      </c>
      <c r="G614" s="11" t="s">
        <v>55</v>
      </c>
      <c r="H614" s="11" t="s">
        <v>162</v>
      </c>
      <c r="I614" s="46" t="s">
        <v>57</v>
      </c>
      <c r="J614" s="25">
        <v>42663</v>
      </c>
      <c r="K614" s="25">
        <v>45097</v>
      </c>
      <c r="L614" s="26">
        <f t="shared" si="247"/>
        <v>83.983862819250106</v>
      </c>
      <c r="M614" s="11" t="s">
        <v>136</v>
      </c>
      <c r="N614" s="11" t="s">
        <v>261</v>
      </c>
      <c r="O614" s="11" t="s">
        <v>261</v>
      </c>
      <c r="P614" s="27" t="s">
        <v>138</v>
      </c>
      <c r="Q614" s="11" t="s">
        <v>34</v>
      </c>
      <c r="R614" s="2">
        <f t="shared" si="248"/>
        <v>8904385.9900000002</v>
      </c>
      <c r="S614" s="2">
        <v>7180611.5199999996</v>
      </c>
      <c r="T614" s="2">
        <v>1723774.47</v>
      </c>
      <c r="U614" s="2">
        <f t="shared" si="253"/>
        <v>0</v>
      </c>
      <c r="V614" s="28">
        <v>0</v>
      </c>
      <c r="W614" s="28">
        <v>0</v>
      </c>
      <c r="X614" s="2">
        <f t="shared" si="250"/>
        <v>1698110.3599999999</v>
      </c>
      <c r="Y614" s="2">
        <v>1267166.72</v>
      </c>
      <c r="Z614" s="2">
        <v>430943.64</v>
      </c>
      <c r="AA614" s="2">
        <f t="shared" si="251"/>
        <v>0</v>
      </c>
      <c r="AB614" s="2">
        <v>0</v>
      </c>
      <c r="AC614" s="2">
        <v>0</v>
      </c>
      <c r="AD614" s="16">
        <f t="shared" si="240"/>
        <v>10602496.35</v>
      </c>
      <c r="AE614" s="2">
        <v>0</v>
      </c>
      <c r="AF614" s="2">
        <f t="shared" si="252"/>
        <v>10602496.35</v>
      </c>
      <c r="AG614" s="38" t="s">
        <v>486</v>
      </c>
      <c r="AH614" s="29" t="s">
        <v>1841</v>
      </c>
      <c r="AI614" s="30">
        <f>3218564.52+133092.52+172302.6+92594.73+28511.69</f>
        <v>3645066.06</v>
      </c>
      <c r="AJ614" s="130">
        <v>0</v>
      </c>
    </row>
    <row r="615" spans="1:37" s="179" customFormat="1" ht="362.25" x14ac:dyDescent="0.25">
      <c r="A615" s="6">
        <v>612</v>
      </c>
      <c r="B615" s="31">
        <v>120068</v>
      </c>
      <c r="C615" s="11">
        <v>55</v>
      </c>
      <c r="D615" s="11" t="s">
        <v>145</v>
      </c>
      <c r="E615" s="10" t="s">
        <v>123</v>
      </c>
      <c r="F615" s="11" t="s">
        <v>100</v>
      </c>
      <c r="G615" s="11" t="s">
        <v>99</v>
      </c>
      <c r="H615" s="11" t="s">
        <v>157</v>
      </c>
      <c r="I615" s="46" t="s">
        <v>101</v>
      </c>
      <c r="J615" s="25">
        <v>43060</v>
      </c>
      <c r="K615" s="25">
        <v>44186</v>
      </c>
      <c r="L615" s="26">
        <f t="shared" si="247"/>
        <v>83.983862867470734</v>
      </c>
      <c r="M615" s="11" t="s">
        <v>136</v>
      </c>
      <c r="N615" s="11" t="s">
        <v>261</v>
      </c>
      <c r="O615" s="11" t="s">
        <v>261</v>
      </c>
      <c r="P615" s="11" t="s">
        <v>138</v>
      </c>
      <c r="Q615" s="11" t="s">
        <v>34</v>
      </c>
      <c r="R615" s="2">
        <f t="shared" si="248"/>
        <v>8678209.1799999997</v>
      </c>
      <c r="S615" s="2">
        <v>6998219.6100000003</v>
      </c>
      <c r="T615" s="2">
        <v>1679989.57</v>
      </c>
      <c r="U615" s="2">
        <f t="shared" si="253"/>
        <v>0</v>
      </c>
      <c r="V615" s="28">
        <v>0</v>
      </c>
      <c r="W615" s="28">
        <v>0</v>
      </c>
      <c r="X615" s="2">
        <f t="shared" si="250"/>
        <v>1654977.3199999998</v>
      </c>
      <c r="Y615" s="2">
        <v>1234979.93</v>
      </c>
      <c r="Z615" s="2">
        <v>419997.39</v>
      </c>
      <c r="AA615" s="2">
        <f t="shared" si="251"/>
        <v>0</v>
      </c>
      <c r="AB615" s="2">
        <v>0</v>
      </c>
      <c r="AC615" s="2">
        <v>0</v>
      </c>
      <c r="AD615" s="16">
        <f t="shared" si="240"/>
        <v>10333186.5</v>
      </c>
      <c r="AE615" s="2">
        <v>0</v>
      </c>
      <c r="AF615" s="2">
        <f t="shared" si="252"/>
        <v>10333186.5</v>
      </c>
      <c r="AG615" s="38" t="s">
        <v>857</v>
      </c>
      <c r="AH615" s="29" t="s">
        <v>1395</v>
      </c>
      <c r="AI615" s="30">
        <f>1310147.31+3031843.03+2328598.7+128384.45</f>
        <v>6798973.4900000002</v>
      </c>
      <c r="AJ615" s="130">
        <v>0</v>
      </c>
    </row>
    <row r="616" spans="1:37" s="179" customFormat="1" ht="220.5" x14ac:dyDescent="0.25">
      <c r="A616" s="6">
        <v>613</v>
      </c>
      <c r="B616" s="31">
        <v>117846</v>
      </c>
      <c r="C616" s="11">
        <v>16</v>
      </c>
      <c r="D616" s="11" t="s">
        <v>143</v>
      </c>
      <c r="E616" s="10" t="s">
        <v>107</v>
      </c>
      <c r="F616" s="11" t="s">
        <v>108</v>
      </c>
      <c r="G616" s="11" t="s">
        <v>1774</v>
      </c>
      <c r="H616" s="11" t="s">
        <v>166</v>
      </c>
      <c r="I616" s="46" t="s">
        <v>109</v>
      </c>
      <c r="J616" s="25">
        <v>42884</v>
      </c>
      <c r="K616" s="25">
        <v>44498</v>
      </c>
      <c r="L616" s="26">
        <f t="shared" si="247"/>
        <v>83.983862369886609</v>
      </c>
      <c r="M616" s="11" t="s">
        <v>136</v>
      </c>
      <c r="N616" s="11" t="s">
        <v>261</v>
      </c>
      <c r="O616" s="11" t="s">
        <v>261</v>
      </c>
      <c r="P616" s="27" t="s">
        <v>138</v>
      </c>
      <c r="Q616" s="11" t="s">
        <v>34</v>
      </c>
      <c r="R616" s="2">
        <f t="shared" si="248"/>
        <v>12294746.960000001</v>
      </c>
      <c r="S616" s="2">
        <v>9914642.3000000007</v>
      </c>
      <c r="T616" s="2">
        <v>2380104.66</v>
      </c>
      <c r="U616" s="2">
        <f t="shared" si="253"/>
        <v>0</v>
      </c>
      <c r="V616" s="28">
        <v>0</v>
      </c>
      <c r="W616" s="28">
        <v>0</v>
      </c>
      <c r="X616" s="2">
        <f t="shared" si="250"/>
        <v>2344669.0099999998</v>
      </c>
      <c r="Y616" s="2">
        <v>1749642.76</v>
      </c>
      <c r="Z616" s="2">
        <v>595026.25</v>
      </c>
      <c r="AA616" s="2">
        <f t="shared" si="251"/>
        <v>0</v>
      </c>
      <c r="AB616" s="2">
        <v>0</v>
      </c>
      <c r="AC616" s="2">
        <v>0</v>
      </c>
      <c r="AD616" s="16">
        <f t="shared" si="240"/>
        <v>14639415.970000001</v>
      </c>
      <c r="AE616" s="2">
        <v>0</v>
      </c>
      <c r="AF616" s="2">
        <f t="shared" si="252"/>
        <v>14639415.970000001</v>
      </c>
      <c r="AG616" s="38" t="s">
        <v>857</v>
      </c>
      <c r="AH616" s="29" t="s">
        <v>1787</v>
      </c>
      <c r="AI616" s="30">
        <f>7066989.6+1435399.58+120715.89+409904.19+253858.38+392955.44+1293967.21</f>
        <v>10973790.289999999</v>
      </c>
      <c r="AJ616" s="130">
        <v>0</v>
      </c>
    </row>
    <row r="617" spans="1:37" s="179" customFormat="1" ht="157.5" x14ac:dyDescent="0.25">
      <c r="A617" s="6">
        <v>614</v>
      </c>
      <c r="B617" s="31">
        <v>117841</v>
      </c>
      <c r="C617" s="11">
        <v>17</v>
      </c>
      <c r="D617" s="11" t="s">
        <v>143</v>
      </c>
      <c r="E617" s="10" t="s">
        <v>107</v>
      </c>
      <c r="F617" s="11" t="s">
        <v>60</v>
      </c>
      <c r="G617" s="11" t="s">
        <v>1349</v>
      </c>
      <c r="H617" s="8" t="s">
        <v>151</v>
      </c>
      <c r="I617" s="46" t="s">
        <v>555</v>
      </c>
      <c r="J617" s="25">
        <v>42482</v>
      </c>
      <c r="K617" s="25">
        <v>43760</v>
      </c>
      <c r="L617" s="26">
        <f t="shared" si="247"/>
        <v>83.983862907570995</v>
      </c>
      <c r="M617" s="11" t="s">
        <v>136</v>
      </c>
      <c r="N617" s="11" t="s">
        <v>261</v>
      </c>
      <c r="O617" s="11" t="s">
        <v>261</v>
      </c>
      <c r="P617" s="27" t="s">
        <v>138</v>
      </c>
      <c r="Q617" s="11" t="s">
        <v>34</v>
      </c>
      <c r="R617" s="2">
        <f t="shared" si="248"/>
        <v>9778588.4399999995</v>
      </c>
      <c r="S617" s="2">
        <v>7885579.6299999999</v>
      </c>
      <c r="T617" s="2">
        <v>1893008.81</v>
      </c>
      <c r="U617" s="2">
        <f t="shared" si="253"/>
        <v>0</v>
      </c>
      <c r="V617" s="28">
        <v>0</v>
      </c>
      <c r="W617" s="28">
        <v>0</v>
      </c>
      <c r="X617" s="2">
        <f t="shared" si="250"/>
        <v>1864825.07</v>
      </c>
      <c r="Y617" s="2">
        <v>1391572.85</v>
      </c>
      <c r="Z617" s="2">
        <v>473252.22</v>
      </c>
      <c r="AA617" s="2">
        <f t="shared" si="251"/>
        <v>0</v>
      </c>
      <c r="AB617" s="2">
        <v>0</v>
      </c>
      <c r="AC617" s="2">
        <v>0</v>
      </c>
      <c r="AD617" s="16">
        <f t="shared" si="240"/>
        <v>11643413.51</v>
      </c>
      <c r="AE617" s="2">
        <v>0</v>
      </c>
      <c r="AF617" s="2">
        <f t="shared" si="252"/>
        <v>11643413.51</v>
      </c>
      <c r="AG617" s="21" t="s">
        <v>857</v>
      </c>
      <c r="AH617" s="29" t="s">
        <v>554</v>
      </c>
      <c r="AI617" s="30">
        <v>7520803.0899999999</v>
      </c>
      <c r="AJ617" s="130">
        <v>0</v>
      </c>
    </row>
    <row r="618" spans="1:37" s="179" customFormat="1" ht="141.75" x14ac:dyDescent="0.25">
      <c r="A618" s="6">
        <v>615</v>
      </c>
      <c r="B618" s="31">
        <v>119195</v>
      </c>
      <c r="C618" s="11">
        <v>18</v>
      </c>
      <c r="D618" s="11" t="s">
        <v>143</v>
      </c>
      <c r="E618" s="10" t="s">
        <v>107</v>
      </c>
      <c r="F618" s="11" t="s">
        <v>61</v>
      </c>
      <c r="G618" s="27" t="s">
        <v>1739</v>
      </c>
      <c r="H618" s="8" t="s">
        <v>151</v>
      </c>
      <c r="I618" s="46" t="s">
        <v>62</v>
      </c>
      <c r="J618" s="25">
        <v>42464</v>
      </c>
      <c r="K618" s="25">
        <v>43528</v>
      </c>
      <c r="L618" s="26">
        <f t="shared" si="247"/>
        <v>83.983863126060598</v>
      </c>
      <c r="M618" s="11" t="s">
        <v>136</v>
      </c>
      <c r="N618" s="11" t="s">
        <v>261</v>
      </c>
      <c r="O618" s="11" t="s">
        <v>261</v>
      </c>
      <c r="P618" s="27" t="s">
        <v>138</v>
      </c>
      <c r="Q618" s="11" t="s">
        <v>34</v>
      </c>
      <c r="R618" s="2">
        <f t="shared" si="248"/>
        <v>3168878.46</v>
      </c>
      <c r="S618" s="2">
        <v>2555424.39</v>
      </c>
      <c r="T618" s="2">
        <v>613454.06999999995</v>
      </c>
      <c r="U618" s="2">
        <f t="shared" si="253"/>
        <v>0</v>
      </c>
      <c r="V618" s="28">
        <v>0</v>
      </c>
      <c r="W618" s="28">
        <v>0</v>
      </c>
      <c r="X618" s="2">
        <f t="shared" si="250"/>
        <v>604320.75</v>
      </c>
      <c r="Y618" s="2">
        <v>450957.23</v>
      </c>
      <c r="Z618" s="2">
        <v>153363.51999999999</v>
      </c>
      <c r="AA618" s="2">
        <f t="shared" si="251"/>
        <v>0</v>
      </c>
      <c r="AB618" s="2">
        <v>0</v>
      </c>
      <c r="AC618" s="2">
        <v>0</v>
      </c>
      <c r="AD618" s="16">
        <f t="shared" si="240"/>
        <v>3773199.21</v>
      </c>
      <c r="AE618" s="2">
        <v>0</v>
      </c>
      <c r="AF618" s="2">
        <f t="shared" si="252"/>
        <v>3773199.21</v>
      </c>
      <c r="AG618" s="21" t="s">
        <v>857</v>
      </c>
      <c r="AH618" s="29" t="s">
        <v>1207</v>
      </c>
      <c r="AI618" s="30">
        <v>2945136.28</v>
      </c>
      <c r="AJ618" s="130">
        <v>0</v>
      </c>
    </row>
    <row r="619" spans="1:37" s="179" customFormat="1" ht="189" x14ac:dyDescent="0.25">
      <c r="A619" s="6">
        <v>616</v>
      </c>
      <c r="B619" s="31">
        <v>118157</v>
      </c>
      <c r="C619" s="11">
        <v>19</v>
      </c>
      <c r="D619" s="11" t="s">
        <v>143</v>
      </c>
      <c r="E619" s="10" t="s">
        <v>107</v>
      </c>
      <c r="F619" s="11" t="s">
        <v>63</v>
      </c>
      <c r="G619" s="11" t="s">
        <v>1397</v>
      </c>
      <c r="H619" s="8" t="s">
        <v>151</v>
      </c>
      <c r="I619" s="46" t="s">
        <v>64</v>
      </c>
      <c r="J619" s="25">
        <v>42446</v>
      </c>
      <c r="K619" s="25">
        <v>43541</v>
      </c>
      <c r="L619" s="26">
        <f t="shared" si="247"/>
        <v>83.983862865891041</v>
      </c>
      <c r="M619" s="11" t="s">
        <v>136</v>
      </c>
      <c r="N619" s="11" t="s">
        <v>261</v>
      </c>
      <c r="O619" s="11" t="s">
        <v>261</v>
      </c>
      <c r="P619" s="27" t="s">
        <v>138</v>
      </c>
      <c r="Q619" s="11" t="s">
        <v>34</v>
      </c>
      <c r="R619" s="2">
        <f t="shared" si="248"/>
        <v>3627735.48</v>
      </c>
      <c r="S619" s="2">
        <v>2925452.6</v>
      </c>
      <c r="T619" s="2">
        <v>702282.88</v>
      </c>
      <c r="U619" s="2">
        <f t="shared" si="253"/>
        <v>0</v>
      </c>
      <c r="V619" s="28">
        <v>0</v>
      </c>
      <c r="W619" s="28">
        <v>0</v>
      </c>
      <c r="X619" s="2">
        <f t="shared" si="250"/>
        <v>691827.06</v>
      </c>
      <c r="Y619" s="2">
        <v>516256.34</v>
      </c>
      <c r="Z619" s="2">
        <v>175570.72</v>
      </c>
      <c r="AA619" s="2">
        <f t="shared" si="251"/>
        <v>0</v>
      </c>
      <c r="AB619" s="2">
        <v>0</v>
      </c>
      <c r="AC619" s="2">
        <v>0</v>
      </c>
      <c r="AD619" s="16">
        <f t="shared" si="240"/>
        <v>4319562.54</v>
      </c>
      <c r="AE619" s="2">
        <v>0</v>
      </c>
      <c r="AF619" s="2">
        <f t="shared" si="252"/>
        <v>4319562.54</v>
      </c>
      <c r="AG619" s="21" t="s">
        <v>857</v>
      </c>
      <c r="AH619" s="29" t="s">
        <v>585</v>
      </c>
      <c r="AI619" s="30">
        <v>2216294.58</v>
      </c>
      <c r="AJ619" s="130">
        <v>0</v>
      </c>
    </row>
    <row r="620" spans="1:37" s="179" customFormat="1" ht="141.75" x14ac:dyDescent="0.25">
      <c r="A620" s="6">
        <v>617</v>
      </c>
      <c r="B620" s="31">
        <v>119988</v>
      </c>
      <c r="C620" s="11">
        <v>62</v>
      </c>
      <c r="D620" s="32" t="s">
        <v>1640</v>
      </c>
      <c r="E620" s="10" t="s">
        <v>129</v>
      </c>
      <c r="F620" s="11" t="s">
        <v>131</v>
      </c>
      <c r="G620" s="11" t="s">
        <v>99</v>
      </c>
      <c r="H620" s="27" t="s">
        <v>171</v>
      </c>
      <c r="I620" s="46" t="s">
        <v>132</v>
      </c>
      <c r="J620" s="25">
        <v>43060</v>
      </c>
      <c r="K620" s="25">
        <v>44276</v>
      </c>
      <c r="L620" s="26">
        <f t="shared" si="247"/>
        <v>83.983862758059558</v>
      </c>
      <c r="M620" s="11" t="s">
        <v>136</v>
      </c>
      <c r="N620" s="11" t="s">
        <v>261</v>
      </c>
      <c r="O620" s="11" t="s">
        <v>261</v>
      </c>
      <c r="P620" s="27" t="s">
        <v>138</v>
      </c>
      <c r="Q620" s="11" t="s">
        <v>34</v>
      </c>
      <c r="R620" s="2">
        <f t="shared" si="248"/>
        <v>2116755.06</v>
      </c>
      <c r="S620" s="2">
        <v>1706978.54</v>
      </c>
      <c r="T620" s="2">
        <v>409776.52</v>
      </c>
      <c r="U620" s="2">
        <f t="shared" si="253"/>
        <v>0</v>
      </c>
      <c r="V620" s="28">
        <v>0</v>
      </c>
      <c r="W620" s="28">
        <v>0</v>
      </c>
      <c r="X620" s="2">
        <f t="shared" si="250"/>
        <v>403675.64</v>
      </c>
      <c r="Y620" s="2">
        <v>301231.5</v>
      </c>
      <c r="Z620" s="2">
        <v>102444.14</v>
      </c>
      <c r="AA620" s="2">
        <f t="shared" si="251"/>
        <v>0</v>
      </c>
      <c r="AB620" s="2">
        <v>0</v>
      </c>
      <c r="AC620" s="2">
        <v>0</v>
      </c>
      <c r="AD620" s="16">
        <f t="shared" si="240"/>
        <v>2520430.7000000002</v>
      </c>
      <c r="AE620" s="2"/>
      <c r="AF620" s="2">
        <f t="shared" si="252"/>
        <v>2520430.7000000002</v>
      </c>
      <c r="AG620" s="38" t="s">
        <v>857</v>
      </c>
      <c r="AH620" s="29" t="s">
        <v>1724</v>
      </c>
      <c r="AI620" s="30">
        <f>438530.17+107239.86+867004.39+29421.22+76833.49+304177.28</f>
        <v>1823206.41</v>
      </c>
      <c r="AJ620" s="130">
        <v>0</v>
      </c>
    </row>
    <row r="621" spans="1:37" s="179" customFormat="1" ht="409.5" x14ac:dyDescent="0.25">
      <c r="A621" s="6">
        <v>618</v>
      </c>
      <c r="B621" s="31">
        <v>118158</v>
      </c>
      <c r="C621" s="11">
        <v>21</v>
      </c>
      <c r="D621" s="11" t="s">
        <v>143</v>
      </c>
      <c r="E621" s="10" t="s">
        <v>107</v>
      </c>
      <c r="F621" s="11" t="s">
        <v>67</v>
      </c>
      <c r="G621" s="11" t="s">
        <v>1397</v>
      </c>
      <c r="H621" s="11" t="s">
        <v>365</v>
      </c>
      <c r="I621" s="46" t="s">
        <v>68</v>
      </c>
      <c r="J621" s="25">
        <v>42516</v>
      </c>
      <c r="K621" s="25">
        <v>43703</v>
      </c>
      <c r="L621" s="26">
        <f t="shared" si="247"/>
        <v>83.983862895923082</v>
      </c>
      <c r="M621" s="11" t="s">
        <v>136</v>
      </c>
      <c r="N621" s="11" t="s">
        <v>261</v>
      </c>
      <c r="O621" s="11" t="s">
        <v>261</v>
      </c>
      <c r="P621" s="27" t="s">
        <v>138</v>
      </c>
      <c r="Q621" s="11" t="s">
        <v>34</v>
      </c>
      <c r="R621" s="2">
        <f t="shared" si="248"/>
        <v>11413787.699999999</v>
      </c>
      <c r="S621" s="2">
        <v>9204225.3699999992</v>
      </c>
      <c r="T621" s="2">
        <v>2209562.33</v>
      </c>
      <c r="U621" s="2">
        <f t="shared" si="253"/>
        <v>0</v>
      </c>
      <c r="V621" s="28">
        <v>0</v>
      </c>
      <c r="W621" s="28">
        <v>0</v>
      </c>
      <c r="X621" s="2">
        <f t="shared" si="250"/>
        <v>2176665.64</v>
      </c>
      <c r="Y621" s="2">
        <v>1624275.04</v>
      </c>
      <c r="Z621" s="2">
        <v>552390.6</v>
      </c>
      <c r="AA621" s="2">
        <f t="shared" si="251"/>
        <v>0</v>
      </c>
      <c r="AB621" s="2">
        <v>0</v>
      </c>
      <c r="AC621" s="2">
        <v>0</v>
      </c>
      <c r="AD621" s="16">
        <f t="shared" si="240"/>
        <v>13590453.34</v>
      </c>
      <c r="AE621" s="2">
        <v>16355.96</v>
      </c>
      <c r="AF621" s="2">
        <f t="shared" si="252"/>
        <v>13606809.300000001</v>
      </c>
      <c r="AG621" s="21" t="s">
        <v>857</v>
      </c>
      <c r="AH621" s="29" t="s">
        <v>1053</v>
      </c>
      <c r="AI621" s="30">
        <v>9335165.3400000017</v>
      </c>
      <c r="AJ621" s="130">
        <v>0</v>
      </c>
      <c r="AK621" s="43"/>
    </row>
    <row r="622" spans="1:37" s="179" customFormat="1" ht="204.75" x14ac:dyDescent="0.25">
      <c r="A622" s="6">
        <v>619</v>
      </c>
      <c r="B622" s="31">
        <v>118159</v>
      </c>
      <c r="C622" s="11">
        <v>22</v>
      </c>
      <c r="D622" s="11" t="s">
        <v>143</v>
      </c>
      <c r="E622" s="10" t="s">
        <v>107</v>
      </c>
      <c r="F622" s="11" t="s">
        <v>69</v>
      </c>
      <c r="G622" s="11" t="s">
        <v>1397</v>
      </c>
      <c r="H622" s="11" t="s">
        <v>158</v>
      </c>
      <c r="I622" s="46" t="s">
        <v>70</v>
      </c>
      <c r="J622" s="25">
        <v>42446</v>
      </c>
      <c r="K622" s="25">
        <v>43176</v>
      </c>
      <c r="L622" s="26">
        <f t="shared" si="247"/>
        <v>83.983862881462997</v>
      </c>
      <c r="M622" s="11" t="s">
        <v>136</v>
      </c>
      <c r="N622" s="11" t="s">
        <v>261</v>
      </c>
      <c r="O622" s="11" t="s">
        <v>261</v>
      </c>
      <c r="P622" s="27" t="s">
        <v>138</v>
      </c>
      <c r="Q622" s="11" t="s">
        <v>34</v>
      </c>
      <c r="R622" s="2">
        <f t="shared" si="248"/>
        <v>13490539.449999999</v>
      </c>
      <c r="S622" s="2">
        <v>10878944.699999999</v>
      </c>
      <c r="T622" s="2">
        <v>2611594.75</v>
      </c>
      <c r="U622" s="2">
        <f t="shared" si="253"/>
        <v>0</v>
      </c>
      <c r="V622" s="28">
        <v>0</v>
      </c>
      <c r="W622" s="28">
        <v>0</v>
      </c>
      <c r="X622" s="2">
        <f t="shared" si="250"/>
        <v>2572712.4500000002</v>
      </c>
      <c r="Y622" s="2">
        <v>1919813.76</v>
      </c>
      <c r="Z622" s="2">
        <v>652898.68999999994</v>
      </c>
      <c r="AA622" s="2">
        <f t="shared" si="251"/>
        <v>0</v>
      </c>
      <c r="AB622" s="2">
        <v>0</v>
      </c>
      <c r="AC622" s="2">
        <v>0</v>
      </c>
      <c r="AD622" s="16">
        <f t="shared" si="240"/>
        <v>16063251.899999999</v>
      </c>
      <c r="AE622" s="2">
        <v>0</v>
      </c>
      <c r="AF622" s="2">
        <f t="shared" si="252"/>
        <v>16063251.899999999</v>
      </c>
      <c r="AG622" s="21" t="s">
        <v>857</v>
      </c>
      <c r="AH622" s="29" t="s">
        <v>172</v>
      </c>
      <c r="AI622" s="30">
        <v>12372517.5</v>
      </c>
      <c r="AJ622" s="130">
        <v>0</v>
      </c>
    </row>
    <row r="623" spans="1:37" s="179" customFormat="1" ht="267.75" x14ac:dyDescent="0.25">
      <c r="A623" s="6">
        <v>620</v>
      </c>
      <c r="B623" s="31">
        <v>118427</v>
      </c>
      <c r="C623" s="11">
        <v>23</v>
      </c>
      <c r="D623" s="11" t="s">
        <v>143</v>
      </c>
      <c r="E623" s="10" t="s">
        <v>107</v>
      </c>
      <c r="F623" s="11" t="s">
        <v>72</v>
      </c>
      <c r="G623" s="11" t="s">
        <v>71</v>
      </c>
      <c r="H623" s="8" t="s">
        <v>151</v>
      </c>
      <c r="I623" s="46" t="s">
        <v>73</v>
      </c>
      <c r="J623" s="25">
        <v>42459</v>
      </c>
      <c r="K623" s="25">
        <v>43524</v>
      </c>
      <c r="L623" s="26">
        <f t="shared" si="247"/>
        <v>83.983862468884851</v>
      </c>
      <c r="M623" s="11" t="s">
        <v>136</v>
      </c>
      <c r="N623" s="11" t="s">
        <v>261</v>
      </c>
      <c r="O623" s="11" t="s">
        <v>261</v>
      </c>
      <c r="P623" s="27" t="s">
        <v>138</v>
      </c>
      <c r="Q623" s="11" t="s">
        <v>34</v>
      </c>
      <c r="R623" s="2">
        <f t="shared" si="248"/>
        <v>6252507.0099999998</v>
      </c>
      <c r="S623" s="2">
        <v>5042102.18</v>
      </c>
      <c r="T623" s="2">
        <v>1210404.83</v>
      </c>
      <c r="U623" s="2">
        <f t="shared" si="253"/>
        <v>0</v>
      </c>
      <c r="V623" s="28">
        <v>0</v>
      </c>
      <c r="W623" s="28">
        <v>0</v>
      </c>
      <c r="X623" s="2">
        <f t="shared" si="250"/>
        <v>1192383.98</v>
      </c>
      <c r="Y623" s="2">
        <v>889782.73</v>
      </c>
      <c r="Z623" s="2">
        <v>302601.25</v>
      </c>
      <c r="AA623" s="2">
        <f t="shared" si="251"/>
        <v>0</v>
      </c>
      <c r="AB623" s="2">
        <v>0</v>
      </c>
      <c r="AC623" s="2">
        <v>0</v>
      </c>
      <c r="AD623" s="16">
        <f t="shared" si="240"/>
        <v>7444890.9900000002</v>
      </c>
      <c r="AE623" s="2">
        <v>0</v>
      </c>
      <c r="AF623" s="2">
        <f t="shared" si="252"/>
        <v>7444890.9900000002</v>
      </c>
      <c r="AG623" s="21" t="s">
        <v>857</v>
      </c>
      <c r="AH623" s="136" t="s">
        <v>967</v>
      </c>
      <c r="AI623" s="30">
        <f>6243692.52+7195.7</f>
        <v>6250888.2199999997</v>
      </c>
      <c r="AJ623" s="130">
        <v>0</v>
      </c>
    </row>
    <row r="624" spans="1:37" s="179" customFormat="1" ht="141.75" x14ac:dyDescent="0.25">
      <c r="A624" s="6">
        <v>621</v>
      </c>
      <c r="B624" s="31">
        <v>118584</v>
      </c>
      <c r="C624" s="11">
        <v>24</v>
      </c>
      <c r="D624" s="11" t="s">
        <v>143</v>
      </c>
      <c r="E624" s="10" t="s">
        <v>107</v>
      </c>
      <c r="F624" s="11" t="s">
        <v>75</v>
      </c>
      <c r="G624" s="11" t="s">
        <v>74</v>
      </c>
      <c r="H624" s="8" t="s">
        <v>151</v>
      </c>
      <c r="I624" s="46" t="s">
        <v>76</v>
      </c>
      <c r="J624" s="25">
        <v>42454</v>
      </c>
      <c r="K624" s="25">
        <v>43610</v>
      </c>
      <c r="L624" s="26">
        <f t="shared" si="247"/>
        <v>83.983862869823341</v>
      </c>
      <c r="M624" s="11" t="s">
        <v>136</v>
      </c>
      <c r="N624" s="11" t="s">
        <v>261</v>
      </c>
      <c r="O624" s="11" t="s">
        <v>261</v>
      </c>
      <c r="P624" s="27" t="s">
        <v>138</v>
      </c>
      <c r="Q624" s="11" t="s">
        <v>34</v>
      </c>
      <c r="R624" s="2">
        <f t="shared" si="248"/>
        <v>2984368.02</v>
      </c>
      <c r="S624" s="2">
        <v>2406632.79</v>
      </c>
      <c r="T624" s="2">
        <v>577735.23</v>
      </c>
      <c r="U624" s="2">
        <f t="shared" si="253"/>
        <v>0</v>
      </c>
      <c r="V624" s="28">
        <v>0</v>
      </c>
      <c r="W624" s="28">
        <v>0</v>
      </c>
      <c r="X624" s="2">
        <f t="shared" si="250"/>
        <v>569133.71</v>
      </c>
      <c r="Y624" s="2">
        <v>424699.9</v>
      </c>
      <c r="Z624" s="2">
        <v>144433.81</v>
      </c>
      <c r="AA624" s="2">
        <f t="shared" si="251"/>
        <v>0</v>
      </c>
      <c r="AB624" s="2">
        <v>0</v>
      </c>
      <c r="AC624" s="2">
        <v>0</v>
      </c>
      <c r="AD624" s="16">
        <f t="shared" si="240"/>
        <v>3553501.73</v>
      </c>
      <c r="AE624" s="2"/>
      <c r="AF624" s="2">
        <f t="shared" si="252"/>
        <v>3553501.73</v>
      </c>
      <c r="AG624" s="21" t="s">
        <v>857</v>
      </c>
      <c r="AH624" s="29" t="s">
        <v>968</v>
      </c>
      <c r="AI624" s="30">
        <v>2743197.24</v>
      </c>
      <c r="AJ624" s="130">
        <v>0</v>
      </c>
    </row>
    <row r="625" spans="1:109" s="179" customFormat="1" ht="141.75" x14ac:dyDescent="0.25">
      <c r="A625" s="6">
        <v>622</v>
      </c>
      <c r="B625" s="31">
        <v>117835</v>
      </c>
      <c r="C625" s="11">
        <v>25</v>
      </c>
      <c r="D625" s="11" t="s">
        <v>143</v>
      </c>
      <c r="E625" s="10" t="s">
        <v>107</v>
      </c>
      <c r="F625" s="11" t="s">
        <v>77</v>
      </c>
      <c r="G625" s="11" t="s">
        <v>71</v>
      </c>
      <c r="H625" s="11" t="s">
        <v>169</v>
      </c>
      <c r="I625" s="46" t="s">
        <v>78</v>
      </c>
      <c r="J625" s="25">
        <v>42459</v>
      </c>
      <c r="K625" s="25">
        <v>43464</v>
      </c>
      <c r="L625" s="26">
        <f t="shared" si="247"/>
        <v>83.983862877433253</v>
      </c>
      <c r="M625" s="11" t="s">
        <v>136</v>
      </c>
      <c r="N625" s="11" t="s">
        <v>261</v>
      </c>
      <c r="O625" s="11" t="s">
        <v>261</v>
      </c>
      <c r="P625" s="27" t="s">
        <v>138</v>
      </c>
      <c r="Q625" s="11" t="s">
        <v>34</v>
      </c>
      <c r="R625" s="2">
        <f t="shared" si="248"/>
        <v>11174376.890000001</v>
      </c>
      <c r="S625" s="2">
        <v>9011161.3900000006</v>
      </c>
      <c r="T625" s="2">
        <v>2163215.5</v>
      </c>
      <c r="U625" s="2">
        <f t="shared" si="253"/>
        <v>0</v>
      </c>
      <c r="V625" s="28">
        <v>0</v>
      </c>
      <c r="W625" s="28">
        <v>0</v>
      </c>
      <c r="X625" s="2">
        <f t="shared" si="250"/>
        <v>2131008.8199999998</v>
      </c>
      <c r="Y625" s="2">
        <v>1590204.95</v>
      </c>
      <c r="Z625" s="2">
        <v>540803.87</v>
      </c>
      <c r="AA625" s="2">
        <f t="shared" si="251"/>
        <v>0</v>
      </c>
      <c r="AB625" s="2">
        <v>0</v>
      </c>
      <c r="AC625" s="2">
        <v>0</v>
      </c>
      <c r="AD625" s="16">
        <f t="shared" si="240"/>
        <v>13305385.710000001</v>
      </c>
      <c r="AE625" s="2">
        <v>0</v>
      </c>
      <c r="AF625" s="2">
        <f t="shared" si="252"/>
        <v>13305385.710000001</v>
      </c>
      <c r="AG625" s="21" t="s">
        <v>857</v>
      </c>
      <c r="AH625" s="136" t="s">
        <v>851</v>
      </c>
      <c r="AI625" s="30">
        <v>11126144.500000002</v>
      </c>
      <c r="AJ625" s="130">
        <v>0</v>
      </c>
    </row>
    <row r="626" spans="1:109" s="179" customFormat="1" ht="189" x14ac:dyDescent="0.25">
      <c r="A626" s="6">
        <v>623</v>
      </c>
      <c r="B626" s="31">
        <v>118419</v>
      </c>
      <c r="C626" s="11">
        <v>26</v>
      </c>
      <c r="D626" s="11" t="s">
        <v>143</v>
      </c>
      <c r="E626" s="10" t="s">
        <v>107</v>
      </c>
      <c r="F626" s="11" t="s">
        <v>79</v>
      </c>
      <c r="G626" s="11" t="s">
        <v>71</v>
      </c>
      <c r="H626" s="8" t="s">
        <v>151</v>
      </c>
      <c r="I626" s="46" t="s">
        <v>80</v>
      </c>
      <c r="J626" s="25">
        <v>42458</v>
      </c>
      <c r="K626" s="25">
        <v>43553</v>
      </c>
      <c r="L626" s="26">
        <f t="shared" si="247"/>
        <v>83.983862783018438</v>
      </c>
      <c r="M626" s="11" t="s">
        <v>136</v>
      </c>
      <c r="N626" s="11" t="s">
        <v>261</v>
      </c>
      <c r="O626" s="11" t="s">
        <v>261</v>
      </c>
      <c r="P626" s="27" t="s">
        <v>138</v>
      </c>
      <c r="Q626" s="11" t="s">
        <v>34</v>
      </c>
      <c r="R626" s="2">
        <f t="shared" si="248"/>
        <v>3637178.37</v>
      </c>
      <c r="S626" s="2">
        <v>2933067.47</v>
      </c>
      <c r="T626" s="2">
        <v>704110.9</v>
      </c>
      <c r="U626" s="2">
        <f t="shared" si="253"/>
        <v>0</v>
      </c>
      <c r="V626" s="28">
        <v>0</v>
      </c>
      <c r="W626" s="28">
        <v>0</v>
      </c>
      <c r="X626" s="2">
        <f t="shared" si="250"/>
        <v>693627.87</v>
      </c>
      <c r="Y626" s="2">
        <v>517600.14</v>
      </c>
      <c r="Z626" s="2">
        <v>176027.73</v>
      </c>
      <c r="AA626" s="2">
        <f t="shared" si="251"/>
        <v>0</v>
      </c>
      <c r="AB626" s="2">
        <v>0</v>
      </c>
      <c r="AC626" s="2">
        <v>0</v>
      </c>
      <c r="AD626" s="16">
        <f t="shared" si="240"/>
        <v>4330806.24</v>
      </c>
      <c r="AE626" s="2">
        <v>0</v>
      </c>
      <c r="AF626" s="2">
        <f t="shared" si="252"/>
        <v>4330806.24</v>
      </c>
      <c r="AG626" s="21" t="s">
        <v>857</v>
      </c>
      <c r="AH626" s="29" t="s">
        <v>152</v>
      </c>
      <c r="AI626" s="30">
        <v>3290066.13</v>
      </c>
      <c r="AJ626" s="130">
        <v>0</v>
      </c>
    </row>
    <row r="627" spans="1:109" s="179" customFormat="1" ht="220.5" x14ac:dyDescent="0.25">
      <c r="A627" s="6">
        <v>624</v>
      </c>
      <c r="B627" s="31">
        <v>118319</v>
      </c>
      <c r="C627" s="11">
        <v>27</v>
      </c>
      <c r="D627" s="11" t="s">
        <v>143</v>
      </c>
      <c r="E627" s="10" t="s">
        <v>107</v>
      </c>
      <c r="F627" s="11" t="s">
        <v>1200</v>
      </c>
      <c r="G627" s="11" t="s">
        <v>1349</v>
      </c>
      <c r="H627" s="11" t="s">
        <v>163</v>
      </c>
      <c r="I627" s="46" t="s">
        <v>2945</v>
      </c>
      <c r="J627" s="25">
        <v>42585</v>
      </c>
      <c r="K627" s="25">
        <v>43680</v>
      </c>
      <c r="L627" s="26">
        <f t="shared" si="247"/>
        <v>83.983862824473448</v>
      </c>
      <c r="M627" s="11" t="s">
        <v>136</v>
      </c>
      <c r="N627" s="11" t="s">
        <v>261</v>
      </c>
      <c r="O627" s="11" t="s">
        <v>261</v>
      </c>
      <c r="P627" s="27" t="s">
        <v>138</v>
      </c>
      <c r="Q627" s="11" t="s">
        <v>34</v>
      </c>
      <c r="R627" s="2">
        <f t="shared" si="248"/>
        <v>17052953.060000002</v>
      </c>
      <c r="S627" s="2">
        <v>13751720.9</v>
      </c>
      <c r="T627" s="2">
        <v>3301232.16</v>
      </c>
      <c r="U627" s="2">
        <f t="shared" si="253"/>
        <v>0</v>
      </c>
      <c r="V627" s="28">
        <v>0</v>
      </c>
      <c r="W627" s="28">
        <v>0</v>
      </c>
      <c r="X627" s="2">
        <f t="shared" si="250"/>
        <v>3252082.32</v>
      </c>
      <c r="Y627" s="2">
        <v>2426774.2799999998</v>
      </c>
      <c r="Z627" s="2">
        <v>825308.04</v>
      </c>
      <c r="AA627" s="2">
        <f t="shared" si="251"/>
        <v>0</v>
      </c>
      <c r="AB627" s="2">
        <v>0</v>
      </c>
      <c r="AC627" s="2">
        <v>0</v>
      </c>
      <c r="AD627" s="16">
        <f t="shared" si="240"/>
        <v>20305035.380000003</v>
      </c>
      <c r="AE627" s="2">
        <v>0</v>
      </c>
      <c r="AF627" s="2">
        <f t="shared" si="252"/>
        <v>20305035.380000003</v>
      </c>
      <c r="AG627" s="21" t="s">
        <v>857</v>
      </c>
      <c r="AH627" s="29" t="s">
        <v>383</v>
      </c>
      <c r="AI627" s="30">
        <v>15213087.200000001</v>
      </c>
      <c r="AJ627" s="130">
        <v>0</v>
      </c>
    </row>
    <row r="628" spans="1:109" s="179" customFormat="1" ht="220.5" x14ac:dyDescent="0.25">
      <c r="A628" s="6">
        <v>625</v>
      </c>
      <c r="B628" s="31">
        <v>117834</v>
      </c>
      <c r="C628" s="11">
        <v>28</v>
      </c>
      <c r="D628" s="11" t="s">
        <v>143</v>
      </c>
      <c r="E628" s="10" t="s">
        <v>107</v>
      </c>
      <c r="F628" s="11" t="s">
        <v>81</v>
      </c>
      <c r="G628" s="11" t="s">
        <v>71</v>
      </c>
      <c r="H628" s="11" t="s">
        <v>165</v>
      </c>
      <c r="I628" s="46" t="s">
        <v>82</v>
      </c>
      <c r="J628" s="25">
        <v>42515</v>
      </c>
      <c r="K628" s="25">
        <v>44129</v>
      </c>
      <c r="L628" s="26">
        <f t="shared" si="247"/>
        <v>83.983862816553938</v>
      </c>
      <c r="M628" s="11" t="s">
        <v>136</v>
      </c>
      <c r="N628" s="11" t="s">
        <v>261</v>
      </c>
      <c r="O628" s="11" t="s">
        <v>261</v>
      </c>
      <c r="P628" s="27" t="s">
        <v>138</v>
      </c>
      <c r="Q628" s="11" t="s">
        <v>34</v>
      </c>
      <c r="R628" s="2">
        <f t="shared" si="248"/>
        <v>36908560.93</v>
      </c>
      <c r="S628" s="2">
        <v>29763538.75</v>
      </c>
      <c r="T628" s="2">
        <v>7145022.1799999997</v>
      </c>
      <c r="U628" s="2">
        <f t="shared" si="253"/>
        <v>0</v>
      </c>
      <c r="V628" s="28">
        <v>0</v>
      </c>
      <c r="W628" s="28">
        <v>0</v>
      </c>
      <c r="X628" s="2">
        <f t="shared" si="250"/>
        <v>7038644.75</v>
      </c>
      <c r="Y628" s="2">
        <v>5252389.17</v>
      </c>
      <c r="Z628" s="2">
        <v>1786255.58</v>
      </c>
      <c r="AA628" s="2">
        <f t="shared" si="251"/>
        <v>0</v>
      </c>
      <c r="AB628" s="2">
        <v>0</v>
      </c>
      <c r="AC628" s="2">
        <v>0</v>
      </c>
      <c r="AD628" s="16">
        <f t="shared" si="240"/>
        <v>43947205.68</v>
      </c>
      <c r="AE628" s="2">
        <v>0</v>
      </c>
      <c r="AF628" s="2">
        <f t="shared" si="252"/>
        <v>43947205.68</v>
      </c>
      <c r="AG628" s="38" t="s">
        <v>857</v>
      </c>
      <c r="AH628" s="29" t="s">
        <v>1622</v>
      </c>
      <c r="AI628" s="30">
        <f>23206973.77+90624.06+102769.12+61292.35+13166305.98</f>
        <v>36627965.280000001</v>
      </c>
      <c r="AJ628" s="130">
        <v>0</v>
      </c>
    </row>
    <row r="629" spans="1:109" s="179" customFormat="1" ht="236.25" x14ac:dyDescent="0.25">
      <c r="A629" s="6">
        <v>626</v>
      </c>
      <c r="B629" s="31">
        <v>119993</v>
      </c>
      <c r="C629" s="11">
        <v>29</v>
      </c>
      <c r="D629" s="11" t="s">
        <v>143</v>
      </c>
      <c r="E629" s="10" t="s">
        <v>107</v>
      </c>
      <c r="F629" s="11" t="s">
        <v>84</v>
      </c>
      <c r="G629" s="11" t="s">
        <v>83</v>
      </c>
      <c r="H629" s="11" t="s">
        <v>170</v>
      </c>
      <c r="I629" s="46" t="s">
        <v>85</v>
      </c>
      <c r="J629" s="25">
        <v>42569</v>
      </c>
      <c r="K629" s="25">
        <v>44030</v>
      </c>
      <c r="L629" s="26">
        <f t="shared" si="247"/>
        <v>83.98386282616714</v>
      </c>
      <c r="M629" s="11" t="s">
        <v>136</v>
      </c>
      <c r="N629" s="11" t="s">
        <v>261</v>
      </c>
      <c r="O629" s="11" t="s">
        <v>261</v>
      </c>
      <c r="P629" s="27" t="s">
        <v>138</v>
      </c>
      <c r="Q629" s="11" t="s">
        <v>34</v>
      </c>
      <c r="R629" s="2">
        <f t="shared" si="248"/>
        <v>35912411.909999996</v>
      </c>
      <c r="S629" s="2">
        <v>28960231.329999998</v>
      </c>
      <c r="T629" s="2">
        <v>6952180.5800000001</v>
      </c>
      <c r="U629" s="2">
        <f t="shared" si="253"/>
        <v>0</v>
      </c>
      <c r="V629" s="28">
        <v>0</v>
      </c>
      <c r="W629" s="28">
        <v>0</v>
      </c>
      <c r="X629" s="2">
        <f t="shared" si="250"/>
        <v>6848674.209999999</v>
      </c>
      <c r="Y629" s="2">
        <v>5110629.0599999996</v>
      </c>
      <c r="Z629" s="2">
        <v>1738045.15</v>
      </c>
      <c r="AA629" s="2">
        <f t="shared" si="251"/>
        <v>0</v>
      </c>
      <c r="AB629" s="2">
        <v>0</v>
      </c>
      <c r="AC629" s="2">
        <v>0</v>
      </c>
      <c r="AD629" s="16">
        <f t="shared" si="240"/>
        <v>42761086.119999997</v>
      </c>
      <c r="AE629" s="2">
        <v>0</v>
      </c>
      <c r="AF629" s="2">
        <f t="shared" si="252"/>
        <v>42761086.119999997</v>
      </c>
      <c r="AG629" s="38" t="s">
        <v>857</v>
      </c>
      <c r="AH629" s="136" t="s">
        <v>155</v>
      </c>
      <c r="AI629" s="30">
        <v>28176.63</v>
      </c>
      <c r="AJ629" s="130">
        <v>0</v>
      </c>
    </row>
    <row r="630" spans="1:109" s="179" customFormat="1" ht="409.5" x14ac:dyDescent="0.25">
      <c r="A630" s="6">
        <v>627</v>
      </c>
      <c r="B630" s="31">
        <v>118292</v>
      </c>
      <c r="C630" s="11">
        <v>30</v>
      </c>
      <c r="D630" s="11" t="s">
        <v>143</v>
      </c>
      <c r="E630" s="10" t="s">
        <v>107</v>
      </c>
      <c r="F630" s="11" t="s">
        <v>86</v>
      </c>
      <c r="G630" s="11" t="s">
        <v>1628</v>
      </c>
      <c r="H630" s="11" t="s">
        <v>160</v>
      </c>
      <c r="I630" s="46" t="s">
        <v>87</v>
      </c>
      <c r="J630" s="25">
        <v>42446</v>
      </c>
      <c r="K630" s="25">
        <v>43237</v>
      </c>
      <c r="L630" s="26">
        <f t="shared" si="247"/>
        <v>83.983862811384185</v>
      </c>
      <c r="M630" s="11" t="s">
        <v>136</v>
      </c>
      <c r="N630" s="11" t="s">
        <v>261</v>
      </c>
      <c r="O630" s="11" t="s">
        <v>261</v>
      </c>
      <c r="P630" s="27" t="s">
        <v>138</v>
      </c>
      <c r="Q630" s="11" t="s">
        <v>34</v>
      </c>
      <c r="R630" s="2">
        <f t="shared" si="248"/>
        <v>23983572.759999998</v>
      </c>
      <c r="S630" s="2">
        <v>19340661.859999999</v>
      </c>
      <c r="T630" s="2">
        <v>4642910.9000000004</v>
      </c>
      <c r="U630" s="2">
        <f t="shared" si="253"/>
        <v>0</v>
      </c>
      <c r="V630" s="28">
        <v>0</v>
      </c>
      <c r="W630" s="28">
        <v>0</v>
      </c>
      <c r="X630" s="2">
        <f t="shared" si="250"/>
        <v>4573785.71</v>
      </c>
      <c r="Y630" s="2">
        <v>3413057.98</v>
      </c>
      <c r="Z630" s="2">
        <v>1160727.73</v>
      </c>
      <c r="AA630" s="2">
        <f t="shared" si="251"/>
        <v>0</v>
      </c>
      <c r="AB630" s="2">
        <v>0</v>
      </c>
      <c r="AC630" s="2">
        <v>0</v>
      </c>
      <c r="AD630" s="16">
        <f t="shared" si="240"/>
        <v>28557358.469999999</v>
      </c>
      <c r="AE630" s="2">
        <v>54654.13</v>
      </c>
      <c r="AF630" s="2">
        <f t="shared" si="252"/>
        <v>28612012.599999998</v>
      </c>
      <c r="AG630" s="21" t="s">
        <v>857</v>
      </c>
      <c r="AH630" s="29" t="s">
        <v>389</v>
      </c>
      <c r="AI630" s="30">
        <v>20408812.109999996</v>
      </c>
      <c r="AJ630" s="130">
        <v>0</v>
      </c>
    </row>
    <row r="631" spans="1:109" s="179" customFormat="1" ht="141.75" x14ac:dyDescent="0.25">
      <c r="A631" s="6">
        <v>628</v>
      </c>
      <c r="B631" s="31">
        <v>120208</v>
      </c>
      <c r="C631" s="11">
        <v>47</v>
      </c>
      <c r="D631" s="11" t="s">
        <v>143</v>
      </c>
      <c r="E631" s="10" t="s">
        <v>110</v>
      </c>
      <c r="F631" s="11" t="s">
        <v>556</v>
      </c>
      <c r="G631" s="27" t="s">
        <v>1719</v>
      </c>
      <c r="H631" s="8" t="s">
        <v>151</v>
      </c>
      <c r="I631" s="46" t="s">
        <v>558</v>
      </c>
      <c r="J631" s="25">
        <v>42914</v>
      </c>
      <c r="K631" s="25">
        <v>44528</v>
      </c>
      <c r="L631" s="26">
        <f t="shared" si="247"/>
        <v>83.983862845530723</v>
      </c>
      <c r="M631" s="11" t="s">
        <v>136</v>
      </c>
      <c r="N631" s="11" t="s">
        <v>261</v>
      </c>
      <c r="O631" s="11" t="s">
        <v>261</v>
      </c>
      <c r="P631" s="27" t="s">
        <v>138</v>
      </c>
      <c r="Q631" s="11" t="s">
        <v>34</v>
      </c>
      <c r="R631" s="2">
        <f t="shared" si="248"/>
        <v>6033904.6100000003</v>
      </c>
      <c r="S631" s="2">
        <v>4865818.3600000003</v>
      </c>
      <c r="T631" s="2">
        <v>1168086.25</v>
      </c>
      <c r="U631" s="2">
        <f t="shared" si="253"/>
        <v>0</v>
      </c>
      <c r="V631" s="28">
        <v>0</v>
      </c>
      <c r="W631" s="28">
        <v>0</v>
      </c>
      <c r="X631" s="2">
        <f t="shared" si="250"/>
        <v>1150695.3899999999</v>
      </c>
      <c r="Y631" s="2">
        <v>858673.83</v>
      </c>
      <c r="Z631" s="2">
        <v>292021.56</v>
      </c>
      <c r="AA631" s="2">
        <f t="shared" si="251"/>
        <v>0</v>
      </c>
      <c r="AB631" s="2">
        <v>0</v>
      </c>
      <c r="AC631" s="2">
        <v>0</v>
      </c>
      <c r="AD631" s="16">
        <f t="shared" si="240"/>
        <v>7184600</v>
      </c>
      <c r="AE631" s="2">
        <v>0</v>
      </c>
      <c r="AF631" s="2">
        <f t="shared" si="252"/>
        <v>7184600</v>
      </c>
      <c r="AG631" s="38" t="s">
        <v>857</v>
      </c>
      <c r="AH631" s="29" t="s">
        <v>1765</v>
      </c>
      <c r="AI631" s="30">
        <f>2526629.1+206280.33+105340.32</f>
        <v>2838249.75</v>
      </c>
      <c r="AJ631" s="130">
        <v>0</v>
      </c>
    </row>
    <row r="632" spans="1:109" s="179" customFormat="1" ht="189" x14ac:dyDescent="0.25">
      <c r="A632" s="6">
        <v>629</v>
      </c>
      <c r="B632" s="31">
        <v>119991</v>
      </c>
      <c r="C632" s="11">
        <v>48</v>
      </c>
      <c r="D632" s="11" t="s">
        <v>143</v>
      </c>
      <c r="E632" s="10" t="s">
        <v>110</v>
      </c>
      <c r="F632" s="11" t="s">
        <v>111</v>
      </c>
      <c r="G632" s="11" t="s">
        <v>83</v>
      </c>
      <c r="H632" s="8" t="s">
        <v>151</v>
      </c>
      <c r="I632" s="46" t="s">
        <v>112</v>
      </c>
      <c r="J632" s="25">
        <v>43004</v>
      </c>
      <c r="K632" s="25">
        <v>43916</v>
      </c>
      <c r="L632" s="26">
        <f t="shared" si="247"/>
        <v>83.9838628091575</v>
      </c>
      <c r="M632" s="11" t="s">
        <v>136</v>
      </c>
      <c r="N632" s="11" t="s">
        <v>261</v>
      </c>
      <c r="O632" s="11" t="s">
        <v>261</v>
      </c>
      <c r="P632" s="27" t="s">
        <v>138</v>
      </c>
      <c r="Q632" s="11" t="s">
        <v>34</v>
      </c>
      <c r="R632" s="2">
        <f t="shared" si="248"/>
        <v>12597407.540000001</v>
      </c>
      <c r="S632" s="2">
        <v>10158711.630000001</v>
      </c>
      <c r="T632" s="2">
        <v>2438695.91</v>
      </c>
      <c r="U632" s="2">
        <f t="shared" si="253"/>
        <v>0</v>
      </c>
      <c r="V632" s="28">
        <v>0</v>
      </c>
      <c r="W632" s="28">
        <v>0</v>
      </c>
      <c r="X632" s="2">
        <f t="shared" si="250"/>
        <v>2402387.7999999998</v>
      </c>
      <c r="Y632" s="2">
        <v>1792713.82</v>
      </c>
      <c r="Z632" s="2">
        <v>609673.98</v>
      </c>
      <c r="AA632" s="2">
        <f t="shared" si="251"/>
        <v>0</v>
      </c>
      <c r="AB632" s="2">
        <v>0</v>
      </c>
      <c r="AC632" s="2">
        <v>0</v>
      </c>
      <c r="AD632" s="16">
        <f t="shared" si="240"/>
        <v>14999795.34</v>
      </c>
      <c r="AE632" s="2">
        <v>2999990</v>
      </c>
      <c r="AF632" s="2">
        <f t="shared" si="252"/>
        <v>17999785.34</v>
      </c>
      <c r="AG632" s="38" t="s">
        <v>857</v>
      </c>
      <c r="AH632" s="22" t="s">
        <v>151</v>
      </c>
      <c r="AI632" s="30">
        <v>0</v>
      </c>
      <c r="AJ632" s="137">
        <v>0</v>
      </c>
    </row>
    <row r="633" spans="1:109" s="188" customFormat="1" ht="252" x14ac:dyDescent="0.25">
      <c r="A633" s="6">
        <v>630</v>
      </c>
      <c r="B633" s="31">
        <v>119992</v>
      </c>
      <c r="C633" s="11">
        <v>49</v>
      </c>
      <c r="D633" s="11" t="s">
        <v>143</v>
      </c>
      <c r="E633" s="10" t="s">
        <v>110</v>
      </c>
      <c r="F633" s="11" t="s">
        <v>113</v>
      </c>
      <c r="G633" s="11" t="s">
        <v>83</v>
      </c>
      <c r="H633" s="8" t="s">
        <v>151</v>
      </c>
      <c r="I633" s="46" t="s">
        <v>114</v>
      </c>
      <c r="J633" s="25">
        <v>43004</v>
      </c>
      <c r="K633" s="25">
        <v>43916</v>
      </c>
      <c r="L633" s="26">
        <f t="shared" si="247"/>
        <v>83.98386278575461</v>
      </c>
      <c r="M633" s="11" t="s">
        <v>136</v>
      </c>
      <c r="N633" s="11" t="s">
        <v>261</v>
      </c>
      <c r="O633" s="11" t="s">
        <v>261</v>
      </c>
      <c r="P633" s="27" t="s">
        <v>138</v>
      </c>
      <c r="Q633" s="11" t="s">
        <v>34</v>
      </c>
      <c r="R633" s="2">
        <f t="shared" si="248"/>
        <v>11755282.280000001</v>
      </c>
      <c r="S633" s="2">
        <v>9479610.9800000004</v>
      </c>
      <c r="T633" s="2">
        <v>2275671.2999999998</v>
      </c>
      <c r="U633" s="2">
        <f t="shared" si="253"/>
        <v>0</v>
      </c>
      <c r="V633" s="28">
        <v>0</v>
      </c>
      <c r="W633" s="28">
        <v>0</v>
      </c>
      <c r="X633" s="2">
        <f t="shared" si="250"/>
        <v>2241790.36</v>
      </c>
      <c r="Y633" s="2">
        <v>1672872.53</v>
      </c>
      <c r="Z633" s="2">
        <v>568917.82999999996</v>
      </c>
      <c r="AA633" s="2">
        <f t="shared" si="251"/>
        <v>0</v>
      </c>
      <c r="AB633" s="2">
        <v>0</v>
      </c>
      <c r="AC633" s="2">
        <v>0</v>
      </c>
      <c r="AD633" s="16">
        <f t="shared" si="240"/>
        <v>13997072.640000001</v>
      </c>
      <c r="AE633" s="2">
        <v>0</v>
      </c>
      <c r="AF633" s="2">
        <f t="shared" si="252"/>
        <v>13997072.640000001</v>
      </c>
      <c r="AG633" s="38" t="s">
        <v>857</v>
      </c>
      <c r="AH633" s="22" t="s">
        <v>151</v>
      </c>
      <c r="AI633" s="30">
        <v>0</v>
      </c>
      <c r="AJ633" s="137">
        <v>0</v>
      </c>
    </row>
    <row r="634" spans="1:109" s="188" customFormat="1" ht="173.25" x14ac:dyDescent="0.25">
      <c r="A634" s="6">
        <v>631</v>
      </c>
      <c r="B634" s="31">
        <v>119731</v>
      </c>
      <c r="C634" s="11">
        <v>51</v>
      </c>
      <c r="D634" s="11" t="s">
        <v>143</v>
      </c>
      <c r="E634" s="10" t="s">
        <v>110</v>
      </c>
      <c r="F634" s="11" t="s">
        <v>115</v>
      </c>
      <c r="G634" s="11" t="s">
        <v>55</v>
      </c>
      <c r="H634" s="8" t="s">
        <v>151</v>
      </c>
      <c r="I634" s="46" t="s">
        <v>116</v>
      </c>
      <c r="J634" s="25">
        <v>42956</v>
      </c>
      <c r="K634" s="25">
        <v>45147</v>
      </c>
      <c r="L634" s="26">
        <f t="shared" si="247"/>
        <v>83.983862780427785</v>
      </c>
      <c r="M634" s="11" t="s">
        <v>136</v>
      </c>
      <c r="N634" s="11" t="s">
        <v>261</v>
      </c>
      <c r="O634" s="11" t="s">
        <v>261</v>
      </c>
      <c r="P634" s="27" t="s">
        <v>138</v>
      </c>
      <c r="Q634" s="11" t="s">
        <v>34</v>
      </c>
      <c r="R634" s="2">
        <f t="shared" si="248"/>
        <v>10449475.91</v>
      </c>
      <c r="S634" s="2">
        <v>8426591.9100000001</v>
      </c>
      <c r="T634" s="2">
        <v>2022884</v>
      </c>
      <c r="U634" s="2">
        <f t="shared" si="253"/>
        <v>0</v>
      </c>
      <c r="V634" s="28">
        <v>0</v>
      </c>
      <c r="W634" s="28">
        <v>0</v>
      </c>
      <c r="X634" s="2">
        <f t="shared" si="250"/>
        <v>1992766.64</v>
      </c>
      <c r="Y634" s="2">
        <v>1487045.64</v>
      </c>
      <c r="Z634" s="2">
        <v>505721</v>
      </c>
      <c r="AA634" s="2">
        <f t="shared" si="251"/>
        <v>0</v>
      </c>
      <c r="AB634" s="2">
        <v>0</v>
      </c>
      <c r="AC634" s="2">
        <v>0</v>
      </c>
      <c r="AD634" s="16">
        <f t="shared" si="240"/>
        <v>12442242.550000001</v>
      </c>
      <c r="AE634" s="2">
        <v>0</v>
      </c>
      <c r="AF634" s="2">
        <f t="shared" si="252"/>
        <v>12442242.550000001</v>
      </c>
      <c r="AG634" s="38" t="s">
        <v>486</v>
      </c>
      <c r="AH634" s="29" t="s">
        <v>2557</v>
      </c>
      <c r="AI634" s="30">
        <f>751571.65+520506.47+372497.42+168509.52+160669.36+74116.93+114447.13+65215.99</f>
        <v>2227534.4700000002</v>
      </c>
      <c r="AJ634" s="137">
        <v>0</v>
      </c>
    </row>
    <row r="635" spans="1:109" s="188" customFormat="1" ht="220.5" x14ac:dyDescent="0.25">
      <c r="A635" s="6">
        <v>632</v>
      </c>
      <c r="B635" s="31">
        <v>119741</v>
      </c>
      <c r="C635" s="11">
        <v>63</v>
      </c>
      <c r="D635" s="32" t="s">
        <v>1640</v>
      </c>
      <c r="E635" s="10" t="s">
        <v>129</v>
      </c>
      <c r="F635" s="11" t="s">
        <v>134</v>
      </c>
      <c r="G635" s="11" t="s">
        <v>133</v>
      </c>
      <c r="H635" s="8" t="s">
        <v>151</v>
      </c>
      <c r="I635" s="46" t="s">
        <v>135</v>
      </c>
      <c r="J635" s="25">
        <v>43063</v>
      </c>
      <c r="K635" s="25">
        <v>44189</v>
      </c>
      <c r="L635" s="26">
        <f t="shared" si="247"/>
        <v>83.983863432139401</v>
      </c>
      <c r="M635" s="11" t="s">
        <v>136</v>
      </c>
      <c r="N635" s="11" t="s">
        <v>261</v>
      </c>
      <c r="O635" s="11" t="s">
        <v>261</v>
      </c>
      <c r="P635" s="27" t="s">
        <v>138</v>
      </c>
      <c r="Q635" s="11" t="s">
        <v>34</v>
      </c>
      <c r="R635" s="2">
        <f t="shared" si="248"/>
        <v>2142489.5299999998</v>
      </c>
      <c r="S635" s="2">
        <v>1727731.1199999994</v>
      </c>
      <c r="T635" s="2">
        <v>414758.41000000021</v>
      </c>
      <c r="U635" s="2">
        <f t="shared" si="253"/>
        <v>0</v>
      </c>
      <c r="V635" s="28">
        <v>0</v>
      </c>
      <c r="W635" s="28">
        <v>0</v>
      </c>
      <c r="X635" s="2">
        <f t="shared" si="250"/>
        <v>408583.31</v>
      </c>
      <c r="Y635" s="2">
        <v>304893.74</v>
      </c>
      <c r="Z635" s="2">
        <v>103689.57</v>
      </c>
      <c r="AA635" s="2">
        <f t="shared" si="251"/>
        <v>0</v>
      </c>
      <c r="AB635" s="2">
        <v>0</v>
      </c>
      <c r="AC635" s="2">
        <v>0</v>
      </c>
      <c r="AD635" s="16">
        <f t="shared" si="240"/>
        <v>2551072.84</v>
      </c>
      <c r="AE635" s="2">
        <v>0</v>
      </c>
      <c r="AF635" s="2">
        <f t="shared" si="252"/>
        <v>2551072.84</v>
      </c>
      <c r="AG635" s="38" t="s">
        <v>857</v>
      </c>
      <c r="AH635" s="29" t="s">
        <v>1672</v>
      </c>
      <c r="AI635" s="30">
        <f>1030343.44+458119.11+71702.9</f>
        <v>1560165.4499999997</v>
      </c>
      <c r="AJ635" s="137">
        <v>0</v>
      </c>
      <c r="AK635" s="179"/>
      <c r="AL635" s="179"/>
      <c r="AM635" s="179"/>
      <c r="AN635" s="179"/>
      <c r="AO635" s="179"/>
      <c r="AP635" s="179"/>
      <c r="AQ635" s="179"/>
      <c r="AR635" s="179"/>
      <c r="AS635" s="179"/>
      <c r="AT635" s="179"/>
      <c r="AU635" s="179"/>
      <c r="AV635" s="179"/>
      <c r="AW635" s="179"/>
      <c r="AX635" s="179"/>
      <c r="AY635" s="179"/>
      <c r="AZ635" s="179"/>
      <c r="BA635" s="179"/>
      <c r="BB635" s="179"/>
      <c r="BC635" s="179"/>
      <c r="BD635" s="179"/>
      <c r="BE635" s="179"/>
      <c r="BF635" s="179"/>
      <c r="BG635" s="179"/>
      <c r="BH635" s="179"/>
      <c r="BI635" s="179"/>
      <c r="BJ635" s="179"/>
      <c r="BK635" s="179"/>
      <c r="BL635" s="179"/>
      <c r="BM635" s="179"/>
      <c r="BN635" s="179"/>
      <c r="BO635" s="179"/>
      <c r="BP635" s="179"/>
      <c r="BQ635" s="179"/>
      <c r="BR635" s="179"/>
      <c r="BS635" s="179"/>
      <c r="BT635" s="179"/>
      <c r="BU635" s="179"/>
      <c r="BV635" s="179"/>
      <c r="BW635" s="179"/>
      <c r="BX635" s="179"/>
      <c r="BY635" s="179"/>
      <c r="BZ635" s="179"/>
      <c r="CA635" s="179"/>
      <c r="CB635" s="179"/>
      <c r="CC635" s="179"/>
      <c r="CD635" s="179"/>
      <c r="CE635" s="179"/>
      <c r="CF635" s="179"/>
      <c r="CG635" s="179"/>
      <c r="CH635" s="179"/>
      <c r="CI635" s="179"/>
      <c r="CJ635" s="179"/>
      <c r="CK635" s="179"/>
      <c r="CL635" s="179"/>
      <c r="CM635" s="179"/>
      <c r="CN635" s="179"/>
      <c r="CO635" s="179"/>
      <c r="CP635" s="179"/>
      <c r="CQ635" s="179"/>
      <c r="CR635" s="179"/>
      <c r="CS635" s="179"/>
      <c r="CT635" s="179"/>
      <c r="CU635" s="179"/>
      <c r="CV635" s="179"/>
      <c r="CW635" s="179"/>
      <c r="CX635" s="179"/>
      <c r="CY635" s="179"/>
      <c r="CZ635" s="179"/>
      <c r="DA635" s="179"/>
      <c r="DB635" s="179"/>
      <c r="DC635" s="179"/>
      <c r="DD635" s="179"/>
      <c r="DE635" s="179"/>
    </row>
    <row r="636" spans="1:109" s="188" customFormat="1" ht="267.75" x14ac:dyDescent="0.25">
      <c r="A636" s="6">
        <v>633</v>
      </c>
      <c r="B636" s="31">
        <v>119983</v>
      </c>
      <c r="C636" s="11">
        <v>58</v>
      </c>
      <c r="D636" s="11" t="s">
        <v>143</v>
      </c>
      <c r="E636" s="10" t="s">
        <v>110</v>
      </c>
      <c r="F636" s="11" t="s">
        <v>120</v>
      </c>
      <c r="G636" s="11" t="s">
        <v>1397</v>
      </c>
      <c r="H636" s="11" t="s">
        <v>159</v>
      </c>
      <c r="I636" s="46" t="s">
        <v>121</v>
      </c>
      <c r="J636" s="25">
        <v>42963</v>
      </c>
      <c r="K636" s="25">
        <v>44973</v>
      </c>
      <c r="L636" s="26">
        <f t="shared" si="247"/>
        <v>83.983863145848687</v>
      </c>
      <c r="M636" s="11" t="s">
        <v>136</v>
      </c>
      <c r="N636" s="11" t="s">
        <v>261</v>
      </c>
      <c r="O636" s="11" t="s">
        <v>261</v>
      </c>
      <c r="P636" s="27" t="s">
        <v>138</v>
      </c>
      <c r="Q636" s="11" t="s">
        <v>34</v>
      </c>
      <c r="R636" s="2">
        <f t="shared" ref="R636:R667" si="254">S636+T636</f>
        <v>7929466.1100000003</v>
      </c>
      <c r="S636" s="2">
        <v>6394423.5700000003</v>
      </c>
      <c r="T636" s="2">
        <v>1535042.54</v>
      </c>
      <c r="U636" s="2">
        <f t="shared" si="253"/>
        <v>0</v>
      </c>
      <c r="V636" s="28">
        <v>0</v>
      </c>
      <c r="W636" s="28">
        <v>0</v>
      </c>
      <c r="X636" s="2">
        <f t="shared" ref="X636:X667" si="255">Y636+Z636</f>
        <v>1512188.29</v>
      </c>
      <c r="Y636" s="2">
        <v>1128427.6499999999</v>
      </c>
      <c r="Z636" s="2">
        <v>383760.64000000001</v>
      </c>
      <c r="AA636" s="2">
        <f t="shared" ref="AA636:AA667" si="256">AB636+AC636</f>
        <v>0</v>
      </c>
      <c r="AB636" s="2">
        <v>0</v>
      </c>
      <c r="AC636" s="2">
        <v>0</v>
      </c>
      <c r="AD636" s="16">
        <f t="shared" si="240"/>
        <v>9441654.4000000004</v>
      </c>
      <c r="AE636" s="2">
        <v>655333</v>
      </c>
      <c r="AF636" s="2">
        <f t="shared" ref="AF636:AF667" si="257">AD636+AE636</f>
        <v>10096987.4</v>
      </c>
      <c r="AG636" s="38" t="s">
        <v>486</v>
      </c>
      <c r="AH636" s="29" t="s">
        <v>3184</v>
      </c>
      <c r="AI636" s="30">
        <f>27068+159937+61959.1+719797.57+221414.47+187753.57+107980.58+122867.55+589498.4</f>
        <v>2198276.2400000002</v>
      </c>
      <c r="AJ636" s="137">
        <v>0</v>
      </c>
    </row>
    <row r="637" spans="1:109" s="179" customFormat="1" ht="267.75" x14ac:dyDescent="0.25">
      <c r="A637" s="6">
        <v>634</v>
      </c>
      <c r="B637" s="31">
        <v>119957</v>
      </c>
      <c r="C637" s="11">
        <v>136</v>
      </c>
      <c r="D637" s="11" t="s">
        <v>146</v>
      </c>
      <c r="E637" s="10" t="s">
        <v>126</v>
      </c>
      <c r="F637" s="11" t="s">
        <v>127</v>
      </c>
      <c r="G637" s="11" t="s">
        <v>74</v>
      </c>
      <c r="H637" s="11" t="s">
        <v>1361</v>
      </c>
      <c r="I637" s="46" t="s">
        <v>128</v>
      </c>
      <c r="J637" s="25">
        <v>43047</v>
      </c>
      <c r="K637" s="25">
        <v>44812</v>
      </c>
      <c r="L637" s="26">
        <f t="shared" si="247"/>
        <v>83.983862817182768</v>
      </c>
      <c r="M637" s="11" t="s">
        <v>136</v>
      </c>
      <c r="N637" s="11" t="s">
        <v>261</v>
      </c>
      <c r="O637" s="11" t="s">
        <v>261</v>
      </c>
      <c r="P637" s="27" t="s">
        <v>138</v>
      </c>
      <c r="Q637" s="11" t="s">
        <v>34</v>
      </c>
      <c r="R637" s="2">
        <f t="shared" si="254"/>
        <v>30125053.869999997</v>
      </c>
      <c r="S637" s="2">
        <v>24293231.27</v>
      </c>
      <c r="T637" s="2">
        <v>5831822.5999999996</v>
      </c>
      <c r="U637" s="2">
        <f t="shared" si="253"/>
        <v>0</v>
      </c>
      <c r="V637" s="28">
        <v>0</v>
      </c>
      <c r="W637" s="28">
        <v>0</v>
      </c>
      <c r="X637" s="2">
        <f t="shared" si="255"/>
        <v>5744996.4699999997</v>
      </c>
      <c r="Y637" s="2">
        <v>4287040.8499999996</v>
      </c>
      <c r="Z637" s="2">
        <v>1457955.62</v>
      </c>
      <c r="AA637" s="2">
        <f t="shared" si="256"/>
        <v>0</v>
      </c>
      <c r="AB637" s="2">
        <v>0</v>
      </c>
      <c r="AC637" s="2">
        <v>0</v>
      </c>
      <c r="AD637" s="16">
        <f t="shared" si="240"/>
        <v>35870050.339999996</v>
      </c>
      <c r="AE637" s="2">
        <v>0</v>
      </c>
      <c r="AF637" s="2">
        <f t="shared" si="257"/>
        <v>35870050.339999996</v>
      </c>
      <c r="AG637" s="38" t="s">
        <v>857</v>
      </c>
      <c r="AH637" s="29" t="s">
        <v>2058</v>
      </c>
      <c r="AI637" s="30">
        <f>2761684.65+10585240.81+72837.53+264408.01+275499.82+1926939.26+6815712.67+179426.49+175361.67+1278103.53+187533.44+106549.06+45646.91</f>
        <v>24674943.850000001</v>
      </c>
      <c r="AJ637" s="137">
        <v>0</v>
      </c>
    </row>
    <row r="638" spans="1:109" s="179" customFormat="1" ht="141.75" x14ac:dyDescent="0.25">
      <c r="A638" s="6">
        <v>635</v>
      </c>
      <c r="B638" s="31">
        <v>110215</v>
      </c>
      <c r="C638" s="11">
        <v>139</v>
      </c>
      <c r="D638" s="11" t="s">
        <v>143</v>
      </c>
      <c r="E638" s="24" t="s">
        <v>270</v>
      </c>
      <c r="F638" s="27" t="s">
        <v>836</v>
      </c>
      <c r="G638" s="27" t="s">
        <v>837</v>
      </c>
      <c r="H638" s="8" t="s">
        <v>151</v>
      </c>
      <c r="I638" s="120" t="s">
        <v>838</v>
      </c>
      <c r="J638" s="25">
        <v>43357</v>
      </c>
      <c r="K638" s="25">
        <v>43844</v>
      </c>
      <c r="L638" s="26">
        <f t="shared" si="247"/>
        <v>82.304183894733001</v>
      </c>
      <c r="M638" s="11" t="s">
        <v>272</v>
      </c>
      <c r="N638" s="11" t="s">
        <v>186</v>
      </c>
      <c r="O638" s="11" t="s">
        <v>839</v>
      </c>
      <c r="P638" s="27" t="s">
        <v>274</v>
      </c>
      <c r="Q638" s="56" t="s">
        <v>34</v>
      </c>
      <c r="R638" s="2">
        <f t="shared" si="254"/>
        <v>799287.37</v>
      </c>
      <c r="S638" s="2">
        <v>644555.61</v>
      </c>
      <c r="T638" s="2">
        <v>154731.76</v>
      </c>
      <c r="U638" s="2">
        <f t="shared" si="253"/>
        <v>152428.06</v>
      </c>
      <c r="V638" s="28">
        <v>113745.12</v>
      </c>
      <c r="W638" s="28">
        <v>38682.94</v>
      </c>
      <c r="X638" s="2">
        <f t="shared" si="255"/>
        <v>0</v>
      </c>
      <c r="Y638" s="2">
        <v>0</v>
      </c>
      <c r="Z638" s="2">
        <v>0</v>
      </c>
      <c r="AA638" s="2">
        <f t="shared" si="256"/>
        <v>19422.77</v>
      </c>
      <c r="AB638" s="2">
        <v>15475.55</v>
      </c>
      <c r="AC638" s="2">
        <v>3947.22</v>
      </c>
      <c r="AD638" s="16">
        <f t="shared" si="240"/>
        <v>971138.2</v>
      </c>
      <c r="AE638" s="2">
        <v>0</v>
      </c>
      <c r="AF638" s="2">
        <f t="shared" si="257"/>
        <v>971138.2</v>
      </c>
      <c r="AG638" s="38" t="s">
        <v>857</v>
      </c>
      <c r="AH638" s="29" t="s">
        <v>1192</v>
      </c>
      <c r="AI638" s="30">
        <f>97000-12225.11+76329.94+54447.72+71579.61+92674.11+104473.49+126688.56+96579.85-13634.34-3831.78</f>
        <v>690082.05</v>
      </c>
      <c r="AJ638" s="130">
        <f>12225.11+10383.44+13650.58+17673.4+19923.6+24160.13+18418.25+13634.34+1533.19</f>
        <v>131602.04</v>
      </c>
    </row>
    <row r="639" spans="1:109" s="179" customFormat="1" ht="141.75" x14ac:dyDescent="0.25">
      <c r="A639" s="6">
        <v>636</v>
      </c>
      <c r="B639" s="31">
        <v>111983</v>
      </c>
      <c r="C639" s="11">
        <v>238</v>
      </c>
      <c r="D639" s="11" t="s">
        <v>143</v>
      </c>
      <c r="E639" s="24" t="s">
        <v>270</v>
      </c>
      <c r="F639" s="27" t="s">
        <v>512</v>
      </c>
      <c r="G639" s="11" t="s">
        <v>513</v>
      </c>
      <c r="H639" s="8" t="s">
        <v>151</v>
      </c>
      <c r="I639" s="12" t="s">
        <v>2946</v>
      </c>
      <c r="J639" s="25">
        <v>43270</v>
      </c>
      <c r="K639" s="25">
        <v>43880</v>
      </c>
      <c r="L639" s="26">
        <f t="shared" si="247"/>
        <v>82.304184684756876</v>
      </c>
      <c r="M639" s="11" t="s">
        <v>272</v>
      </c>
      <c r="N639" s="11" t="s">
        <v>261</v>
      </c>
      <c r="O639" s="11" t="s">
        <v>261</v>
      </c>
      <c r="P639" s="27" t="s">
        <v>274</v>
      </c>
      <c r="Q639" s="11" t="s">
        <v>34</v>
      </c>
      <c r="R639" s="2">
        <f t="shared" si="254"/>
        <v>768299.49</v>
      </c>
      <c r="S639" s="2">
        <v>619566.6</v>
      </c>
      <c r="T639" s="2">
        <v>148732.89000000001</v>
      </c>
      <c r="U639" s="2">
        <f t="shared" si="253"/>
        <v>146518.51</v>
      </c>
      <c r="V639" s="28">
        <v>109335.29</v>
      </c>
      <c r="W639" s="28">
        <v>37183.22</v>
      </c>
      <c r="X639" s="2">
        <f t="shared" si="255"/>
        <v>0</v>
      </c>
      <c r="Y639" s="2">
        <v>0</v>
      </c>
      <c r="Z639" s="2">
        <v>0</v>
      </c>
      <c r="AA639" s="2">
        <f t="shared" si="256"/>
        <v>18669.759999999998</v>
      </c>
      <c r="AB639" s="2">
        <v>14875.55</v>
      </c>
      <c r="AC639" s="2">
        <v>3794.21</v>
      </c>
      <c r="AD639" s="16">
        <f t="shared" si="240"/>
        <v>933487.76</v>
      </c>
      <c r="AE639" s="2">
        <v>0</v>
      </c>
      <c r="AF639" s="2">
        <f t="shared" si="257"/>
        <v>933487.76</v>
      </c>
      <c r="AG639" s="38" t="s">
        <v>857</v>
      </c>
      <c r="AH639" s="29" t="s">
        <v>1392</v>
      </c>
      <c r="AI639" s="30">
        <f>412300.12+97046.16+93000+18147.29+37314.74</f>
        <v>657808.31000000006</v>
      </c>
      <c r="AJ639" s="130">
        <f>11017.56+15316.94+17051+17506.62+36242.76+21196.3+7116.12</f>
        <v>125447.3</v>
      </c>
    </row>
    <row r="640" spans="1:109" s="179" customFormat="1" ht="204.75" x14ac:dyDescent="0.25">
      <c r="A640" s="6">
        <v>637</v>
      </c>
      <c r="B640" s="31">
        <v>115784</v>
      </c>
      <c r="C640" s="11">
        <v>388</v>
      </c>
      <c r="D640" s="138" t="s">
        <v>143</v>
      </c>
      <c r="E640" s="139" t="s">
        <v>373</v>
      </c>
      <c r="F640" s="27" t="s">
        <v>639</v>
      </c>
      <c r="G640" s="11" t="s">
        <v>1716</v>
      </c>
      <c r="H640" s="8" t="s">
        <v>151</v>
      </c>
      <c r="I640" s="120" t="s">
        <v>2947</v>
      </c>
      <c r="J640" s="25">
        <v>43297</v>
      </c>
      <c r="K640" s="25">
        <v>44393</v>
      </c>
      <c r="L640" s="26">
        <f t="shared" si="247"/>
        <v>83.98386387291859</v>
      </c>
      <c r="M640" s="11" t="s">
        <v>272</v>
      </c>
      <c r="N640" s="11" t="s">
        <v>261</v>
      </c>
      <c r="O640" s="11" t="s">
        <v>261</v>
      </c>
      <c r="P640" s="27" t="s">
        <v>138</v>
      </c>
      <c r="Q640" s="11" t="s">
        <v>34</v>
      </c>
      <c r="R640" s="2">
        <f t="shared" si="254"/>
        <v>2474673.11</v>
      </c>
      <c r="S640" s="2">
        <v>1995608.26</v>
      </c>
      <c r="T640" s="2">
        <v>479064.85</v>
      </c>
      <c r="U640" s="2">
        <f t="shared" si="253"/>
        <v>0</v>
      </c>
      <c r="V640" s="28">
        <v>0</v>
      </c>
      <c r="W640" s="28">
        <v>0</v>
      </c>
      <c r="X640" s="2">
        <f t="shared" si="255"/>
        <v>471932.34</v>
      </c>
      <c r="Y640" s="2">
        <v>352166.13</v>
      </c>
      <c r="Z640" s="2">
        <v>119766.21</v>
      </c>
      <c r="AA640" s="2">
        <f t="shared" si="256"/>
        <v>0</v>
      </c>
      <c r="AB640" s="2">
        <v>0</v>
      </c>
      <c r="AC640" s="2">
        <v>0</v>
      </c>
      <c r="AD640" s="16">
        <f t="shared" si="240"/>
        <v>2946605.4499999997</v>
      </c>
      <c r="AE640" s="2">
        <v>0</v>
      </c>
      <c r="AF640" s="2">
        <f t="shared" si="257"/>
        <v>2946605.4499999997</v>
      </c>
      <c r="AG640" s="38" t="s">
        <v>857</v>
      </c>
      <c r="AH640" s="29" t="s">
        <v>1630</v>
      </c>
      <c r="AI640" s="30">
        <f>547571.35+72285.77+349506.55+195854.16+304943.31</f>
        <v>1470161.14</v>
      </c>
      <c r="AJ640" s="130">
        <v>0</v>
      </c>
    </row>
    <row r="641" spans="1:36" s="179" customFormat="1" ht="141.75" x14ac:dyDescent="0.25">
      <c r="A641" s="6">
        <v>638</v>
      </c>
      <c r="B641" s="31">
        <v>120082</v>
      </c>
      <c r="C641" s="11">
        <v>56</v>
      </c>
      <c r="D641" s="11" t="s">
        <v>145</v>
      </c>
      <c r="E641" s="10" t="s">
        <v>123</v>
      </c>
      <c r="F641" s="11" t="s">
        <v>124</v>
      </c>
      <c r="G641" s="11" t="s">
        <v>122</v>
      </c>
      <c r="H641" s="11" t="s">
        <v>167</v>
      </c>
      <c r="I641" s="46" t="s">
        <v>125</v>
      </c>
      <c r="J641" s="25">
        <v>43006</v>
      </c>
      <c r="K641" s="25">
        <v>44893</v>
      </c>
      <c r="L641" s="26">
        <f t="shared" si="247"/>
        <v>83.983862982489967</v>
      </c>
      <c r="M641" s="11" t="s">
        <v>136</v>
      </c>
      <c r="N641" s="11" t="s">
        <v>261</v>
      </c>
      <c r="O641" s="11" t="s">
        <v>261</v>
      </c>
      <c r="P641" s="27" t="s">
        <v>138</v>
      </c>
      <c r="Q641" s="11" t="s">
        <v>34</v>
      </c>
      <c r="R641" s="2">
        <f t="shared" si="254"/>
        <v>4979483.55</v>
      </c>
      <c r="S641" s="2">
        <v>4015519.63</v>
      </c>
      <c r="T641" s="2">
        <v>963963.92</v>
      </c>
      <c r="U641" s="2">
        <f t="shared" si="253"/>
        <v>0</v>
      </c>
      <c r="V641" s="28">
        <v>0</v>
      </c>
      <c r="W641" s="28">
        <v>0</v>
      </c>
      <c r="X641" s="2">
        <f t="shared" si="255"/>
        <v>949612.08</v>
      </c>
      <c r="Y641" s="2">
        <v>708621.12</v>
      </c>
      <c r="Z641" s="2">
        <v>240990.96</v>
      </c>
      <c r="AA641" s="2">
        <f t="shared" si="256"/>
        <v>0</v>
      </c>
      <c r="AB641" s="2">
        <v>0</v>
      </c>
      <c r="AC641" s="2">
        <v>0</v>
      </c>
      <c r="AD641" s="16">
        <f t="shared" si="240"/>
        <v>5929095.6299999999</v>
      </c>
      <c r="AE641" s="2">
        <v>0</v>
      </c>
      <c r="AF641" s="2">
        <f t="shared" si="257"/>
        <v>5929095.6299999999</v>
      </c>
      <c r="AG641" s="38" t="s">
        <v>486</v>
      </c>
      <c r="AH641" s="29" t="s">
        <v>2266</v>
      </c>
      <c r="AI641" s="30">
        <f>15818.36+6578.46+48495.02+338393.1+955095.55+38821.54+1658562.29+51202.89</f>
        <v>3112967.2100000004</v>
      </c>
      <c r="AJ641" s="130">
        <v>0</v>
      </c>
    </row>
    <row r="642" spans="1:36" s="179" customFormat="1" ht="141.75" x14ac:dyDescent="0.25">
      <c r="A642" s="6">
        <v>639</v>
      </c>
      <c r="B642" s="31">
        <v>120126</v>
      </c>
      <c r="C642" s="11">
        <v>57</v>
      </c>
      <c r="D642" s="11" t="s">
        <v>145</v>
      </c>
      <c r="E642" s="10" t="s">
        <v>123</v>
      </c>
      <c r="F642" s="11" t="s">
        <v>102</v>
      </c>
      <c r="G642" s="11" t="s">
        <v>99</v>
      </c>
      <c r="H642" s="8" t="s">
        <v>151</v>
      </c>
      <c r="I642" s="46" t="s">
        <v>103</v>
      </c>
      <c r="J642" s="25">
        <v>43060</v>
      </c>
      <c r="K642" s="25">
        <v>44398</v>
      </c>
      <c r="L642" s="26">
        <f t="shared" si="247"/>
        <v>83.983863040591004</v>
      </c>
      <c r="M642" s="11" t="s">
        <v>136</v>
      </c>
      <c r="N642" s="11" t="s">
        <v>261</v>
      </c>
      <c r="O642" s="11" t="s">
        <v>261</v>
      </c>
      <c r="P642" s="27" t="s">
        <v>138</v>
      </c>
      <c r="Q642" s="11" t="s">
        <v>34</v>
      </c>
      <c r="R642" s="2">
        <f t="shared" si="254"/>
        <v>2709276.17</v>
      </c>
      <c r="S642" s="2">
        <v>2184795.1800000002</v>
      </c>
      <c r="T642" s="2">
        <v>524480.99</v>
      </c>
      <c r="U642" s="2">
        <f t="shared" si="253"/>
        <v>0</v>
      </c>
      <c r="V642" s="28">
        <v>0</v>
      </c>
      <c r="W642" s="28">
        <v>0</v>
      </c>
      <c r="X642" s="2">
        <f t="shared" si="255"/>
        <v>516672.33</v>
      </c>
      <c r="Y642" s="2">
        <v>385552.09</v>
      </c>
      <c r="Z642" s="2">
        <v>131120.24</v>
      </c>
      <c r="AA642" s="2">
        <f t="shared" si="256"/>
        <v>0</v>
      </c>
      <c r="AB642" s="2">
        <v>0</v>
      </c>
      <c r="AC642" s="2">
        <v>0</v>
      </c>
      <c r="AD642" s="16">
        <f t="shared" si="240"/>
        <v>3225948.5</v>
      </c>
      <c r="AE642" s="2">
        <v>0</v>
      </c>
      <c r="AF642" s="2">
        <f t="shared" si="257"/>
        <v>3225948.5</v>
      </c>
      <c r="AG642" s="38" t="s">
        <v>857</v>
      </c>
      <c r="AH642" s="41" t="s">
        <v>1748</v>
      </c>
      <c r="AI642" s="30">
        <f>159377.85+1198087.28+435707.45+7077952.51</f>
        <v>8871125.0899999999</v>
      </c>
      <c r="AJ642" s="130">
        <v>0</v>
      </c>
    </row>
    <row r="643" spans="1:36" s="179" customFormat="1" ht="346.5" x14ac:dyDescent="0.25">
      <c r="A643" s="6">
        <v>640</v>
      </c>
      <c r="B643" s="31">
        <v>116172</v>
      </c>
      <c r="C643" s="11">
        <v>391</v>
      </c>
      <c r="D643" s="11" t="s">
        <v>143</v>
      </c>
      <c r="E643" s="24" t="s">
        <v>373</v>
      </c>
      <c r="F643" s="27" t="s">
        <v>384</v>
      </c>
      <c r="G643" s="27" t="s">
        <v>1679</v>
      </c>
      <c r="H643" s="27" t="s">
        <v>385</v>
      </c>
      <c r="I643" s="12" t="s">
        <v>446</v>
      </c>
      <c r="J643" s="25">
        <v>43230</v>
      </c>
      <c r="K643" s="25">
        <v>44875</v>
      </c>
      <c r="L643" s="26">
        <f t="shared" si="247"/>
        <v>83.983863333706537</v>
      </c>
      <c r="M643" s="11" t="s">
        <v>272</v>
      </c>
      <c r="N643" s="11" t="s">
        <v>304</v>
      </c>
      <c r="O643" s="11" t="s">
        <v>304</v>
      </c>
      <c r="P643" s="27" t="s">
        <v>138</v>
      </c>
      <c r="Q643" s="11" t="s">
        <v>34</v>
      </c>
      <c r="R643" s="2">
        <f t="shared" si="254"/>
        <v>6129802.7699999996</v>
      </c>
      <c r="S643" s="2">
        <v>4943151.87</v>
      </c>
      <c r="T643" s="2">
        <v>1186650.8999999999</v>
      </c>
      <c r="U643" s="2">
        <f t="shared" si="253"/>
        <v>0</v>
      </c>
      <c r="V643" s="28">
        <v>0</v>
      </c>
      <c r="W643" s="28">
        <v>0</v>
      </c>
      <c r="X643" s="2">
        <f t="shared" si="255"/>
        <v>1168983.6000000001</v>
      </c>
      <c r="Y643" s="2">
        <v>872320.88</v>
      </c>
      <c r="Z643" s="2">
        <v>296662.71999999997</v>
      </c>
      <c r="AA643" s="2">
        <f t="shared" si="256"/>
        <v>0</v>
      </c>
      <c r="AB643" s="2">
        <v>0</v>
      </c>
      <c r="AC643" s="2">
        <v>0</v>
      </c>
      <c r="AD643" s="16">
        <f t="shared" si="240"/>
        <v>7298786.3699999992</v>
      </c>
      <c r="AE643" s="2">
        <v>416388</v>
      </c>
      <c r="AF643" s="2">
        <f t="shared" si="257"/>
        <v>7715174.3699999992</v>
      </c>
      <c r="AG643" s="38" t="s">
        <v>486</v>
      </c>
      <c r="AH643" s="29" t="s">
        <v>2204</v>
      </c>
      <c r="AI643" s="30">
        <f>306350.64+37282.12+71590.36+880535.54+1594555.41+28229.5+27006.69+605254.41+1669064.23+9399.48</f>
        <v>5229268.3800000008</v>
      </c>
      <c r="AJ643" s="130">
        <v>0</v>
      </c>
    </row>
    <row r="644" spans="1:36" s="188" customFormat="1" ht="204.75" x14ac:dyDescent="0.25">
      <c r="A644" s="6">
        <v>641</v>
      </c>
      <c r="B644" s="31">
        <v>118963</v>
      </c>
      <c r="C644" s="11">
        <v>34</v>
      </c>
      <c r="D644" s="32" t="s">
        <v>1640</v>
      </c>
      <c r="E644" s="10" t="s">
        <v>147</v>
      </c>
      <c r="F644" s="11" t="s">
        <v>88</v>
      </c>
      <c r="G644" s="11" t="s">
        <v>74</v>
      </c>
      <c r="H644" s="11" t="s">
        <v>463</v>
      </c>
      <c r="I644" s="46" t="s">
        <v>89</v>
      </c>
      <c r="J644" s="25">
        <v>42629</v>
      </c>
      <c r="K644" s="25">
        <v>43540</v>
      </c>
      <c r="L644" s="26">
        <f t="shared" si="247"/>
        <v>83.983862803496507</v>
      </c>
      <c r="M644" s="11" t="s">
        <v>136</v>
      </c>
      <c r="N644" s="11" t="s">
        <v>261</v>
      </c>
      <c r="O644" s="11" t="s">
        <v>261</v>
      </c>
      <c r="P644" s="27" t="s">
        <v>138</v>
      </c>
      <c r="Q644" s="11" t="s">
        <v>34</v>
      </c>
      <c r="R644" s="2">
        <f t="shared" si="254"/>
        <v>4117071.25</v>
      </c>
      <c r="S644" s="2">
        <v>3320059.26</v>
      </c>
      <c r="T644" s="2">
        <v>797011.99</v>
      </c>
      <c r="U644" s="2">
        <f t="shared" ref="U644:U675" si="258">V644+W644</f>
        <v>0</v>
      </c>
      <c r="V644" s="28">
        <v>0</v>
      </c>
      <c r="W644" s="28">
        <v>0</v>
      </c>
      <c r="X644" s="2">
        <f t="shared" si="255"/>
        <v>785145.81</v>
      </c>
      <c r="Y644" s="2">
        <v>585892.81000000006</v>
      </c>
      <c r="Z644" s="2">
        <v>199253</v>
      </c>
      <c r="AA644" s="2">
        <f t="shared" si="256"/>
        <v>0</v>
      </c>
      <c r="AB644" s="2">
        <v>0</v>
      </c>
      <c r="AC644" s="2">
        <v>0</v>
      </c>
      <c r="AD644" s="16">
        <f t="shared" si="240"/>
        <v>4902217.0600000005</v>
      </c>
      <c r="AE644" s="2">
        <v>0</v>
      </c>
      <c r="AF644" s="2">
        <f t="shared" si="257"/>
        <v>4902217.0600000005</v>
      </c>
      <c r="AG644" s="21" t="s">
        <v>857</v>
      </c>
      <c r="AH644" s="29" t="s">
        <v>153</v>
      </c>
      <c r="AI644" s="30">
        <f>1460741.83+228438.52+391513.86+234930.38+421082.6+869050.66+18896.37</f>
        <v>3624654.22</v>
      </c>
      <c r="AJ644" s="130">
        <v>0</v>
      </c>
    </row>
    <row r="645" spans="1:36" s="188" customFormat="1" ht="141.75" x14ac:dyDescent="0.25">
      <c r="A645" s="6">
        <v>642</v>
      </c>
      <c r="B645" s="31">
        <v>118964</v>
      </c>
      <c r="C645" s="11">
        <v>35</v>
      </c>
      <c r="D645" s="32" t="s">
        <v>1640</v>
      </c>
      <c r="E645" s="10" t="s">
        <v>147</v>
      </c>
      <c r="F645" s="11" t="s">
        <v>90</v>
      </c>
      <c r="G645" s="11" t="s">
        <v>74</v>
      </c>
      <c r="H645" s="11" t="s">
        <v>683</v>
      </c>
      <c r="I645" s="46" t="s">
        <v>91</v>
      </c>
      <c r="J645" s="25">
        <v>42670</v>
      </c>
      <c r="K645" s="25">
        <v>43796</v>
      </c>
      <c r="L645" s="26">
        <f t="shared" si="247"/>
        <v>83.983860041638508</v>
      </c>
      <c r="M645" s="11" t="s">
        <v>136</v>
      </c>
      <c r="N645" s="11" t="s">
        <v>261</v>
      </c>
      <c r="O645" s="11" t="s">
        <v>261</v>
      </c>
      <c r="P645" s="27" t="s">
        <v>138</v>
      </c>
      <c r="Q645" s="11" t="s">
        <v>34</v>
      </c>
      <c r="R645" s="2">
        <f t="shared" si="254"/>
        <v>1279634.26</v>
      </c>
      <c r="S645" s="2">
        <v>1031913.55</v>
      </c>
      <c r="T645" s="2">
        <v>247720.71</v>
      </c>
      <c r="U645" s="2">
        <f t="shared" si="258"/>
        <v>0</v>
      </c>
      <c r="V645" s="28">
        <v>0</v>
      </c>
      <c r="W645" s="28">
        <v>0</v>
      </c>
      <c r="X645" s="2">
        <f t="shared" si="255"/>
        <v>244032.62</v>
      </c>
      <c r="Y645" s="2">
        <v>182102.42</v>
      </c>
      <c r="Z645" s="2">
        <v>61930.2</v>
      </c>
      <c r="AA645" s="2">
        <f t="shared" si="256"/>
        <v>0</v>
      </c>
      <c r="AB645" s="2">
        <v>0</v>
      </c>
      <c r="AC645" s="2">
        <v>0</v>
      </c>
      <c r="AD645" s="16">
        <f t="shared" ref="AD645:AD708" si="259">R645+U645+X645+AA645</f>
        <v>1523666.88</v>
      </c>
      <c r="AE645" s="2">
        <v>0</v>
      </c>
      <c r="AF645" s="2">
        <f t="shared" si="257"/>
        <v>1523666.88</v>
      </c>
      <c r="AG645" s="21" t="s">
        <v>857</v>
      </c>
      <c r="AH645" s="29" t="s">
        <v>1205</v>
      </c>
      <c r="AI645" s="30">
        <f>122689.41+119337.51+49801.59+108022.55+173686.44+582492.4</f>
        <v>1156029.8999999999</v>
      </c>
      <c r="AJ645" s="130">
        <v>0</v>
      </c>
    </row>
    <row r="646" spans="1:36" s="188" customFormat="1" ht="141.75" x14ac:dyDescent="0.25">
      <c r="A646" s="6">
        <v>643</v>
      </c>
      <c r="B646" s="31">
        <v>119981</v>
      </c>
      <c r="C646" s="11">
        <v>36</v>
      </c>
      <c r="D646" s="32" t="s">
        <v>1640</v>
      </c>
      <c r="E646" s="10" t="s">
        <v>147</v>
      </c>
      <c r="F646" s="11" t="s">
        <v>92</v>
      </c>
      <c r="G646" s="11" t="s">
        <v>71</v>
      </c>
      <c r="H646" s="8" t="s">
        <v>151</v>
      </c>
      <c r="I646" s="46" t="s">
        <v>93</v>
      </c>
      <c r="J646" s="25">
        <v>42579</v>
      </c>
      <c r="K646" s="25">
        <v>43462</v>
      </c>
      <c r="L646" s="26">
        <f t="shared" si="247"/>
        <v>83.983863111728837</v>
      </c>
      <c r="M646" s="11" t="s">
        <v>136</v>
      </c>
      <c r="N646" s="11" t="s">
        <v>261</v>
      </c>
      <c r="O646" s="11" t="s">
        <v>261</v>
      </c>
      <c r="P646" s="27" t="s">
        <v>138</v>
      </c>
      <c r="Q646" s="11" t="s">
        <v>34</v>
      </c>
      <c r="R646" s="2">
        <f t="shared" si="254"/>
        <v>1627939.8599999999</v>
      </c>
      <c r="S646" s="2">
        <v>1312791.6599999999</v>
      </c>
      <c r="T646" s="2">
        <v>315148.2</v>
      </c>
      <c r="U646" s="2">
        <f t="shared" si="258"/>
        <v>0</v>
      </c>
      <c r="V646" s="28">
        <v>0</v>
      </c>
      <c r="W646" s="28">
        <v>0</v>
      </c>
      <c r="X646" s="2">
        <f t="shared" si="255"/>
        <v>310456.15999999997</v>
      </c>
      <c r="Y646" s="2">
        <v>231669.11</v>
      </c>
      <c r="Z646" s="2">
        <v>78787.05</v>
      </c>
      <c r="AA646" s="2">
        <f t="shared" si="256"/>
        <v>0</v>
      </c>
      <c r="AB646" s="2">
        <v>0</v>
      </c>
      <c r="AC646" s="2">
        <v>0</v>
      </c>
      <c r="AD646" s="16">
        <f t="shared" si="259"/>
        <v>1938396.0199999998</v>
      </c>
      <c r="AE646" s="2">
        <v>0</v>
      </c>
      <c r="AF646" s="2">
        <f t="shared" si="257"/>
        <v>1938396.0199999998</v>
      </c>
      <c r="AG646" s="21" t="s">
        <v>857</v>
      </c>
      <c r="AH646" s="29" t="s">
        <v>154</v>
      </c>
      <c r="AI646" s="30">
        <f>559604.06+125761.16+33457.13+622518.23+7475.79+33855.21+3996.8</f>
        <v>1386668.3800000001</v>
      </c>
      <c r="AJ646" s="130">
        <v>0</v>
      </c>
    </row>
    <row r="647" spans="1:36" s="188" customFormat="1" ht="157.5" x14ac:dyDescent="0.25">
      <c r="A647" s="6">
        <v>644</v>
      </c>
      <c r="B647" s="31">
        <v>120414</v>
      </c>
      <c r="C647" s="11">
        <v>61</v>
      </c>
      <c r="D647" s="32" t="s">
        <v>1640</v>
      </c>
      <c r="E647" s="10" t="s">
        <v>129</v>
      </c>
      <c r="F647" s="11" t="s">
        <v>130</v>
      </c>
      <c r="G647" s="27" t="s">
        <v>1719</v>
      </c>
      <c r="H647" s="8" t="s">
        <v>151</v>
      </c>
      <c r="I647" s="46" t="s">
        <v>557</v>
      </c>
      <c r="J647" s="25">
        <v>42893</v>
      </c>
      <c r="K647" s="25">
        <v>44172</v>
      </c>
      <c r="L647" s="26">
        <f t="shared" si="247"/>
        <v>83.983863338887815</v>
      </c>
      <c r="M647" s="11" t="s">
        <v>136</v>
      </c>
      <c r="N647" s="11" t="s">
        <v>261</v>
      </c>
      <c r="O647" s="11" t="s">
        <v>261</v>
      </c>
      <c r="P647" s="27" t="s">
        <v>138</v>
      </c>
      <c r="Q647" s="11" t="s">
        <v>34</v>
      </c>
      <c r="R647" s="2">
        <f t="shared" si="254"/>
        <v>4817465.95</v>
      </c>
      <c r="S647" s="2">
        <v>3884866.57</v>
      </c>
      <c r="T647" s="2">
        <v>932599.38</v>
      </c>
      <c r="U647" s="2">
        <f t="shared" si="258"/>
        <v>0</v>
      </c>
      <c r="V647" s="28">
        <v>0</v>
      </c>
      <c r="W647" s="28">
        <v>0</v>
      </c>
      <c r="X647" s="2">
        <f t="shared" si="255"/>
        <v>918714.5</v>
      </c>
      <c r="Y647" s="2">
        <v>685564.65</v>
      </c>
      <c r="Z647" s="2">
        <v>233149.85</v>
      </c>
      <c r="AA647" s="2">
        <f t="shared" si="256"/>
        <v>0</v>
      </c>
      <c r="AB647" s="2">
        <v>0</v>
      </c>
      <c r="AC647" s="2">
        <v>0</v>
      </c>
      <c r="AD647" s="16">
        <f t="shared" si="259"/>
        <v>5736180.4500000002</v>
      </c>
      <c r="AE647" s="2">
        <v>0</v>
      </c>
      <c r="AF647" s="2">
        <f t="shared" si="257"/>
        <v>5736180.4500000002</v>
      </c>
      <c r="AG647" s="38" t="s">
        <v>857</v>
      </c>
      <c r="AH647" s="29" t="s">
        <v>1607</v>
      </c>
      <c r="AI647" s="30">
        <f>2217957.44+326592.36+100825.99</f>
        <v>2645375.79</v>
      </c>
      <c r="AJ647" s="30">
        <v>116391.22</v>
      </c>
    </row>
    <row r="648" spans="1:36" s="179" customFormat="1" ht="267.75" x14ac:dyDescent="0.25">
      <c r="A648" s="6">
        <v>645</v>
      </c>
      <c r="B648" s="31">
        <v>116103</v>
      </c>
      <c r="C648" s="11">
        <v>393</v>
      </c>
      <c r="D648" s="11" t="s">
        <v>143</v>
      </c>
      <c r="E648" s="24" t="s">
        <v>373</v>
      </c>
      <c r="F648" s="27" t="s">
        <v>957</v>
      </c>
      <c r="G648" s="11" t="s">
        <v>1349</v>
      </c>
      <c r="H648" s="32" t="s">
        <v>958</v>
      </c>
      <c r="I648" s="12" t="s">
        <v>2948</v>
      </c>
      <c r="J648" s="25">
        <v>43453</v>
      </c>
      <c r="K648" s="25">
        <v>44246</v>
      </c>
      <c r="L648" s="26">
        <f t="shared" si="247"/>
        <v>83.983863795592953</v>
      </c>
      <c r="M648" s="11" t="s">
        <v>272</v>
      </c>
      <c r="N648" s="11" t="s">
        <v>261</v>
      </c>
      <c r="O648" s="11" t="s">
        <v>261</v>
      </c>
      <c r="P648" s="27" t="s">
        <v>138</v>
      </c>
      <c r="Q648" s="11" t="s">
        <v>34</v>
      </c>
      <c r="R648" s="2">
        <f t="shared" si="254"/>
        <v>6662642.3999999994</v>
      </c>
      <c r="S648" s="2">
        <v>5372840.6399999997</v>
      </c>
      <c r="T648" s="2">
        <v>1289801.76</v>
      </c>
      <c r="U648" s="2">
        <f t="shared" si="258"/>
        <v>545363.42999999993</v>
      </c>
      <c r="V648" s="28">
        <v>403028.04</v>
      </c>
      <c r="W648" s="28">
        <v>142335.39000000001</v>
      </c>
      <c r="X648" s="2">
        <f t="shared" si="255"/>
        <v>725235.27</v>
      </c>
      <c r="Y648" s="2">
        <v>545120.19999999995</v>
      </c>
      <c r="Z648" s="2">
        <v>180115.07</v>
      </c>
      <c r="AA648" s="2">
        <f t="shared" si="256"/>
        <v>0</v>
      </c>
      <c r="AB648" s="2">
        <v>0</v>
      </c>
      <c r="AC648" s="2">
        <v>0</v>
      </c>
      <c r="AD648" s="16">
        <f t="shared" si="259"/>
        <v>7933241.0999999996</v>
      </c>
      <c r="AE648" s="37">
        <v>0</v>
      </c>
      <c r="AF648" s="2">
        <f t="shared" si="257"/>
        <v>7933241.0999999996</v>
      </c>
      <c r="AG648" s="38" t="s">
        <v>857</v>
      </c>
      <c r="AH648" s="29" t="s">
        <v>1665</v>
      </c>
      <c r="AI648" s="30">
        <f>389096.78-1942.82+576398.08+532462.27+389096.78+1131389.5+389096.78+586124.42+279664.04+865075.11+534997.11</f>
        <v>5671458.0500000007</v>
      </c>
      <c r="AJ648" s="30">
        <f>30580.48+37794.48+82045.63+142291.25+54004.36+72124.7+46874.39</f>
        <v>465715.29000000004</v>
      </c>
    </row>
    <row r="649" spans="1:36" s="179" customFormat="1" ht="220.5" x14ac:dyDescent="0.25">
      <c r="A649" s="6">
        <v>646</v>
      </c>
      <c r="B649" s="31">
        <v>116097</v>
      </c>
      <c r="C649" s="11">
        <v>394</v>
      </c>
      <c r="D649" s="138" t="s">
        <v>143</v>
      </c>
      <c r="E649" s="32" t="s">
        <v>373</v>
      </c>
      <c r="F649" s="11" t="s">
        <v>1634</v>
      </c>
      <c r="G649" s="11" t="s">
        <v>1397</v>
      </c>
      <c r="H649" s="11" t="s">
        <v>422</v>
      </c>
      <c r="I649" s="120" t="s">
        <v>2949</v>
      </c>
      <c r="J649" s="25">
        <v>43284</v>
      </c>
      <c r="K649" s="25">
        <v>44898</v>
      </c>
      <c r="L649" s="26">
        <f t="shared" si="247"/>
        <v>83.983862774791262</v>
      </c>
      <c r="M649" s="11" t="s">
        <v>272</v>
      </c>
      <c r="N649" s="11" t="s">
        <v>261</v>
      </c>
      <c r="O649" s="11" t="s">
        <v>261</v>
      </c>
      <c r="P649" s="27" t="s">
        <v>138</v>
      </c>
      <c r="Q649" s="11" t="s">
        <v>34</v>
      </c>
      <c r="R649" s="2">
        <f t="shared" si="254"/>
        <v>6396515.5899999999</v>
      </c>
      <c r="S649" s="2">
        <v>5158232.53</v>
      </c>
      <c r="T649" s="2">
        <v>1238283.06</v>
      </c>
      <c r="U649" s="2">
        <f t="shared" si="258"/>
        <v>472527.32999999996</v>
      </c>
      <c r="V649" s="28">
        <v>349201.67</v>
      </c>
      <c r="W649" s="28">
        <v>123325.66</v>
      </c>
      <c r="X649" s="2">
        <f t="shared" si="255"/>
        <v>747319.77</v>
      </c>
      <c r="Y649" s="2">
        <v>561074.66</v>
      </c>
      <c r="Z649" s="2">
        <v>186245.11</v>
      </c>
      <c r="AA649" s="2">
        <f t="shared" si="256"/>
        <v>0</v>
      </c>
      <c r="AB649" s="2">
        <v>0</v>
      </c>
      <c r="AC649" s="2">
        <v>0</v>
      </c>
      <c r="AD649" s="16">
        <f t="shared" si="259"/>
        <v>7616362.6899999995</v>
      </c>
      <c r="AE649" s="2">
        <v>0</v>
      </c>
      <c r="AF649" s="2">
        <f t="shared" si="257"/>
        <v>7616362.6899999995</v>
      </c>
      <c r="AG649" s="38" t="s">
        <v>486</v>
      </c>
      <c r="AH649" s="29" t="s">
        <v>2002</v>
      </c>
      <c r="AI649" s="30">
        <f>253980+93643.83+161611.12+512990.05+229365.98+135687.68+57767.45+654694.55</f>
        <v>2099740.66</v>
      </c>
      <c r="AJ649" s="30">
        <f>4416.62+33006.45+50458.66+7659.81+6453.45+91375.8</f>
        <v>193370.79</v>
      </c>
    </row>
    <row r="650" spans="1:36" s="179" customFormat="1" ht="126" x14ac:dyDescent="0.25">
      <c r="A650" s="6">
        <v>647</v>
      </c>
      <c r="B650" s="31">
        <v>122485</v>
      </c>
      <c r="C650" s="11">
        <v>38</v>
      </c>
      <c r="D650" s="10" t="s">
        <v>141</v>
      </c>
      <c r="E650" s="10" t="s">
        <v>24</v>
      </c>
      <c r="F650" s="11" t="s">
        <v>26</v>
      </c>
      <c r="G650" s="27" t="s">
        <v>1719</v>
      </c>
      <c r="H650" s="8" t="s">
        <v>151</v>
      </c>
      <c r="I650" s="46" t="s">
        <v>27</v>
      </c>
      <c r="J650" s="25">
        <v>42488</v>
      </c>
      <c r="K650" s="25">
        <v>45288</v>
      </c>
      <c r="L650" s="26">
        <f t="shared" si="247"/>
        <v>84.695097599999997</v>
      </c>
      <c r="M650" s="11" t="s">
        <v>136</v>
      </c>
      <c r="N650" s="11" t="s">
        <v>261</v>
      </c>
      <c r="O650" s="11" t="s">
        <v>261</v>
      </c>
      <c r="P650" s="27" t="s">
        <v>138</v>
      </c>
      <c r="Q650" s="11" t="s">
        <v>25</v>
      </c>
      <c r="R650" s="2">
        <f t="shared" si="254"/>
        <v>16939019.52</v>
      </c>
      <c r="S650" s="2">
        <v>15963331.810000001</v>
      </c>
      <c r="T650" s="2">
        <v>975687.71</v>
      </c>
      <c r="U650" s="2">
        <f t="shared" si="258"/>
        <v>0</v>
      </c>
      <c r="V650" s="28">
        <v>0</v>
      </c>
      <c r="W650" s="28">
        <v>0</v>
      </c>
      <c r="X650" s="2">
        <f t="shared" si="255"/>
        <v>3060980.48</v>
      </c>
      <c r="Y650" s="2">
        <v>2817058.55</v>
      </c>
      <c r="Z650" s="2">
        <v>243921.93</v>
      </c>
      <c r="AA650" s="2">
        <f t="shared" si="256"/>
        <v>0</v>
      </c>
      <c r="AB650" s="2">
        <v>0</v>
      </c>
      <c r="AC650" s="2">
        <v>0</v>
      </c>
      <c r="AD650" s="16">
        <f t="shared" si="259"/>
        <v>20000000</v>
      </c>
      <c r="AE650" s="2">
        <v>200000</v>
      </c>
      <c r="AF650" s="2">
        <f t="shared" si="257"/>
        <v>20200000</v>
      </c>
      <c r="AG650" s="38" t="s">
        <v>486</v>
      </c>
      <c r="AH650" s="29" t="s">
        <v>852</v>
      </c>
      <c r="AI650" s="114">
        <f>367086.52+3723.41+1413.34+18873.79+125767.27+435205.03+779558.8</f>
        <v>1731628.1600000001</v>
      </c>
      <c r="AJ650" s="140">
        <v>0</v>
      </c>
    </row>
    <row r="651" spans="1:36" s="179" customFormat="1" ht="78.75" x14ac:dyDescent="0.25">
      <c r="A651" s="6">
        <v>648</v>
      </c>
      <c r="B651" s="31">
        <v>122484</v>
      </c>
      <c r="C651" s="11">
        <v>39</v>
      </c>
      <c r="D651" s="10" t="s">
        <v>140</v>
      </c>
      <c r="E651" s="10" t="s">
        <v>24</v>
      </c>
      <c r="F651" s="11" t="s">
        <v>29</v>
      </c>
      <c r="G651" s="27" t="s">
        <v>1719</v>
      </c>
      <c r="H651" s="8" t="s">
        <v>151</v>
      </c>
      <c r="I651" s="46" t="s">
        <v>30</v>
      </c>
      <c r="J651" s="25">
        <v>42488</v>
      </c>
      <c r="K651" s="25">
        <v>45288</v>
      </c>
      <c r="L651" s="26">
        <f t="shared" si="247"/>
        <v>84.695097596566526</v>
      </c>
      <c r="M651" s="11" t="s">
        <v>136</v>
      </c>
      <c r="N651" s="11" t="s">
        <v>261</v>
      </c>
      <c r="O651" s="11" t="s">
        <v>261</v>
      </c>
      <c r="P651" s="27" t="s">
        <v>138</v>
      </c>
      <c r="Q651" s="11" t="s">
        <v>28</v>
      </c>
      <c r="R651" s="2">
        <f t="shared" si="254"/>
        <v>59201873.219999999</v>
      </c>
      <c r="S651" s="2">
        <v>55791844.670000002</v>
      </c>
      <c r="T651" s="2">
        <v>3410028.55</v>
      </c>
      <c r="U651" s="2">
        <f t="shared" si="258"/>
        <v>0</v>
      </c>
      <c r="V651" s="28">
        <v>0</v>
      </c>
      <c r="W651" s="28">
        <v>0</v>
      </c>
      <c r="X651" s="2">
        <f t="shared" si="255"/>
        <v>10698126.780000001</v>
      </c>
      <c r="Y651" s="2">
        <v>9845619.6400000006</v>
      </c>
      <c r="Z651" s="2">
        <v>852507.14</v>
      </c>
      <c r="AA651" s="2">
        <f t="shared" si="256"/>
        <v>0</v>
      </c>
      <c r="AB651" s="2">
        <v>0</v>
      </c>
      <c r="AC651" s="2">
        <v>0</v>
      </c>
      <c r="AD651" s="16">
        <f t="shared" si="259"/>
        <v>69900000</v>
      </c>
      <c r="AE651" s="2">
        <v>600000</v>
      </c>
      <c r="AF651" s="2">
        <f t="shared" si="257"/>
        <v>70500000</v>
      </c>
      <c r="AG651" s="38" t="s">
        <v>486</v>
      </c>
      <c r="AH651" s="29" t="s">
        <v>853</v>
      </c>
      <c r="AI651" s="30">
        <f>1614958.09+116790.02+175736.29+210865.38+813289.51+430129.67+188786.97+358624.07+959420.67+326293.12+124245.52+1025867.42+58346.81+2159112.67+785570.42+410351.16+123324.41</f>
        <v>9881712.1999999993</v>
      </c>
      <c r="AJ651" s="130">
        <v>0</v>
      </c>
    </row>
    <row r="652" spans="1:36" s="179" customFormat="1" ht="63" x14ac:dyDescent="0.25">
      <c r="A652" s="6">
        <v>649</v>
      </c>
      <c r="B652" s="31">
        <v>122483</v>
      </c>
      <c r="C652" s="11">
        <v>40</v>
      </c>
      <c r="D652" s="10" t="s">
        <v>140</v>
      </c>
      <c r="E652" s="10" t="s">
        <v>24</v>
      </c>
      <c r="F652" s="11" t="s">
        <v>32</v>
      </c>
      <c r="G652" s="27" t="s">
        <v>1719</v>
      </c>
      <c r="H652" s="8" t="s">
        <v>151</v>
      </c>
      <c r="I652" s="46" t="s">
        <v>33</v>
      </c>
      <c r="J652" s="25">
        <v>42488</v>
      </c>
      <c r="K652" s="25">
        <v>45288</v>
      </c>
      <c r="L652" s="26">
        <f t="shared" si="247"/>
        <v>84.695097592232997</v>
      </c>
      <c r="M652" s="11" t="s">
        <v>136</v>
      </c>
      <c r="N652" s="11" t="s">
        <v>261</v>
      </c>
      <c r="O652" s="11" t="s">
        <v>261</v>
      </c>
      <c r="P652" s="27" t="s">
        <v>138</v>
      </c>
      <c r="Q652" s="11" t="s">
        <v>31</v>
      </c>
      <c r="R652" s="2">
        <f t="shared" si="254"/>
        <v>87235950.519999996</v>
      </c>
      <c r="S652" s="2">
        <v>82211158.810000002</v>
      </c>
      <c r="T652" s="2">
        <v>5024791.71</v>
      </c>
      <c r="U652" s="2">
        <f t="shared" si="258"/>
        <v>0</v>
      </c>
      <c r="V652" s="28">
        <v>0</v>
      </c>
      <c r="W652" s="28">
        <v>0</v>
      </c>
      <c r="X652" s="2">
        <f t="shared" si="255"/>
        <v>15764049.48</v>
      </c>
      <c r="Y652" s="2">
        <v>14507851.550000001</v>
      </c>
      <c r="Z652" s="2">
        <v>1256197.93</v>
      </c>
      <c r="AA652" s="2">
        <f t="shared" si="256"/>
        <v>0</v>
      </c>
      <c r="AB652" s="2">
        <v>0</v>
      </c>
      <c r="AC652" s="2">
        <v>0</v>
      </c>
      <c r="AD652" s="16">
        <f t="shared" si="259"/>
        <v>103000000</v>
      </c>
      <c r="AE652" s="2">
        <v>1936000</v>
      </c>
      <c r="AF652" s="2">
        <f t="shared" si="257"/>
        <v>104936000</v>
      </c>
      <c r="AG652" s="38" t="s">
        <v>486</v>
      </c>
      <c r="AH652" s="29" t="s">
        <v>1425</v>
      </c>
      <c r="AI652" s="30">
        <f>46170373.64+3216133.72+3120157.23+998090.22+1977329.86+2905223.94+2884858.16+3859504.78+959786.87+964395.13+955798.57+958617.23+952649.61+1945157.59</f>
        <v>71868076.549999997</v>
      </c>
      <c r="AJ652" s="130">
        <v>0</v>
      </c>
    </row>
    <row r="653" spans="1:36" s="179" customFormat="1" ht="409.5" x14ac:dyDescent="0.25">
      <c r="A653" s="6">
        <v>650</v>
      </c>
      <c r="B653" s="31">
        <v>109937</v>
      </c>
      <c r="C653" s="11">
        <v>162</v>
      </c>
      <c r="D653" s="11" t="s">
        <v>143</v>
      </c>
      <c r="E653" s="24" t="s">
        <v>270</v>
      </c>
      <c r="F653" s="11" t="s">
        <v>436</v>
      </c>
      <c r="G653" s="11" t="s">
        <v>271</v>
      </c>
      <c r="H653" s="8" t="s">
        <v>151</v>
      </c>
      <c r="I653" s="45" t="s">
        <v>437</v>
      </c>
      <c r="J653" s="25">
        <v>43173</v>
      </c>
      <c r="K653" s="25">
        <v>43660</v>
      </c>
      <c r="L653" s="26">
        <f t="shared" si="247"/>
        <v>82.304184778160604</v>
      </c>
      <c r="M653" s="11" t="s">
        <v>272</v>
      </c>
      <c r="N653" s="11" t="s">
        <v>261</v>
      </c>
      <c r="O653" s="11" t="s">
        <v>273</v>
      </c>
      <c r="P653" s="27" t="s">
        <v>274</v>
      </c>
      <c r="Q653" s="11" t="s">
        <v>34</v>
      </c>
      <c r="R653" s="2">
        <f t="shared" si="254"/>
        <v>762655.8600000001</v>
      </c>
      <c r="S653" s="2">
        <v>147617.44</v>
      </c>
      <c r="T653" s="2">
        <v>615038.42000000004</v>
      </c>
      <c r="U653" s="2">
        <f t="shared" si="258"/>
        <v>145442.25</v>
      </c>
      <c r="V653" s="28">
        <v>36906.06</v>
      </c>
      <c r="W653" s="28">
        <v>108536.19</v>
      </c>
      <c r="X653" s="2">
        <f t="shared" si="255"/>
        <v>0</v>
      </c>
      <c r="Y653" s="2">
        <v>0</v>
      </c>
      <c r="Z653" s="2">
        <v>0</v>
      </c>
      <c r="AA653" s="2">
        <f t="shared" si="256"/>
        <v>18532.61</v>
      </c>
      <c r="AB653" s="2">
        <v>3765.78</v>
      </c>
      <c r="AC653" s="2">
        <v>14766.83</v>
      </c>
      <c r="AD653" s="16">
        <f t="shared" si="259"/>
        <v>926630.72000000009</v>
      </c>
      <c r="AE653" s="2">
        <v>0</v>
      </c>
      <c r="AF653" s="2">
        <f t="shared" si="257"/>
        <v>926630.72000000009</v>
      </c>
      <c r="AG653" s="21" t="s">
        <v>857</v>
      </c>
      <c r="AH653" s="29"/>
      <c r="AI653" s="30">
        <f>340951.1+52774.1+61862.22+16616.16+1069.94+8813.14+48351.34+107449.24-8088.73+50503.68+13263.31-13913.75</f>
        <v>679651.75</v>
      </c>
      <c r="AJ653" s="30">
        <f>47349.74+21861.72+3168.79+9424.88+1680.7+20491.06+8088.73+2529.39+15017.84</f>
        <v>129612.84999999998</v>
      </c>
    </row>
    <row r="654" spans="1:36" s="179" customFormat="1" ht="189" x14ac:dyDescent="0.25">
      <c r="A654" s="6">
        <v>651</v>
      </c>
      <c r="B654" s="31">
        <v>112093</v>
      </c>
      <c r="C654" s="11">
        <v>344</v>
      </c>
      <c r="D654" s="11" t="s">
        <v>143</v>
      </c>
      <c r="E654" s="24" t="s">
        <v>270</v>
      </c>
      <c r="F654" s="11" t="s">
        <v>303</v>
      </c>
      <c r="G654" s="11" t="s">
        <v>1896</v>
      </c>
      <c r="H654" s="8" t="s">
        <v>151</v>
      </c>
      <c r="I654" s="12" t="s">
        <v>438</v>
      </c>
      <c r="J654" s="25">
        <v>43188</v>
      </c>
      <c r="K654" s="25">
        <v>43553</v>
      </c>
      <c r="L654" s="26">
        <f t="shared" si="247"/>
        <v>82.304184346141142</v>
      </c>
      <c r="M654" s="11" t="s">
        <v>272</v>
      </c>
      <c r="N654" s="11" t="s">
        <v>304</v>
      </c>
      <c r="O654" s="11" t="s">
        <v>304</v>
      </c>
      <c r="P654" s="27" t="s">
        <v>274</v>
      </c>
      <c r="Q654" s="11" t="s">
        <v>34</v>
      </c>
      <c r="R654" s="2">
        <f t="shared" si="254"/>
        <v>624137.28</v>
      </c>
      <c r="S654" s="2">
        <v>503312.34</v>
      </c>
      <c r="T654" s="2">
        <v>120824.94</v>
      </c>
      <c r="U654" s="2">
        <f t="shared" si="258"/>
        <v>119026.06000000001</v>
      </c>
      <c r="V654" s="28">
        <v>88819.82</v>
      </c>
      <c r="W654" s="28">
        <v>30206.240000000002</v>
      </c>
      <c r="X654" s="2">
        <f t="shared" si="255"/>
        <v>0</v>
      </c>
      <c r="Y654" s="2">
        <v>0</v>
      </c>
      <c r="Z654" s="2">
        <v>0</v>
      </c>
      <c r="AA654" s="2">
        <f t="shared" si="256"/>
        <v>15166.61</v>
      </c>
      <c r="AB654" s="2">
        <v>12084.34</v>
      </c>
      <c r="AC654" s="2">
        <v>3082.27</v>
      </c>
      <c r="AD654" s="16">
        <f t="shared" si="259"/>
        <v>758329.95000000007</v>
      </c>
      <c r="AE654" s="2">
        <v>0</v>
      </c>
      <c r="AF654" s="2">
        <f t="shared" si="257"/>
        <v>758329.95000000007</v>
      </c>
      <c r="AG654" s="21" t="s">
        <v>857</v>
      </c>
      <c r="AH654" s="29" t="s">
        <v>297</v>
      </c>
      <c r="AI654" s="30">
        <f>281863.03+67706.32-7048.99+70335.64+92451.16+65330.18-30787.09</f>
        <v>539850.25000000012</v>
      </c>
      <c r="AJ654" s="30">
        <f>53450.47+7048.99+3931.35+17630.9+12458.8+8431.63</f>
        <v>102952.14</v>
      </c>
    </row>
    <row r="655" spans="1:36" s="179" customFormat="1" ht="252" x14ac:dyDescent="0.25">
      <c r="A655" s="6">
        <v>652</v>
      </c>
      <c r="B655" s="31">
        <v>110829</v>
      </c>
      <c r="C655" s="11">
        <v>345</v>
      </c>
      <c r="D655" s="11" t="s">
        <v>143</v>
      </c>
      <c r="E655" s="24" t="s">
        <v>270</v>
      </c>
      <c r="F655" s="11" t="s">
        <v>305</v>
      </c>
      <c r="G655" s="11" t="s">
        <v>306</v>
      </c>
      <c r="H655" s="8" t="s">
        <v>151</v>
      </c>
      <c r="I655" s="12" t="s">
        <v>307</v>
      </c>
      <c r="J655" s="25">
        <v>43188</v>
      </c>
      <c r="K655" s="25">
        <v>43737</v>
      </c>
      <c r="L655" s="26">
        <f t="shared" si="247"/>
        <v>82.304186026137842</v>
      </c>
      <c r="M655" s="11" t="s">
        <v>272</v>
      </c>
      <c r="N655" s="11" t="s">
        <v>304</v>
      </c>
      <c r="O655" s="11" t="s">
        <v>304</v>
      </c>
      <c r="P655" s="27" t="s">
        <v>274</v>
      </c>
      <c r="Q655" s="11" t="s">
        <v>34</v>
      </c>
      <c r="R655" s="2">
        <f t="shared" si="254"/>
        <v>757586.23</v>
      </c>
      <c r="S655" s="2">
        <v>610927.28</v>
      </c>
      <c r="T655" s="2">
        <v>146658.95000000001</v>
      </c>
      <c r="U655" s="2">
        <f t="shared" si="258"/>
        <v>144475.43</v>
      </c>
      <c r="V655" s="28">
        <v>107810.7</v>
      </c>
      <c r="W655" s="28">
        <v>36664.730000000003</v>
      </c>
      <c r="X655" s="2">
        <f t="shared" si="255"/>
        <v>0</v>
      </c>
      <c r="Y655" s="2">
        <v>0</v>
      </c>
      <c r="Z655" s="2">
        <v>0</v>
      </c>
      <c r="AA655" s="2">
        <f t="shared" si="256"/>
        <v>18409.420000000002</v>
      </c>
      <c r="AB655" s="2">
        <v>14668.12</v>
      </c>
      <c r="AC655" s="2">
        <v>3741.3</v>
      </c>
      <c r="AD655" s="16">
        <f t="shared" si="259"/>
        <v>920471.08</v>
      </c>
      <c r="AE655" s="2">
        <v>0</v>
      </c>
      <c r="AF655" s="2">
        <f t="shared" si="257"/>
        <v>920471.08</v>
      </c>
      <c r="AG655" s="21" t="s">
        <v>857</v>
      </c>
      <c r="AH655" s="29" t="s">
        <v>297</v>
      </c>
      <c r="AI655" s="30">
        <f>89285.71-11964.69+140134-555.33+108178.82+21252.58+36085.35+107586.93+34575.24+28193.27+63018.42+70571.37</f>
        <v>686361.67</v>
      </c>
      <c r="AJ655" s="30">
        <f>11964.69+11960.22+17298.63+11541.66+4052.98+14039.69+5043.38+6593.66+21646.1+12017.89+14733.7</f>
        <v>130892.6</v>
      </c>
    </row>
    <row r="656" spans="1:36" s="179" customFormat="1" ht="173.25" x14ac:dyDescent="0.25">
      <c r="A656" s="6">
        <v>653</v>
      </c>
      <c r="B656" s="31">
        <v>111077</v>
      </c>
      <c r="C656" s="11">
        <v>352</v>
      </c>
      <c r="D656" s="11" t="s">
        <v>143</v>
      </c>
      <c r="E656" s="24" t="s">
        <v>270</v>
      </c>
      <c r="F656" s="11" t="s">
        <v>308</v>
      </c>
      <c r="G656" s="11" t="s">
        <v>309</v>
      </c>
      <c r="H656" s="8" t="s">
        <v>151</v>
      </c>
      <c r="I656" s="12" t="s">
        <v>310</v>
      </c>
      <c r="J656" s="25">
        <v>43188</v>
      </c>
      <c r="K656" s="25">
        <v>43675</v>
      </c>
      <c r="L656" s="26">
        <f t="shared" si="247"/>
        <v>82.304186243592014</v>
      </c>
      <c r="M656" s="11" t="s">
        <v>272</v>
      </c>
      <c r="N656" s="11" t="s">
        <v>304</v>
      </c>
      <c r="O656" s="11" t="s">
        <v>304</v>
      </c>
      <c r="P656" s="27" t="s">
        <v>274</v>
      </c>
      <c r="Q656" s="11" t="s">
        <v>34</v>
      </c>
      <c r="R656" s="2">
        <f t="shared" si="254"/>
        <v>704316.51</v>
      </c>
      <c r="S656" s="2">
        <v>567969.9</v>
      </c>
      <c r="T656" s="2">
        <v>136346.60999999999</v>
      </c>
      <c r="U656" s="2">
        <f t="shared" si="258"/>
        <v>134316.63</v>
      </c>
      <c r="V656" s="28">
        <v>100229.98</v>
      </c>
      <c r="W656" s="28">
        <v>34086.65</v>
      </c>
      <c r="X656" s="2">
        <f t="shared" si="255"/>
        <v>0</v>
      </c>
      <c r="Y656" s="2">
        <v>0</v>
      </c>
      <c r="Z656" s="2">
        <v>0</v>
      </c>
      <c r="AA656" s="2">
        <f t="shared" si="256"/>
        <v>17114.96</v>
      </c>
      <c r="AB656" s="2">
        <v>13636.73</v>
      </c>
      <c r="AC656" s="2">
        <v>3478.23</v>
      </c>
      <c r="AD656" s="16">
        <f t="shared" si="259"/>
        <v>855748.1</v>
      </c>
      <c r="AE656" s="2"/>
      <c r="AF656" s="2">
        <f t="shared" si="257"/>
        <v>855748.1</v>
      </c>
      <c r="AG656" s="21" t="s">
        <v>857</v>
      </c>
      <c r="AH656" s="29" t="s">
        <v>297</v>
      </c>
      <c r="AI656" s="30">
        <f>85000+43282.16-11040.21+106472.55+153782.22-13315.84+83140.14+113279.69+50909.88+28913.1</f>
        <v>640423.68999999994</v>
      </c>
      <c r="AJ656" s="30">
        <f>8254.12+14104.5+20304.84+13117.11+13315.84+21603+25918.68+5513.87</f>
        <v>122131.95999999999</v>
      </c>
    </row>
    <row r="657" spans="1:36" s="179" customFormat="1" ht="204.75" x14ac:dyDescent="0.25">
      <c r="A657" s="6">
        <v>654</v>
      </c>
      <c r="B657" s="31">
        <v>111631</v>
      </c>
      <c r="C657" s="11">
        <v>170</v>
      </c>
      <c r="D657" s="11" t="s">
        <v>143</v>
      </c>
      <c r="E657" s="24" t="s">
        <v>270</v>
      </c>
      <c r="F657" s="11" t="s">
        <v>311</v>
      </c>
      <c r="G657" s="11" t="s">
        <v>312</v>
      </c>
      <c r="H657" s="11" t="s">
        <v>313</v>
      </c>
      <c r="I657" s="12" t="s">
        <v>1203</v>
      </c>
      <c r="J657" s="25">
        <v>43189</v>
      </c>
      <c r="K657" s="25">
        <v>43676</v>
      </c>
      <c r="L657" s="26">
        <f t="shared" si="247"/>
        <v>82.304185177297953</v>
      </c>
      <c r="M657" s="11" t="s">
        <v>272</v>
      </c>
      <c r="N657" s="11" t="s">
        <v>304</v>
      </c>
      <c r="O657" s="11" t="s">
        <v>304</v>
      </c>
      <c r="P657" s="27" t="s">
        <v>274</v>
      </c>
      <c r="Q657" s="11" t="s">
        <v>34</v>
      </c>
      <c r="R657" s="2">
        <f t="shared" si="254"/>
        <v>822209.74</v>
      </c>
      <c r="S657" s="2">
        <v>663040.52</v>
      </c>
      <c r="T657" s="2">
        <v>159169.22</v>
      </c>
      <c r="U657" s="2">
        <f t="shared" si="258"/>
        <v>156799.45000000001</v>
      </c>
      <c r="V657" s="28">
        <v>117007.15</v>
      </c>
      <c r="W657" s="28">
        <v>39792.300000000003</v>
      </c>
      <c r="X657" s="2">
        <v>0</v>
      </c>
      <c r="Y657" s="2">
        <v>0</v>
      </c>
      <c r="Z657" s="2">
        <v>0</v>
      </c>
      <c r="AA657" s="2">
        <f t="shared" si="256"/>
        <v>19979.79</v>
      </c>
      <c r="AB657" s="2">
        <v>15919.35</v>
      </c>
      <c r="AC657" s="2">
        <v>4060.44</v>
      </c>
      <c r="AD657" s="16">
        <f t="shared" si="259"/>
        <v>998988.98</v>
      </c>
      <c r="AE657" s="2"/>
      <c r="AF657" s="2">
        <f t="shared" si="257"/>
        <v>998988.98</v>
      </c>
      <c r="AG657" s="21" t="s">
        <v>857</v>
      </c>
      <c r="AH657" s="29" t="s">
        <v>297</v>
      </c>
      <c r="AI657" s="30">
        <f>754429.65-15109.91</f>
        <v>739319.74</v>
      </c>
      <c r="AJ657" s="30">
        <f>3863.19+15778.83+29070.82+6799.58+5078.36+35041.94+6132.52+4911.69+2424.38+19247+12643.54</f>
        <v>140991.85</v>
      </c>
    </row>
    <row r="658" spans="1:36" s="179" customFormat="1" ht="141.75" x14ac:dyDescent="0.25">
      <c r="A658" s="6">
        <v>655</v>
      </c>
      <c r="B658" s="31">
        <v>112405</v>
      </c>
      <c r="C658" s="11">
        <v>171</v>
      </c>
      <c r="D658" s="11" t="s">
        <v>143</v>
      </c>
      <c r="E658" s="24" t="s">
        <v>270</v>
      </c>
      <c r="F658" s="11" t="s">
        <v>314</v>
      </c>
      <c r="G658" s="11" t="s">
        <v>315</v>
      </c>
      <c r="H658" s="11" t="s">
        <v>316</v>
      </c>
      <c r="I658" s="12" t="s">
        <v>1355</v>
      </c>
      <c r="J658" s="25">
        <v>43186</v>
      </c>
      <c r="K658" s="25">
        <v>43673</v>
      </c>
      <c r="L658" s="26">
        <f t="shared" si="247"/>
        <v>82.304185365731513</v>
      </c>
      <c r="M658" s="11" t="s">
        <v>272</v>
      </c>
      <c r="N658" s="11" t="s">
        <v>304</v>
      </c>
      <c r="O658" s="11" t="s">
        <v>304</v>
      </c>
      <c r="P658" s="27" t="s">
        <v>274</v>
      </c>
      <c r="Q658" s="11" t="s">
        <v>34</v>
      </c>
      <c r="R658" s="2">
        <f t="shared" si="254"/>
        <v>723131.98</v>
      </c>
      <c r="S658" s="2">
        <v>583142.93999999994</v>
      </c>
      <c r="T658" s="2">
        <v>139989.04</v>
      </c>
      <c r="U658" s="2">
        <f t="shared" si="258"/>
        <v>137904.84</v>
      </c>
      <c r="V658" s="28">
        <v>102907.58</v>
      </c>
      <c r="W658" s="28">
        <v>34997.26</v>
      </c>
      <c r="X658" s="2">
        <f t="shared" si="255"/>
        <v>0</v>
      </c>
      <c r="Y658" s="2">
        <v>0</v>
      </c>
      <c r="Z658" s="2">
        <v>0</v>
      </c>
      <c r="AA658" s="2">
        <f t="shared" si="256"/>
        <v>17572.18</v>
      </c>
      <c r="AB658" s="2">
        <v>14001.03</v>
      </c>
      <c r="AC658" s="2">
        <v>3571.15</v>
      </c>
      <c r="AD658" s="16">
        <f t="shared" si="259"/>
        <v>878609</v>
      </c>
      <c r="AE658" s="2"/>
      <c r="AF658" s="2">
        <f t="shared" si="257"/>
        <v>878609</v>
      </c>
      <c r="AG658" s="21" t="s">
        <v>857</v>
      </c>
      <c r="AH658" s="29"/>
      <c r="AI658" s="30">
        <f>208329.69+72239-12893.42+110533+33743.88+27302.86+184981.92+10195.84+16264.07</f>
        <v>650696.84</v>
      </c>
      <c r="AJ658" s="30">
        <f>36750.34+12893.42+5726.93+6435.14+21177.89+19305.83+1944.4+19857.12</f>
        <v>124091.06999999999</v>
      </c>
    </row>
    <row r="659" spans="1:36" s="179" customFormat="1" ht="141.75" x14ac:dyDescent="0.25">
      <c r="A659" s="6">
        <v>656</v>
      </c>
      <c r="B659" s="31">
        <v>109810</v>
      </c>
      <c r="C659" s="11">
        <v>257</v>
      </c>
      <c r="D659" s="11" t="s">
        <v>143</v>
      </c>
      <c r="E659" s="24" t="s">
        <v>270</v>
      </c>
      <c r="F659" s="11" t="s">
        <v>317</v>
      </c>
      <c r="G659" s="11" t="s">
        <v>318</v>
      </c>
      <c r="H659" s="8" t="s">
        <v>151</v>
      </c>
      <c r="I659" s="12" t="s">
        <v>325</v>
      </c>
      <c r="J659" s="25">
        <v>43192</v>
      </c>
      <c r="K659" s="25">
        <v>43679</v>
      </c>
      <c r="L659" s="26">
        <f t="shared" si="247"/>
        <v>82.304188283311021</v>
      </c>
      <c r="M659" s="11" t="s">
        <v>272</v>
      </c>
      <c r="N659" s="11" t="s">
        <v>304</v>
      </c>
      <c r="O659" s="11" t="s">
        <v>304</v>
      </c>
      <c r="P659" s="27" t="s">
        <v>274</v>
      </c>
      <c r="Q659" s="11" t="s">
        <v>34</v>
      </c>
      <c r="R659" s="2">
        <f t="shared" si="254"/>
        <v>821139.01</v>
      </c>
      <c r="S659" s="1">
        <v>662177.06999999995</v>
      </c>
      <c r="T659" s="1">
        <v>158961.94</v>
      </c>
      <c r="U659" s="2">
        <f t="shared" si="258"/>
        <v>156595.26</v>
      </c>
      <c r="V659" s="28">
        <v>116854.78</v>
      </c>
      <c r="W659" s="28">
        <v>39740.480000000003</v>
      </c>
      <c r="X659" s="2">
        <f t="shared" si="255"/>
        <v>0</v>
      </c>
      <c r="Y659" s="2">
        <v>0</v>
      </c>
      <c r="Z659" s="2">
        <v>0</v>
      </c>
      <c r="AA659" s="2">
        <f t="shared" si="256"/>
        <v>19953.73</v>
      </c>
      <c r="AB659" s="2">
        <v>15898.58</v>
      </c>
      <c r="AC659" s="2">
        <v>4055.15</v>
      </c>
      <c r="AD659" s="16">
        <f t="shared" si="259"/>
        <v>997688</v>
      </c>
      <c r="AE659" s="2"/>
      <c r="AF659" s="2">
        <f t="shared" si="257"/>
        <v>997688</v>
      </c>
      <c r="AG659" s="21" t="s">
        <v>857</v>
      </c>
      <c r="AH659" s="29"/>
      <c r="AI659" s="30">
        <v>768017.32</v>
      </c>
      <c r="AJ659" s="30">
        <v>146464.70000000001</v>
      </c>
    </row>
    <row r="660" spans="1:36" s="179" customFormat="1" ht="141.75" x14ac:dyDescent="0.25">
      <c r="A660" s="6">
        <v>657</v>
      </c>
      <c r="B660" s="31">
        <v>112956</v>
      </c>
      <c r="C660" s="11">
        <v>273</v>
      </c>
      <c r="D660" s="11" t="s">
        <v>143</v>
      </c>
      <c r="E660" s="24" t="s">
        <v>270</v>
      </c>
      <c r="F660" s="11" t="s">
        <v>319</v>
      </c>
      <c r="G660" s="70" t="s">
        <v>320</v>
      </c>
      <c r="H660" s="11" t="s">
        <v>321</v>
      </c>
      <c r="I660" s="12" t="s">
        <v>439</v>
      </c>
      <c r="J660" s="25">
        <v>43192</v>
      </c>
      <c r="K660" s="25">
        <v>43679</v>
      </c>
      <c r="L660" s="26">
        <f t="shared" si="247"/>
        <v>82.304175027233867</v>
      </c>
      <c r="M660" s="11" t="s">
        <v>272</v>
      </c>
      <c r="N660" s="11" t="s">
        <v>304</v>
      </c>
      <c r="O660" s="11" t="s">
        <v>304</v>
      </c>
      <c r="P660" s="27" t="s">
        <v>274</v>
      </c>
      <c r="Q660" s="11" t="s">
        <v>34</v>
      </c>
      <c r="R660" s="2">
        <f t="shared" si="254"/>
        <v>710350.38</v>
      </c>
      <c r="S660" s="2">
        <v>572835.76</v>
      </c>
      <c r="T660" s="2">
        <v>137514.62</v>
      </c>
      <c r="U660" s="2">
        <f t="shared" si="258"/>
        <v>135467.44</v>
      </c>
      <c r="V660" s="28">
        <v>101088.74</v>
      </c>
      <c r="W660" s="28">
        <v>34378.699999999997</v>
      </c>
      <c r="X660" s="2">
        <f t="shared" si="255"/>
        <v>0</v>
      </c>
      <c r="Y660" s="2">
        <v>0</v>
      </c>
      <c r="Z660" s="2">
        <v>0</v>
      </c>
      <c r="AA660" s="2">
        <f t="shared" si="256"/>
        <v>17261.579999999998</v>
      </c>
      <c r="AB660" s="2">
        <v>13753.55</v>
      </c>
      <c r="AC660" s="2">
        <v>3508.03</v>
      </c>
      <c r="AD660" s="16">
        <f t="shared" si="259"/>
        <v>863079.4</v>
      </c>
      <c r="AE660" s="2"/>
      <c r="AF660" s="2">
        <f t="shared" si="257"/>
        <v>863079.4</v>
      </c>
      <c r="AG660" s="21" t="s">
        <v>857</v>
      </c>
      <c r="AH660" s="29" t="s">
        <v>151</v>
      </c>
      <c r="AI660" s="30">
        <f>629253.72-17069.05</f>
        <v>612184.66999999993</v>
      </c>
      <c r="AJ660" s="30">
        <f>109991.49+6755.11</f>
        <v>116746.6</v>
      </c>
    </row>
    <row r="661" spans="1:36" s="179" customFormat="1" ht="173.25" x14ac:dyDescent="0.25">
      <c r="A661" s="6">
        <v>658</v>
      </c>
      <c r="B661" s="31">
        <v>112066</v>
      </c>
      <c r="C661" s="11">
        <v>262</v>
      </c>
      <c r="D661" s="11" t="s">
        <v>143</v>
      </c>
      <c r="E661" s="24" t="s">
        <v>270</v>
      </c>
      <c r="F661" s="11" t="s">
        <v>322</v>
      </c>
      <c r="G661" s="11" t="s">
        <v>323</v>
      </c>
      <c r="H661" s="11" t="s">
        <v>324</v>
      </c>
      <c r="I661" s="12" t="s">
        <v>440</v>
      </c>
      <c r="J661" s="25">
        <v>43193</v>
      </c>
      <c r="K661" s="25">
        <v>43680</v>
      </c>
      <c r="L661" s="26">
        <f t="shared" si="247"/>
        <v>82.304184459884823</v>
      </c>
      <c r="M661" s="11" t="s">
        <v>272</v>
      </c>
      <c r="N661" s="11" t="s">
        <v>304</v>
      </c>
      <c r="O661" s="11" t="s">
        <v>304</v>
      </c>
      <c r="P661" s="27" t="s">
        <v>274</v>
      </c>
      <c r="Q661" s="11" t="s">
        <v>34</v>
      </c>
      <c r="R661" s="2">
        <f t="shared" si="254"/>
        <v>822673.27</v>
      </c>
      <c r="S661" s="2">
        <v>663414.31999999995</v>
      </c>
      <c r="T661" s="2">
        <v>159258.95000000001</v>
      </c>
      <c r="U661" s="2">
        <f t="shared" si="258"/>
        <v>156887.87</v>
      </c>
      <c r="V661" s="28">
        <v>117073.13</v>
      </c>
      <c r="W661" s="28">
        <v>39814.74</v>
      </c>
      <c r="X661" s="2">
        <f t="shared" si="255"/>
        <v>0</v>
      </c>
      <c r="Y661" s="2">
        <v>0</v>
      </c>
      <c r="Z661" s="2">
        <v>0</v>
      </c>
      <c r="AA661" s="2">
        <f t="shared" si="256"/>
        <v>19991.04</v>
      </c>
      <c r="AB661" s="2">
        <v>15928.31</v>
      </c>
      <c r="AC661" s="2">
        <v>4062.73</v>
      </c>
      <c r="AD661" s="16">
        <f t="shared" si="259"/>
        <v>999552.18</v>
      </c>
      <c r="AE661" s="2"/>
      <c r="AF661" s="2">
        <f t="shared" si="257"/>
        <v>999552.18</v>
      </c>
      <c r="AG661" s="21" t="s">
        <v>857</v>
      </c>
      <c r="AH661" s="29" t="s">
        <v>151</v>
      </c>
      <c r="AI661" s="30">
        <v>639101.23</v>
      </c>
      <c r="AJ661" s="30">
        <v>121879.75</v>
      </c>
    </row>
    <row r="662" spans="1:36" s="179" customFormat="1" ht="220.5" x14ac:dyDescent="0.25">
      <c r="A662" s="6">
        <v>659</v>
      </c>
      <c r="B662" s="31">
        <v>121460</v>
      </c>
      <c r="C662" s="11">
        <v>59</v>
      </c>
      <c r="D662" s="11" t="s">
        <v>143</v>
      </c>
      <c r="E662" s="24" t="s">
        <v>110</v>
      </c>
      <c r="F662" s="27" t="s">
        <v>339</v>
      </c>
      <c r="G662" s="27" t="s">
        <v>1719</v>
      </c>
      <c r="H662" s="8" t="s">
        <v>151</v>
      </c>
      <c r="I662" s="12" t="s">
        <v>340</v>
      </c>
      <c r="J662" s="25">
        <v>43207</v>
      </c>
      <c r="K662" s="25">
        <v>44668</v>
      </c>
      <c r="L662" s="26">
        <f t="shared" si="247"/>
        <v>83.983863902506371</v>
      </c>
      <c r="M662" s="11" t="s">
        <v>272</v>
      </c>
      <c r="N662" s="11" t="s">
        <v>304</v>
      </c>
      <c r="O662" s="11" t="s">
        <v>304</v>
      </c>
      <c r="P662" s="27" t="s">
        <v>138</v>
      </c>
      <c r="Q662" s="11" t="s">
        <v>34</v>
      </c>
      <c r="R662" s="2">
        <f t="shared" si="254"/>
        <v>5246578.1000000006</v>
      </c>
      <c r="S662" s="2">
        <v>4230908.1500000004</v>
      </c>
      <c r="T662" s="2">
        <v>1015669.95</v>
      </c>
      <c r="U662" s="2">
        <f t="shared" si="258"/>
        <v>0</v>
      </c>
      <c r="V662" s="28">
        <v>0</v>
      </c>
      <c r="W662" s="28">
        <v>0</v>
      </c>
      <c r="X662" s="2">
        <f t="shared" si="255"/>
        <v>1000548.26</v>
      </c>
      <c r="Y662" s="1">
        <v>746630.76</v>
      </c>
      <c r="Z662" s="2">
        <v>253917.5</v>
      </c>
      <c r="AA662" s="2">
        <f t="shared" si="256"/>
        <v>0</v>
      </c>
      <c r="AB662" s="2">
        <v>0</v>
      </c>
      <c r="AC662" s="2">
        <v>0</v>
      </c>
      <c r="AD662" s="16">
        <f t="shared" si="259"/>
        <v>6247126.3600000003</v>
      </c>
      <c r="AE662" s="2">
        <v>0</v>
      </c>
      <c r="AF662" s="2">
        <f t="shared" si="257"/>
        <v>6247126.3600000003</v>
      </c>
      <c r="AG662" s="38" t="s">
        <v>857</v>
      </c>
      <c r="AH662" s="29" t="s">
        <v>1782</v>
      </c>
      <c r="AI662" s="30">
        <f>897869.37+243536.81+342862.59+163687.91+133787.93+199729.63+414691.86+1295679.16+735599.8</f>
        <v>4427445.0599999996</v>
      </c>
      <c r="AJ662" s="30">
        <v>0</v>
      </c>
    </row>
    <row r="663" spans="1:36" s="179" customFormat="1" ht="173.25" x14ac:dyDescent="0.25">
      <c r="A663" s="6">
        <v>660</v>
      </c>
      <c r="B663" s="31">
        <v>109749</v>
      </c>
      <c r="C663" s="11">
        <v>253</v>
      </c>
      <c r="D663" s="11" t="s">
        <v>143</v>
      </c>
      <c r="E663" s="24" t="s">
        <v>270</v>
      </c>
      <c r="F663" s="27" t="s">
        <v>328</v>
      </c>
      <c r="G663" s="141" t="s">
        <v>329</v>
      </c>
      <c r="H663" s="8" t="s">
        <v>151</v>
      </c>
      <c r="I663" s="12" t="s">
        <v>441</v>
      </c>
      <c r="J663" s="25">
        <v>43208</v>
      </c>
      <c r="K663" s="25">
        <v>43695</v>
      </c>
      <c r="L663" s="26">
        <f t="shared" si="247"/>
        <v>82.304185790916577</v>
      </c>
      <c r="M663" s="11" t="s">
        <v>272</v>
      </c>
      <c r="N663" s="11" t="s">
        <v>361</v>
      </c>
      <c r="O663" s="11" t="s">
        <v>361</v>
      </c>
      <c r="P663" s="27" t="s">
        <v>274</v>
      </c>
      <c r="Q663" s="11" t="s">
        <v>34</v>
      </c>
      <c r="R663" s="2">
        <f t="shared" si="254"/>
        <v>808649.72</v>
      </c>
      <c r="S663" s="1">
        <v>652105.54</v>
      </c>
      <c r="T663" s="1">
        <v>156544.18</v>
      </c>
      <c r="U663" s="2">
        <f t="shared" si="258"/>
        <v>154213.49</v>
      </c>
      <c r="V663" s="28">
        <v>115077.45</v>
      </c>
      <c r="W663" s="28">
        <v>39136.04</v>
      </c>
      <c r="X663" s="2">
        <f t="shared" si="255"/>
        <v>0</v>
      </c>
      <c r="Y663" s="2">
        <v>0</v>
      </c>
      <c r="Z663" s="2">
        <v>0</v>
      </c>
      <c r="AA663" s="2">
        <f t="shared" si="256"/>
        <v>19650.27</v>
      </c>
      <c r="AB663" s="2">
        <v>15656.8</v>
      </c>
      <c r="AC663" s="2">
        <v>3993.47</v>
      </c>
      <c r="AD663" s="16">
        <f t="shared" si="259"/>
        <v>982513.48</v>
      </c>
      <c r="AE663" s="2"/>
      <c r="AF663" s="2">
        <f t="shared" si="257"/>
        <v>982513.48</v>
      </c>
      <c r="AG663" s="21" t="s">
        <v>857</v>
      </c>
      <c r="AH663" s="29"/>
      <c r="AI663" s="30">
        <f>320855.76+13409.42+153292.16+833.72+98250+85029.68+131034.25-5408.6</f>
        <v>797296.39</v>
      </c>
      <c r="AJ663" s="30">
        <f>63706.03+10496.81+18895.75+16215.58+24988.88+17705.3</f>
        <v>152008.34999999998</v>
      </c>
    </row>
    <row r="664" spans="1:36" s="179" customFormat="1" ht="204.75" x14ac:dyDescent="0.25">
      <c r="A664" s="6">
        <v>661</v>
      </c>
      <c r="B664" s="31">
        <v>109967</v>
      </c>
      <c r="C664" s="11">
        <v>177</v>
      </c>
      <c r="D664" s="11" t="s">
        <v>143</v>
      </c>
      <c r="E664" s="24" t="s">
        <v>270</v>
      </c>
      <c r="F664" s="27" t="s">
        <v>334</v>
      </c>
      <c r="G664" s="11" t="s">
        <v>335</v>
      </c>
      <c r="H664" s="8" t="s">
        <v>151</v>
      </c>
      <c r="I664" s="12" t="s">
        <v>442</v>
      </c>
      <c r="J664" s="25">
        <v>43208</v>
      </c>
      <c r="K664" s="25">
        <v>43695</v>
      </c>
      <c r="L664" s="26">
        <f t="shared" si="247"/>
        <v>82.304184597190911</v>
      </c>
      <c r="M664" s="11" t="s">
        <v>272</v>
      </c>
      <c r="N664" s="11" t="s">
        <v>304</v>
      </c>
      <c r="O664" s="11" t="s">
        <v>304</v>
      </c>
      <c r="P664" s="27" t="s">
        <v>274</v>
      </c>
      <c r="Q664" s="11" t="s">
        <v>34</v>
      </c>
      <c r="R664" s="2">
        <f t="shared" si="254"/>
        <v>804452.45</v>
      </c>
      <c r="S664" s="2">
        <v>648720.82999999996</v>
      </c>
      <c r="T664" s="2">
        <v>155731.62</v>
      </c>
      <c r="U664" s="2">
        <f t="shared" si="258"/>
        <v>153413.06</v>
      </c>
      <c r="V664" s="28">
        <v>114480.15</v>
      </c>
      <c r="W664" s="28">
        <v>38932.910000000003</v>
      </c>
      <c r="X664" s="2">
        <f t="shared" si="255"/>
        <v>0</v>
      </c>
      <c r="Y664" s="142">
        <v>0</v>
      </c>
      <c r="Z664" s="142">
        <v>0</v>
      </c>
      <c r="AA664" s="2">
        <f t="shared" si="256"/>
        <v>19548.28</v>
      </c>
      <c r="AB664" s="2">
        <v>15575.51</v>
      </c>
      <c r="AC664" s="2">
        <v>3972.77</v>
      </c>
      <c r="AD664" s="16">
        <f t="shared" si="259"/>
        <v>977413.79</v>
      </c>
      <c r="AE664" s="2"/>
      <c r="AF664" s="2">
        <f t="shared" si="257"/>
        <v>977413.79</v>
      </c>
      <c r="AG664" s="21" t="s">
        <v>857</v>
      </c>
      <c r="AH664" s="29" t="s">
        <v>1050</v>
      </c>
      <c r="AI664" s="30">
        <f>312590.47-8868.28+88856.3+55475.75+73233.76+50351.94+43692.49-8964.67+55972.79-7971.42+22143.49</f>
        <v>676512.61999999988</v>
      </c>
      <c r="AJ664" s="30">
        <f>40972.78+16948.54+8885.07+13966.04+9602.34+8332.37+8964.67+7971.42+13371.02</f>
        <v>129014.24999999999</v>
      </c>
    </row>
    <row r="665" spans="1:36" s="179" customFormat="1" ht="157.5" x14ac:dyDescent="0.25">
      <c r="A665" s="6">
        <v>662</v>
      </c>
      <c r="B665" s="31">
        <v>112811</v>
      </c>
      <c r="C665" s="11">
        <v>196</v>
      </c>
      <c r="D665" s="11" t="s">
        <v>143</v>
      </c>
      <c r="E665" s="24" t="s">
        <v>270</v>
      </c>
      <c r="F665" s="27" t="s">
        <v>336</v>
      </c>
      <c r="G665" s="11" t="s">
        <v>337</v>
      </c>
      <c r="H665" s="8" t="s">
        <v>151</v>
      </c>
      <c r="I665" s="12" t="s">
        <v>338</v>
      </c>
      <c r="J665" s="25">
        <v>43208</v>
      </c>
      <c r="K665" s="25">
        <v>43573</v>
      </c>
      <c r="L665" s="26">
        <f t="shared" si="247"/>
        <v>82.304184666338784</v>
      </c>
      <c r="M665" s="11" t="s">
        <v>272</v>
      </c>
      <c r="N665" s="11" t="s">
        <v>304</v>
      </c>
      <c r="O665" s="11" t="s">
        <v>304</v>
      </c>
      <c r="P665" s="27" t="s">
        <v>274</v>
      </c>
      <c r="Q665" s="11" t="s">
        <v>34</v>
      </c>
      <c r="R665" s="2">
        <f t="shared" si="254"/>
        <v>760931.29</v>
      </c>
      <c r="S665" s="2">
        <v>613624.79</v>
      </c>
      <c r="T665" s="2">
        <v>147306.5</v>
      </c>
      <c r="U665" s="2">
        <f t="shared" si="258"/>
        <v>145113.35999999999</v>
      </c>
      <c r="V665" s="28">
        <v>108286.73</v>
      </c>
      <c r="W665" s="28">
        <v>36826.629999999997</v>
      </c>
      <c r="X665" s="2">
        <f t="shared" si="255"/>
        <v>0</v>
      </c>
      <c r="Y665" s="2">
        <v>0</v>
      </c>
      <c r="Z665" s="2">
        <v>0</v>
      </c>
      <c r="AA665" s="2">
        <f t="shared" si="256"/>
        <v>18490.71</v>
      </c>
      <c r="AB665" s="2">
        <v>14732.89</v>
      </c>
      <c r="AC665" s="2">
        <v>3757.82</v>
      </c>
      <c r="AD665" s="16">
        <f t="shared" si="259"/>
        <v>924535.36</v>
      </c>
      <c r="AE665" s="2"/>
      <c r="AF665" s="2">
        <f t="shared" si="257"/>
        <v>924535.36</v>
      </c>
      <c r="AG665" s="21" t="s">
        <v>857</v>
      </c>
      <c r="AH665" s="29"/>
      <c r="AI665" s="30">
        <f>91800+75057.16+74073.77+121742.1-7175.16+205568.39+83432.56-15293.57</f>
        <v>629205.25000000012</v>
      </c>
      <c r="AJ665" s="30">
        <f>14189.24+14126.23+23216.82+16262.9+21571.65+15911+14714.69</f>
        <v>119992.53</v>
      </c>
    </row>
    <row r="666" spans="1:36" s="179" customFormat="1" ht="299.25" x14ac:dyDescent="0.25">
      <c r="A666" s="6">
        <v>663</v>
      </c>
      <c r="B666" s="31">
        <v>112080</v>
      </c>
      <c r="C666" s="11">
        <v>354</v>
      </c>
      <c r="D666" s="11" t="s">
        <v>143</v>
      </c>
      <c r="E666" s="24" t="s">
        <v>270</v>
      </c>
      <c r="F666" s="27" t="s">
        <v>346</v>
      </c>
      <c r="G666" s="27" t="s">
        <v>345</v>
      </c>
      <c r="H666" s="8" t="s">
        <v>151</v>
      </c>
      <c r="I666" s="12" t="s">
        <v>443</v>
      </c>
      <c r="J666" s="25">
        <v>43214</v>
      </c>
      <c r="K666" s="25">
        <v>43793</v>
      </c>
      <c r="L666" s="26">
        <f t="shared" si="247"/>
        <v>82.304185109241828</v>
      </c>
      <c r="M666" s="11" t="s">
        <v>272</v>
      </c>
      <c r="N666" s="11" t="s">
        <v>304</v>
      </c>
      <c r="O666" s="11" t="s">
        <v>304</v>
      </c>
      <c r="P666" s="27" t="s">
        <v>274</v>
      </c>
      <c r="Q666" s="11" t="s">
        <v>34</v>
      </c>
      <c r="R666" s="2">
        <f t="shared" si="254"/>
        <v>570578.29</v>
      </c>
      <c r="S666" s="2">
        <v>460121.68</v>
      </c>
      <c r="T666" s="2">
        <v>110456.61</v>
      </c>
      <c r="U666" s="2">
        <f t="shared" si="258"/>
        <v>108812.1</v>
      </c>
      <c r="V666" s="28">
        <v>81197.94</v>
      </c>
      <c r="W666" s="28">
        <v>27614.16</v>
      </c>
      <c r="X666" s="2">
        <f t="shared" si="255"/>
        <v>0</v>
      </c>
      <c r="Y666" s="2">
        <v>0</v>
      </c>
      <c r="Z666" s="2">
        <v>0</v>
      </c>
      <c r="AA666" s="2">
        <f t="shared" si="256"/>
        <v>13865.11</v>
      </c>
      <c r="AB666" s="2">
        <v>11047.34</v>
      </c>
      <c r="AC666" s="2">
        <v>2817.77</v>
      </c>
      <c r="AD666" s="16">
        <f t="shared" si="259"/>
        <v>693255.5</v>
      </c>
      <c r="AE666" s="2">
        <v>0</v>
      </c>
      <c r="AF666" s="2">
        <f t="shared" si="257"/>
        <v>693255.5</v>
      </c>
      <c r="AG666" s="21" t="s">
        <v>857</v>
      </c>
      <c r="AH666" s="29" t="s">
        <v>1184</v>
      </c>
      <c r="AI666" s="30">
        <f>314971.26+69325.55+97282.65-5135.32</f>
        <v>476444.13999999996</v>
      </c>
      <c r="AJ666" s="30">
        <f>60066.57+25498.8+5294.87</f>
        <v>90860.239999999991</v>
      </c>
    </row>
    <row r="667" spans="1:36" s="179" customFormat="1" ht="173.25" x14ac:dyDescent="0.25">
      <c r="A667" s="6">
        <v>664</v>
      </c>
      <c r="B667" s="31">
        <v>111113</v>
      </c>
      <c r="C667" s="11">
        <v>252</v>
      </c>
      <c r="D667" s="11" t="s">
        <v>143</v>
      </c>
      <c r="E667" s="24" t="s">
        <v>270</v>
      </c>
      <c r="F667" s="27" t="s">
        <v>347</v>
      </c>
      <c r="G667" s="27" t="s">
        <v>955</v>
      </c>
      <c r="H667" s="11" t="s">
        <v>366</v>
      </c>
      <c r="I667" s="12" t="s">
        <v>349</v>
      </c>
      <c r="J667" s="25">
        <v>43214</v>
      </c>
      <c r="K667" s="25">
        <v>43579</v>
      </c>
      <c r="L667" s="26">
        <f t="shared" si="247"/>
        <v>82.304185972255567</v>
      </c>
      <c r="M667" s="11" t="s">
        <v>272</v>
      </c>
      <c r="N667" s="11" t="s">
        <v>302</v>
      </c>
      <c r="O667" s="11" t="s">
        <v>348</v>
      </c>
      <c r="P667" s="27" t="s">
        <v>274</v>
      </c>
      <c r="Q667" s="11" t="s">
        <v>34</v>
      </c>
      <c r="R667" s="2">
        <f t="shared" si="254"/>
        <v>793396.18</v>
      </c>
      <c r="S667" s="2">
        <v>639804.9</v>
      </c>
      <c r="T667" s="2">
        <v>153591.28</v>
      </c>
      <c r="U667" s="2">
        <f t="shared" si="258"/>
        <v>151304.57</v>
      </c>
      <c r="V667" s="28">
        <v>112906.75</v>
      </c>
      <c r="W667" s="28">
        <v>38397.82</v>
      </c>
      <c r="X667" s="2">
        <f t="shared" si="255"/>
        <v>0</v>
      </c>
      <c r="Y667" s="2">
        <v>0</v>
      </c>
      <c r="Z667" s="2">
        <v>0</v>
      </c>
      <c r="AA667" s="2">
        <f t="shared" si="256"/>
        <v>19279.599999999999</v>
      </c>
      <c r="AB667" s="2">
        <v>15361.46</v>
      </c>
      <c r="AC667" s="2">
        <v>3918.14</v>
      </c>
      <c r="AD667" s="16">
        <f t="shared" si="259"/>
        <v>963980.35</v>
      </c>
      <c r="AE667" s="2">
        <v>0</v>
      </c>
      <c r="AF667" s="2">
        <f t="shared" si="257"/>
        <v>963980.35</v>
      </c>
      <c r="AG667" s="21" t="s">
        <v>857</v>
      </c>
      <c r="AH667" s="29" t="s">
        <v>151</v>
      </c>
      <c r="AI667" s="30">
        <f>360374.76+80428.02+85558.08+11319.22+96397+20389.47+84094.42</f>
        <v>738560.97</v>
      </c>
      <c r="AJ667" s="30">
        <f>36349.9+31943.22+13703.1+20542.02+22271.75+16037.23</f>
        <v>140847.22</v>
      </c>
    </row>
    <row r="668" spans="1:36" s="179" customFormat="1" ht="315" x14ac:dyDescent="0.25">
      <c r="A668" s="6">
        <v>665</v>
      </c>
      <c r="B668" s="31">
        <v>109880</v>
      </c>
      <c r="C668" s="11">
        <v>261</v>
      </c>
      <c r="D668" s="11" t="s">
        <v>143</v>
      </c>
      <c r="E668" s="24" t="s">
        <v>270</v>
      </c>
      <c r="F668" s="27" t="s">
        <v>356</v>
      </c>
      <c r="G668" s="15" t="s">
        <v>354</v>
      </c>
      <c r="H668" s="27" t="s">
        <v>355</v>
      </c>
      <c r="I668" s="12" t="s">
        <v>444</v>
      </c>
      <c r="J668" s="25">
        <v>43214</v>
      </c>
      <c r="K668" s="25">
        <v>43640</v>
      </c>
      <c r="L668" s="26">
        <f t="shared" ref="L668:L730" si="260">R668/AD668*100</f>
        <v>82.304184374786118</v>
      </c>
      <c r="M668" s="11" t="s">
        <v>272</v>
      </c>
      <c r="N668" s="11" t="s">
        <v>219</v>
      </c>
      <c r="O668" s="11" t="s">
        <v>357</v>
      </c>
      <c r="P668" s="27" t="s">
        <v>274</v>
      </c>
      <c r="Q668" s="11" t="s">
        <v>34</v>
      </c>
      <c r="R668" s="2">
        <f t="shared" ref="R668:R699" si="261">S668+T668</f>
        <v>782828.76</v>
      </c>
      <c r="S668" s="2">
        <v>631283.18999999994</v>
      </c>
      <c r="T668" s="2">
        <v>151545.57</v>
      </c>
      <c r="U668" s="2">
        <f t="shared" si="258"/>
        <v>149289.32</v>
      </c>
      <c r="V668" s="28">
        <v>111402.93</v>
      </c>
      <c r="W668" s="28">
        <v>37886.39</v>
      </c>
      <c r="X668" s="2">
        <f t="shared" ref="X668:X698" si="262">Y668+Z668</f>
        <v>0</v>
      </c>
      <c r="Y668" s="2">
        <v>0</v>
      </c>
      <c r="Z668" s="2">
        <v>0</v>
      </c>
      <c r="AA668" s="2">
        <f t="shared" ref="AA668:AA699" si="263">AB668+AC668</f>
        <v>19022.82</v>
      </c>
      <c r="AB668" s="2">
        <v>15156.86</v>
      </c>
      <c r="AC668" s="2">
        <v>3865.96</v>
      </c>
      <c r="AD668" s="16">
        <f t="shared" si="259"/>
        <v>951140.9</v>
      </c>
      <c r="AE668" s="2"/>
      <c r="AF668" s="2">
        <f t="shared" ref="AF668:AF699" si="264">AD668+AE668</f>
        <v>951140.9</v>
      </c>
      <c r="AG668" s="21" t="s">
        <v>857</v>
      </c>
      <c r="AH668" s="29" t="s">
        <v>358</v>
      </c>
      <c r="AI668" s="30">
        <v>734392.74</v>
      </c>
      <c r="AJ668" s="30">
        <v>140052.42000000001</v>
      </c>
    </row>
    <row r="669" spans="1:36" s="179" customFormat="1" ht="204.75" x14ac:dyDescent="0.25">
      <c r="A669" s="6">
        <v>666</v>
      </c>
      <c r="B669" s="31">
        <v>110309</v>
      </c>
      <c r="C669" s="11">
        <v>304</v>
      </c>
      <c r="D669" s="11" t="s">
        <v>143</v>
      </c>
      <c r="E669" s="24" t="s">
        <v>270</v>
      </c>
      <c r="F669" s="11" t="s">
        <v>380</v>
      </c>
      <c r="G669" s="11" t="s">
        <v>381</v>
      </c>
      <c r="H669" s="8" t="s">
        <v>151</v>
      </c>
      <c r="I669" s="12" t="s">
        <v>382</v>
      </c>
      <c r="J669" s="25">
        <v>43217</v>
      </c>
      <c r="K669" s="25">
        <v>43888</v>
      </c>
      <c r="L669" s="26">
        <f t="shared" si="260"/>
        <v>82.304189246721677</v>
      </c>
      <c r="M669" s="11" t="s">
        <v>272</v>
      </c>
      <c r="N669" s="11" t="s">
        <v>361</v>
      </c>
      <c r="O669" s="11" t="s">
        <v>361</v>
      </c>
      <c r="P669" s="27" t="s">
        <v>274</v>
      </c>
      <c r="Q669" s="11" t="s">
        <v>34</v>
      </c>
      <c r="R669" s="2">
        <f t="shared" si="261"/>
        <v>822248.62</v>
      </c>
      <c r="S669" s="2">
        <v>663071.87</v>
      </c>
      <c r="T669" s="2">
        <v>159176.75</v>
      </c>
      <c r="U669" s="2">
        <f t="shared" si="258"/>
        <v>156806.83000000002</v>
      </c>
      <c r="V669" s="28">
        <v>117012.66</v>
      </c>
      <c r="W669" s="28">
        <v>39794.17</v>
      </c>
      <c r="X669" s="2">
        <f t="shared" si="262"/>
        <v>0</v>
      </c>
      <c r="Y669" s="2">
        <v>0</v>
      </c>
      <c r="Z669" s="2">
        <v>0</v>
      </c>
      <c r="AA669" s="2">
        <f t="shared" si="263"/>
        <v>19980.72</v>
      </c>
      <c r="AB669" s="2">
        <v>15920.08</v>
      </c>
      <c r="AC669" s="2">
        <v>4060.64</v>
      </c>
      <c r="AD669" s="16">
        <f t="shared" si="259"/>
        <v>999036.16999999993</v>
      </c>
      <c r="AE669" s="2">
        <v>0</v>
      </c>
      <c r="AF669" s="2">
        <f t="shared" si="264"/>
        <v>999036.16999999993</v>
      </c>
      <c r="AG669" s="38" t="s">
        <v>1427</v>
      </c>
      <c r="AH669" s="29" t="s">
        <v>1403</v>
      </c>
      <c r="AI669" s="30">
        <v>553062.27999999991</v>
      </c>
      <c r="AJ669" s="30">
        <v>105471.71999999999</v>
      </c>
    </row>
    <row r="670" spans="1:36" s="179" customFormat="1" ht="141.75" x14ac:dyDescent="0.25">
      <c r="A670" s="6">
        <v>667</v>
      </c>
      <c r="B670" s="31">
        <v>112122</v>
      </c>
      <c r="C670" s="11">
        <v>172</v>
      </c>
      <c r="D670" s="11" t="s">
        <v>143</v>
      </c>
      <c r="E670" s="24" t="s">
        <v>270</v>
      </c>
      <c r="F670" s="70" t="s">
        <v>359</v>
      </c>
      <c r="G670" s="11" t="s">
        <v>360</v>
      </c>
      <c r="H670" s="8" t="s">
        <v>151</v>
      </c>
      <c r="I670" s="12" t="s">
        <v>1208</v>
      </c>
      <c r="J670" s="25">
        <v>43217</v>
      </c>
      <c r="K670" s="25">
        <v>43796</v>
      </c>
      <c r="L670" s="26">
        <f t="shared" si="260"/>
        <v>82.30418763248349</v>
      </c>
      <c r="M670" s="11" t="s">
        <v>272</v>
      </c>
      <c r="N670" s="11" t="s">
        <v>219</v>
      </c>
      <c r="O670" s="11" t="s">
        <v>357</v>
      </c>
      <c r="P670" s="27" t="s">
        <v>274</v>
      </c>
      <c r="Q670" s="11" t="s">
        <v>34</v>
      </c>
      <c r="R670" s="2">
        <f t="shared" si="261"/>
        <v>773010.27999999991</v>
      </c>
      <c r="S670" s="2">
        <v>623365.43999999994</v>
      </c>
      <c r="T670" s="2">
        <v>149644.84</v>
      </c>
      <c r="U670" s="2">
        <f t="shared" si="258"/>
        <v>147416.85999999999</v>
      </c>
      <c r="V670" s="28">
        <v>110005.65</v>
      </c>
      <c r="W670" s="28">
        <v>37411.21</v>
      </c>
      <c r="X670" s="2">
        <f t="shared" si="262"/>
        <v>0</v>
      </c>
      <c r="Y670" s="2">
        <v>0</v>
      </c>
      <c r="Z670" s="2">
        <v>0</v>
      </c>
      <c r="AA670" s="2">
        <f t="shared" si="263"/>
        <v>18784.22</v>
      </c>
      <c r="AB670" s="2">
        <v>14966.74</v>
      </c>
      <c r="AC670" s="2">
        <v>3817.48</v>
      </c>
      <c r="AD670" s="16">
        <f t="shared" si="259"/>
        <v>939211.35999999987</v>
      </c>
      <c r="AE670" s="2">
        <v>0</v>
      </c>
      <c r="AF670" s="2">
        <f t="shared" si="264"/>
        <v>939211.35999999987</v>
      </c>
      <c r="AG670" s="21" t="s">
        <v>857</v>
      </c>
      <c r="AH670" s="29" t="s">
        <v>1201</v>
      </c>
      <c r="AI670" s="30">
        <v>733967.87</v>
      </c>
      <c r="AJ670" s="30">
        <v>138744.60999999999</v>
      </c>
    </row>
    <row r="671" spans="1:36" s="179" customFormat="1" ht="252" x14ac:dyDescent="0.25">
      <c r="A671" s="6">
        <v>668</v>
      </c>
      <c r="B671" s="31">
        <v>111683</v>
      </c>
      <c r="C671" s="11">
        <v>339</v>
      </c>
      <c r="D671" s="11" t="s">
        <v>143</v>
      </c>
      <c r="E671" s="24" t="s">
        <v>270</v>
      </c>
      <c r="F671" s="11" t="s">
        <v>367</v>
      </c>
      <c r="G671" s="11" t="s">
        <v>368</v>
      </c>
      <c r="H671" s="8" t="s">
        <v>151</v>
      </c>
      <c r="I671" s="12" t="s">
        <v>445</v>
      </c>
      <c r="J671" s="25">
        <v>43227</v>
      </c>
      <c r="K671" s="25">
        <v>43868</v>
      </c>
      <c r="L671" s="26">
        <f t="shared" si="260"/>
        <v>82.304181640652189</v>
      </c>
      <c r="M671" s="11" t="s">
        <v>272</v>
      </c>
      <c r="N671" s="11" t="s">
        <v>261</v>
      </c>
      <c r="O671" s="11" t="s">
        <v>261</v>
      </c>
      <c r="P671" s="27" t="s">
        <v>274</v>
      </c>
      <c r="Q671" s="11" t="s">
        <v>34</v>
      </c>
      <c r="R671" s="2">
        <f t="shared" si="261"/>
        <v>791387.4800000001</v>
      </c>
      <c r="S671" s="2">
        <v>638185.06000000006</v>
      </c>
      <c r="T671" s="119">
        <v>153202.42000000001</v>
      </c>
      <c r="U671" s="2">
        <f t="shared" si="258"/>
        <v>150921.54999999999</v>
      </c>
      <c r="V671" s="143">
        <v>112620.91</v>
      </c>
      <c r="W671" s="28">
        <v>38300.639999999999</v>
      </c>
      <c r="X671" s="2">
        <f t="shared" si="262"/>
        <v>0</v>
      </c>
      <c r="Y671" s="2">
        <v>0</v>
      </c>
      <c r="Z671" s="2">
        <v>0</v>
      </c>
      <c r="AA671" s="2">
        <f t="shared" si="263"/>
        <v>19230.79</v>
      </c>
      <c r="AB671" s="2">
        <v>15322.58</v>
      </c>
      <c r="AC671" s="2">
        <v>3908.21</v>
      </c>
      <c r="AD671" s="16">
        <f t="shared" si="259"/>
        <v>961539.82000000007</v>
      </c>
      <c r="AE671" s="2"/>
      <c r="AF671" s="2">
        <f t="shared" si="264"/>
        <v>961539.82000000007</v>
      </c>
      <c r="AG671" s="38" t="s">
        <v>1427</v>
      </c>
      <c r="AH671" s="29" t="s">
        <v>1421</v>
      </c>
      <c r="AI671" s="30">
        <f>197162.71+172481.19+20945.29+96000+68397.19</f>
        <v>554986.38</v>
      </c>
      <c r="AJ671" s="30">
        <f>37599.88+14585.36+22302.07+31351.36</f>
        <v>105838.67</v>
      </c>
    </row>
    <row r="672" spans="1:36" s="179" customFormat="1" ht="267.75" x14ac:dyDescent="0.25">
      <c r="A672" s="6">
        <v>669</v>
      </c>
      <c r="B672" s="31">
        <v>112332</v>
      </c>
      <c r="C672" s="11">
        <v>351</v>
      </c>
      <c r="D672" s="11" t="s">
        <v>143</v>
      </c>
      <c r="E672" s="24" t="s">
        <v>270</v>
      </c>
      <c r="F672" s="27" t="s">
        <v>1906</v>
      </c>
      <c r="G672" s="144" t="s">
        <v>369</v>
      </c>
      <c r="H672" s="70" t="s">
        <v>370</v>
      </c>
      <c r="I672" s="12" t="s">
        <v>371</v>
      </c>
      <c r="J672" s="25">
        <v>43227</v>
      </c>
      <c r="K672" s="25">
        <v>43715</v>
      </c>
      <c r="L672" s="26">
        <f t="shared" si="260"/>
        <v>82.803274340618188</v>
      </c>
      <c r="M672" s="11" t="s">
        <v>272</v>
      </c>
      <c r="N672" s="27" t="s">
        <v>537</v>
      </c>
      <c r="O672" s="27" t="s">
        <v>670</v>
      </c>
      <c r="P672" s="27" t="s">
        <v>274</v>
      </c>
      <c r="Q672" s="11" t="s">
        <v>34</v>
      </c>
      <c r="R672" s="2">
        <f t="shared" si="261"/>
        <v>789905.57000000007</v>
      </c>
      <c r="S672" s="2">
        <v>636990.03</v>
      </c>
      <c r="T672" s="2">
        <v>152915.54</v>
      </c>
      <c r="U672" s="2">
        <f t="shared" si="258"/>
        <v>144969.85</v>
      </c>
      <c r="V672" s="28">
        <v>107893.05</v>
      </c>
      <c r="W672" s="28">
        <v>37076.800000000003</v>
      </c>
      <c r="X672" s="2">
        <f t="shared" si="262"/>
        <v>0</v>
      </c>
      <c r="Y672" s="2">
        <v>0</v>
      </c>
      <c r="Z672" s="2">
        <v>0</v>
      </c>
      <c r="AA672" s="2">
        <f t="shared" si="263"/>
        <v>19079.09</v>
      </c>
      <c r="AB672" s="2">
        <v>15201.71</v>
      </c>
      <c r="AC672" s="2">
        <v>3877.38</v>
      </c>
      <c r="AD672" s="16">
        <f t="shared" si="259"/>
        <v>953954.51</v>
      </c>
      <c r="AE672" s="2">
        <v>0</v>
      </c>
      <c r="AF672" s="2">
        <f t="shared" si="264"/>
        <v>953954.51</v>
      </c>
      <c r="AG672" s="21" t="s">
        <v>857</v>
      </c>
      <c r="AH672" s="29" t="s">
        <v>151</v>
      </c>
      <c r="AI672" s="30">
        <f>103189.19-10344.17+64585.92+101525.85+67050.25+55900.12+82485.04+159943.99</f>
        <v>624336.18999999994</v>
      </c>
      <c r="AJ672" s="30">
        <f>6891.88+10344.17+32148.26+10660.44+28517.1+27035.36</f>
        <v>115597.21</v>
      </c>
    </row>
    <row r="673" spans="1:36" s="179" customFormat="1" ht="204.75" x14ac:dyDescent="0.25">
      <c r="A673" s="6">
        <v>670</v>
      </c>
      <c r="B673" s="31">
        <v>115657</v>
      </c>
      <c r="C673" s="11">
        <v>390</v>
      </c>
      <c r="D673" s="11" t="s">
        <v>143</v>
      </c>
      <c r="E673" s="24" t="s">
        <v>373</v>
      </c>
      <c r="F673" s="11" t="s">
        <v>372</v>
      </c>
      <c r="G673" s="11" t="s">
        <v>1350</v>
      </c>
      <c r="H673" s="11" t="s">
        <v>374</v>
      </c>
      <c r="I673" s="12" t="s">
        <v>375</v>
      </c>
      <c r="J673" s="25">
        <v>43223</v>
      </c>
      <c r="K673" s="25">
        <v>44107</v>
      </c>
      <c r="L673" s="26">
        <f t="shared" si="260"/>
        <v>83.983863433628301</v>
      </c>
      <c r="M673" s="11" t="s">
        <v>272</v>
      </c>
      <c r="N673" s="11" t="s">
        <v>304</v>
      </c>
      <c r="O673" s="11" t="s">
        <v>304</v>
      </c>
      <c r="P673" s="27" t="s">
        <v>138</v>
      </c>
      <c r="Q673" s="11" t="s">
        <v>34</v>
      </c>
      <c r="R673" s="2">
        <f t="shared" si="261"/>
        <v>5309367.59</v>
      </c>
      <c r="S673" s="2">
        <v>4281542.37</v>
      </c>
      <c r="T673" s="2">
        <v>1027825.22</v>
      </c>
      <c r="U673" s="2">
        <f t="shared" si="258"/>
        <v>0</v>
      </c>
      <c r="V673" s="28">
        <v>0</v>
      </c>
      <c r="W673" s="28">
        <v>0</v>
      </c>
      <c r="X673" s="2">
        <f t="shared" si="262"/>
        <v>1012522.56</v>
      </c>
      <c r="Y673" s="2">
        <v>755566.28</v>
      </c>
      <c r="Z673" s="2">
        <v>256956.28</v>
      </c>
      <c r="AA673" s="2">
        <f t="shared" si="263"/>
        <v>0</v>
      </c>
      <c r="AB673" s="2">
        <v>0</v>
      </c>
      <c r="AC673" s="2">
        <v>0</v>
      </c>
      <c r="AD673" s="16">
        <f t="shared" si="259"/>
        <v>6321890.1500000004</v>
      </c>
      <c r="AE673" s="2">
        <v>0</v>
      </c>
      <c r="AF673" s="2">
        <f t="shared" si="264"/>
        <v>6321890.1500000004</v>
      </c>
      <c r="AG673" s="38" t="s">
        <v>857</v>
      </c>
      <c r="AH673" s="29" t="s">
        <v>1543</v>
      </c>
      <c r="AI673" s="30">
        <f>2961929.57+845307.66+274031.87</f>
        <v>4081269.1</v>
      </c>
      <c r="AJ673" s="30">
        <v>0</v>
      </c>
    </row>
    <row r="674" spans="1:36" s="179" customFormat="1" ht="409.5" x14ac:dyDescent="0.25">
      <c r="A674" s="6">
        <v>671</v>
      </c>
      <c r="B674" s="31">
        <v>116294</v>
      </c>
      <c r="C674" s="11">
        <v>395</v>
      </c>
      <c r="D674" s="138" t="s">
        <v>143</v>
      </c>
      <c r="E674" s="24" t="s">
        <v>373</v>
      </c>
      <c r="F674" s="11" t="s">
        <v>680</v>
      </c>
      <c r="G674" s="11" t="s">
        <v>1397</v>
      </c>
      <c r="H674" s="11" t="s">
        <v>681</v>
      </c>
      <c r="I674" s="120" t="s">
        <v>2950</v>
      </c>
      <c r="J674" s="25">
        <v>43307</v>
      </c>
      <c r="K674" s="25">
        <v>44830</v>
      </c>
      <c r="L674" s="26">
        <f t="shared" si="260"/>
        <v>83.983862712560892</v>
      </c>
      <c r="M674" s="11" t="s">
        <v>272</v>
      </c>
      <c r="N674" s="11" t="s">
        <v>261</v>
      </c>
      <c r="O674" s="11" t="s">
        <v>261</v>
      </c>
      <c r="P674" s="27" t="s">
        <v>138</v>
      </c>
      <c r="Q674" s="11" t="s">
        <v>34</v>
      </c>
      <c r="R674" s="2">
        <f t="shared" si="261"/>
        <v>9064991.2000000011</v>
      </c>
      <c r="S674" s="2">
        <v>7310125.6500000004</v>
      </c>
      <c r="T674" s="2">
        <v>1754865.55</v>
      </c>
      <c r="U674" s="2">
        <f t="shared" si="258"/>
        <v>835727.90999999992</v>
      </c>
      <c r="V674" s="28">
        <v>617609.94999999995</v>
      </c>
      <c r="W674" s="28">
        <v>218117.96</v>
      </c>
      <c r="X674" s="2">
        <f t="shared" si="262"/>
        <v>893010.66999999993</v>
      </c>
      <c r="Y674" s="2">
        <v>672412.2</v>
      </c>
      <c r="Z674" s="2">
        <v>220598.47</v>
      </c>
      <c r="AA674" s="2">
        <f t="shared" si="263"/>
        <v>0</v>
      </c>
      <c r="AB674" s="2">
        <v>0</v>
      </c>
      <c r="AC674" s="2">
        <v>0</v>
      </c>
      <c r="AD674" s="16">
        <f t="shared" si="259"/>
        <v>10793729.780000001</v>
      </c>
      <c r="AE674" s="2"/>
      <c r="AF674" s="2">
        <f>AD674+AE674</f>
        <v>10793729.780000001</v>
      </c>
      <c r="AG674" s="38" t="s">
        <v>486</v>
      </c>
      <c r="AH674" s="29" t="s">
        <v>1813</v>
      </c>
      <c r="AI674" s="30">
        <f>567275.05+242142.38+389249.89+737324.25+434872.3+696189.68+508301.21+556805.38+653166.06</f>
        <v>4785326.2</v>
      </c>
      <c r="AJ674" s="30">
        <f>37941.44+64466.26+39373.95+93368.67+48409.99+72069.64+49590.47+63033.49+81108</f>
        <v>549361.91</v>
      </c>
    </row>
    <row r="675" spans="1:36" s="179" customFormat="1" ht="141.75" x14ac:dyDescent="0.25">
      <c r="A675" s="6">
        <v>672</v>
      </c>
      <c r="B675" s="31">
        <v>115539</v>
      </c>
      <c r="C675" s="11">
        <v>396</v>
      </c>
      <c r="D675" s="11" t="s">
        <v>143</v>
      </c>
      <c r="E675" s="24" t="s">
        <v>373</v>
      </c>
      <c r="F675" s="11" t="s">
        <v>421</v>
      </c>
      <c r="G675" s="11" t="s">
        <v>74</v>
      </c>
      <c r="H675" s="11" t="s">
        <v>422</v>
      </c>
      <c r="I675" s="12" t="s">
        <v>454</v>
      </c>
      <c r="J675" s="25">
        <v>43249</v>
      </c>
      <c r="K675" s="25">
        <v>45045</v>
      </c>
      <c r="L675" s="26">
        <f t="shared" si="260"/>
        <v>83.983862084228164</v>
      </c>
      <c r="M675" s="11" t="s">
        <v>272</v>
      </c>
      <c r="N675" s="11" t="s">
        <v>261</v>
      </c>
      <c r="O675" s="11" t="s">
        <v>261</v>
      </c>
      <c r="P675" s="27" t="s">
        <v>138</v>
      </c>
      <c r="Q675" s="11" t="s">
        <v>34</v>
      </c>
      <c r="R675" s="2">
        <f t="shared" si="261"/>
        <v>2215320.0428925399</v>
      </c>
      <c r="S675" s="2">
        <v>1786462.63</v>
      </c>
      <c r="T675" s="2">
        <v>428857.41289253999</v>
      </c>
      <c r="U675" s="2">
        <f t="shared" si="258"/>
        <v>179063.2</v>
      </c>
      <c r="V675" s="28">
        <v>132329.23000000001</v>
      </c>
      <c r="W675" s="28">
        <v>46733.97</v>
      </c>
      <c r="X675" s="2">
        <f t="shared" si="262"/>
        <v>243409.28999999998</v>
      </c>
      <c r="Y675" s="2">
        <v>182928.87</v>
      </c>
      <c r="Z675" s="2">
        <v>60480.42</v>
      </c>
      <c r="AA675" s="2">
        <f t="shared" si="263"/>
        <v>0</v>
      </c>
      <c r="AB675" s="2">
        <v>0</v>
      </c>
      <c r="AC675" s="2">
        <v>0</v>
      </c>
      <c r="AD675" s="16">
        <f t="shared" si="259"/>
        <v>2637792.5328925401</v>
      </c>
      <c r="AE675" s="2">
        <v>0</v>
      </c>
      <c r="AF675" s="2">
        <f t="shared" si="264"/>
        <v>2637792.5328925401</v>
      </c>
      <c r="AG675" s="38" t="s">
        <v>486</v>
      </c>
      <c r="AH675" s="29" t="s">
        <v>3185</v>
      </c>
      <c r="AI675" s="30">
        <f>331641.17-13183.87+408631.07+27766.75+242691.52+34335.41+227203.49+94761.52</f>
        <v>1353847.06</v>
      </c>
      <c r="AJ675" s="30">
        <f>13183.87+71835.79+32129.9+37010.29</f>
        <v>154159.85</v>
      </c>
    </row>
    <row r="676" spans="1:36" s="179" customFormat="1" ht="189" x14ac:dyDescent="0.25">
      <c r="A676" s="6">
        <v>673</v>
      </c>
      <c r="B676" s="31">
        <v>111701</v>
      </c>
      <c r="C676" s="11">
        <v>251</v>
      </c>
      <c r="D676" s="11" t="s">
        <v>143</v>
      </c>
      <c r="E676" s="24" t="s">
        <v>270</v>
      </c>
      <c r="F676" s="27" t="s">
        <v>386</v>
      </c>
      <c r="G676" s="145" t="s">
        <v>387</v>
      </c>
      <c r="H676" s="145" t="s">
        <v>388</v>
      </c>
      <c r="I676" s="146" t="s">
        <v>447</v>
      </c>
      <c r="J676" s="25">
        <v>43231</v>
      </c>
      <c r="K676" s="25">
        <v>43780</v>
      </c>
      <c r="L676" s="26">
        <f t="shared" si="260"/>
        <v>82.304186092487143</v>
      </c>
      <c r="M676" s="11" t="s">
        <v>272</v>
      </c>
      <c r="N676" s="11" t="s">
        <v>226</v>
      </c>
      <c r="O676" s="11" t="s">
        <v>226</v>
      </c>
      <c r="P676" s="27" t="s">
        <v>274</v>
      </c>
      <c r="Q676" s="11" t="s">
        <v>34</v>
      </c>
      <c r="R676" s="2">
        <f t="shared" si="261"/>
        <v>643463.74</v>
      </c>
      <c r="S676" s="28">
        <v>518897.45</v>
      </c>
      <c r="T676" s="28">
        <v>124566.29</v>
      </c>
      <c r="U676" s="2">
        <f t="shared" ref="U676:U707" si="265">V676+W676</f>
        <v>122711.73</v>
      </c>
      <c r="V676" s="28">
        <v>91570.15</v>
      </c>
      <c r="W676" s="28">
        <v>31141.58</v>
      </c>
      <c r="X676" s="2">
        <f t="shared" si="262"/>
        <v>0</v>
      </c>
      <c r="Y676" s="2">
        <v>0</v>
      </c>
      <c r="Z676" s="2">
        <v>0</v>
      </c>
      <c r="AA676" s="2">
        <f t="shared" si="263"/>
        <v>15636.21</v>
      </c>
      <c r="AB676" s="28">
        <v>12458.49</v>
      </c>
      <c r="AC676" s="28">
        <v>3177.72</v>
      </c>
      <c r="AD676" s="16">
        <f t="shared" si="259"/>
        <v>781811.67999999993</v>
      </c>
      <c r="AE676" s="2">
        <v>4162.62</v>
      </c>
      <c r="AF676" s="2">
        <f t="shared" si="264"/>
        <v>785974.29999999993</v>
      </c>
      <c r="AG676" s="21" t="s">
        <v>857</v>
      </c>
      <c r="AH676" s="29" t="s">
        <v>1185</v>
      </c>
      <c r="AI676" s="30">
        <f>95051.96+39484.25+23955.55-8000+211432.19+107515.78+78081.24</f>
        <v>547520.97</v>
      </c>
      <c r="AJ676" s="30">
        <f>15075.6+9055.47+4568.44+40321.17+20503.81+14890.48</f>
        <v>104414.96999999999</v>
      </c>
    </row>
    <row r="677" spans="1:36" s="179" customFormat="1" ht="204.75" x14ac:dyDescent="0.25">
      <c r="A677" s="6">
        <v>674</v>
      </c>
      <c r="B677" s="31">
        <v>111284</v>
      </c>
      <c r="C677" s="11">
        <v>182</v>
      </c>
      <c r="D677" s="11" t="s">
        <v>143</v>
      </c>
      <c r="E677" s="24" t="s">
        <v>270</v>
      </c>
      <c r="F677" s="27" t="s">
        <v>392</v>
      </c>
      <c r="G677" s="11" t="s">
        <v>393</v>
      </c>
      <c r="H677" s="70"/>
      <c r="I677" s="45" t="s">
        <v>448</v>
      </c>
      <c r="J677" s="25">
        <v>43236</v>
      </c>
      <c r="K677" s="25">
        <v>43724</v>
      </c>
      <c r="L677" s="26">
        <f t="shared" si="260"/>
        <v>82.304186150868873</v>
      </c>
      <c r="M677" s="11" t="s">
        <v>272</v>
      </c>
      <c r="N677" s="11" t="s">
        <v>182</v>
      </c>
      <c r="O677" s="11" t="s">
        <v>394</v>
      </c>
      <c r="P677" s="27" t="s">
        <v>274</v>
      </c>
      <c r="Q677" s="11" t="s">
        <v>34</v>
      </c>
      <c r="R677" s="2">
        <f t="shared" si="261"/>
        <v>820224.26</v>
      </c>
      <c r="S677" s="2">
        <v>661439.4</v>
      </c>
      <c r="T677" s="2">
        <v>158784.85999999999</v>
      </c>
      <c r="U677" s="2">
        <f t="shared" si="265"/>
        <v>156420.81</v>
      </c>
      <c r="V677" s="28">
        <v>116724.6</v>
      </c>
      <c r="W677" s="28">
        <v>39696.21</v>
      </c>
      <c r="X677" s="2">
        <f t="shared" si="262"/>
        <v>0</v>
      </c>
      <c r="Y677" s="2">
        <v>0</v>
      </c>
      <c r="Z677" s="2">
        <v>0</v>
      </c>
      <c r="AA677" s="2">
        <f t="shared" si="263"/>
        <v>19931.53</v>
      </c>
      <c r="AB677" s="2">
        <v>15880.9</v>
      </c>
      <c r="AC677" s="2">
        <v>4050.63</v>
      </c>
      <c r="AD677" s="16">
        <f t="shared" si="259"/>
        <v>996576.60000000009</v>
      </c>
      <c r="AE677" s="2"/>
      <c r="AF677" s="2">
        <f t="shared" si="264"/>
        <v>996576.60000000009</v>
      </c>
      <c r="AG677" s="21" t="s">
        <v>857</v>
      </c>
      <c r="AH677" s="29" t="s">
        <v>151</v>
      </c>
      <c r="AI677" s="30">
        <f>589154.54+143024.16</f>
        <v>732178.70000000007</v>
      </c>
      <c r="AJ677" s="30">
        <f>93665.6+45964.48</f>
        <v>139630.08000000002</v>
      </c>
    </row>
    <row r="678" spans="1:36" s="179" customFormat="1" ht="141.75" x14ac:dyDescent="0.25">
      <c r="A678" s="6">
        <v>675</v>
      </c>
      <c r="B678" s="31">
        <v>116994</v>
      </c>
      <c r="C678" s="11">
        <v>399</v>
      </c>
      <c r="D678" s="11" t="s">
        <v>143</v>
      </c>
      <c r="E678" s="24" t="s">
        <v>373</v>
      </c>
      <c r="F678" s="27" t="s">
        <v>1907</v>
      </c>
      <c r="G678" s="11" t="s">
        <v>74</v>
      </c>
      <c r="H678" s="8" t="s">
        <v>151</v>
      </c>
      <c r="I678" s="45" t="s">
        <v>449</v>
      </c>
      <c r="J678" s="25">
        <v>43236</v>
      </c>
      <c r="K678" s="25">
        <v>45001</v>
      </c>
      <c r="L678" s="26">
        <f t="shared" si="260"/>
        <v>83.983862745241581</v>
      </c>
      <c r="M678" s="11" t="s">
        <v>272</v>
      </c>
      <c r="N678" s="11" t="s">
        <v>261</v>
      </c>
      <c r="O678" s="11" t="s">
        <v>261</v>
      </c>
      <c r="P678" s="27" t="s">
        <v>138</v>
      </c>
      <c r="Q678" s="11" t="s">
        <v>34</v>
      </c>
      <c r="R678" s="2">
        <f t="shared" si="261"/>
        <v>5724895.4699999997</v>
      </c>
      <c r="S678" s="2">
        <v>4616629.47</v>
      </c>
      <c r="T678" s="2">
        <v>1108266</v>
      </c>
      <c r="U678" s="2">
        <f t="shared" si="265"/>
        <v>0</v>
      </c>
      <c r="V678" s="28">
        <v>0</v>
      </c>
      <c r="W678" s="28">
        <v>0</v>
      </c>
      <c r="X678" s="2">
        <f t="shared" si="262"/>
        <v>1091765.83</v>
      </c>
      <c r="Y678" s="2">
        <v>814699.26</v>
      </c>
      <c r="Z678" s="2">
        <v>277066.57</v>
      </c>
      <c r="AA678" s="2">
        <f t="shared" si="263"/>
        <v>0</v>
      </c>
      <c r="AB678" s="2">
        <v>0</v>
      </c>
      <c r="AC678" s="2">
        <v>0</v>
      </c>
      <c r="AD678" s="16">
        <f t="shared" si="259"/>
        <v>6816661.2999999998</v>
      </c>
      <c r="AE678" s="2">
        <v>0</v>
      </c>
      <c r="AF678" s="2">
        <f t="shared" si="264"/>
        <v>6816661.2999999998</v>
      </c>
      <c r="AG678" s="38" t="s">
        <v>486</v>
      </c>
      <c r="AH678" s="29" t="s">
        <v>2074</v>
      </c>
      <c r="AI678" s="30">
        <f>4248.74+31166.22+89220.52+57381.15+77993.31+62439.49+102447.37+71858.27+74201.42+68394.78+65729.97+61409+72550.3+45091.78</f>
        <v>884132.32000000007</v>
      </c>
      <c r="AJ678" s="30">
        <v>0</v>
      </c>
    </row>
    <row r="679" spans="1:36" s="179" customFormat="1" ht="173.25" x14ac:dyDescent="0.25">
      <c r="A679" s="6">
        <v>676</v>
      </c>
      <c r="B679" s="31">
        <v>112921</v>
      </c>
      <c r="C679" s="11">
        <v>288</v>
      </c>
      <c r="D679" s="11" t="s">
        <v>143</v>
      </c>
      <c r="E679" s="24" t="s">
        <v>270</v>
      </c>
      <c r="F679" s="27" t="s">
        <v>1908</v>
      </c>
      <c r="G679" s="11" t="s">
        <v>395</v>
      </c>
      <c r="H679" s="11" t="s">
        <v>396</v>
      </c>
      <c r="I679" s="45" t="s">
        <v>397</v>
      </c>
      <c r="J679" s="25">
        <v>43236</v>
      </c>
      <c r="K679" s="25">
        <v>43724</v>
      </c>
      <c r="L679" s="26">
        <f t="shared" si="260"/>
        <v>82.304184477468439</v>
      </c>
      <c r="M679" s="11" t="s">
        <v>272</v>
      </c>
      <c r="N679" s="11" t="s">
        <v>186</v>
      </c>
      <c r="O679" s="11" t="s">
        <v>609</v>
      </c>
      <c r="P679" s="27" t="s">
        <v>274</v>
      </c>
      <c r="Q679" s="11" t="s">
        <v>34</v>
      </c>
      <c r="R679" s="2">
        <f t="shared" si="261"/>
        <v>692528.19000000006</v>
      </c>
      <c r="S679" s="2">
        <v>558463.68000000005</v>
      </c>
      <c r="T679" s="2">
        <v>134064.51</v>
      </c>
      <c r="U679" s="2">
        <f t="shared" si="265"/>
        <v>132068.54999999999</v>
      </c>
      <c r="V679" s="28">
        <v>98552.39</v>
      </c>
      <c r="W679" s="28">
        <v>33516.160000000003</v>
      </c>
      <c r="X679" s="2">
        <f t="shared" si="262"/>
        <v>0</v>
      </c>
      <c r="Y679" s="2">
        <v>0</v>
      </c>
      <c r="Z679" s="2">
        <v>0</v>
      </c>
      <c r="AA679" s="2">
        <f t="shared" si="263"/>
        <v>16828.509999999998</v>
      </c>
      <c r="AB679" s="2">
        <v>13408.49</v>
      </c>
      <c r="AC679" s="2">
        <v>3420.02</v>
      </c>
      <c r="AD679" s="16">
        <f t="shared" si="259"/>
        <v>841425.25</v>
      </c>
      <c r="AE679" s="2">
        <v>0</v>
      </c>
      <c r="AF679" s="2">
        <f t="shared" si="264"/>
        <v>841425.25</v>
      </c>
      <c r="AG679" s="21" t="s">
        <v>857</v>
      </c>
      <c r="AH679" s="29" t="s">
        <v>1083</v>
      </c>
      <c r="AI679" s="30">
        <f>59000+45054.47-7168.82+43487.54+82400+27588.29+82400+83329.15+139789.65+86231.39</f>
        <v>642111.67000000004</v>
      </c>
      <c r="AJ679" s="30">
        <f>15760.94+11008.93+20975.3+31605.35+26658.52+16444.76</f>
        <v>122453.79999999999</v>
      </c>
    </row>
    <row r="680" spans="1:36" s="179" customFormat="1" ht="141.75" x14ac:dyDescent="0.25">
      <c r="A680" s="6">
        <v>677</v>
      </c>
      <c r="B680" s="31">
        <v>122235</v>
      </c>
      <c r="C680" s="11">
        <v>60</v>
      </c>
      <c r="D680" s="11" t="s">
        <v>145</v>
      </c>
      <c r="E680" s="24" t="s">
        <v>123</v>
      </c>
      <c r="F680" s="27" t="s">
        <v>398</v>
      </c>
      <c r="G680" s="11" t="s">
        <v>399</v>
      </c>
      <c r="H680" s="8" t="s">
        <v>151</v>
      </c>
      <c r="I680" s="45" t="s">
        <v>400</v>
      </c>
      <c r="J680" s="25">
        <v>43236</v>
      </c>
      <c r="K680" s="25">
        <v>44911</v>
      </c>
      <c r="L680" s="26">
        <f t="shared" si="260"/>
        <v>83.983862950139908</v>
      </c>
      <c r="M680" s="11" t="s">
        <v>272</v>
      </c>
      <c r="N680" s="11" t="s">
        <v>261</v>
      </c>
      <c r="O680" s="11" t="s">
        <v>261</v>
      </c>
      <c r="P680" s="27" t="s">
        <v>138</v>
      </c>
      <c r="Q680" s="11" t="s">
        <v>34</v>
      </c>
      <c r="R680" s="2">
        <f t="shared" si="261"/>
        <v>9422880.1600000001</v>
      </c>
      <c r="S680" s="2">
        <v>7598731.8799999999</v>
      </c>
      <c r="T680" s="2">
        <v>1824148.28</v>
      </c>
      <c r="U680" s="2">
        <f t="shared" si="265"/>
        <v>0</v>
      </c>
      <c r="V680" s="28"/>
      <c r="W680" s="28"/>
      <c r="X680" s="2">
        <f t="shared" si="262"/>
        <v>1796989.74</v>
      </c>
      <c r="Y680" s="2">
        <v>1340952.67</v>
      </c>
      <c r="Z680" s="2">
        <v>456037.07</v>
      </c>
      <c r="AA680" s="2">
        <f t="shared" si="263"/>
        <v>0</v>
      </c>
      <c r="AB680" s="2">
        <v>0</v>
      </c>
      <c r="AC680" s="2">
        <v>0</v>
      </c>
      <c r="AD680" s="16">
        <f t="shared" si="259"/>
        <v>11219869.9</v>
      </c>
      <c r="AE680" s="2">
        <v>0</v>
      </c>
      <c r="AF680" s="2">
        <f t="shared" si="264"/>
        <v>11219869.9</v>
      </c>
      <c r="AG680" s="38" t="s">
        <v>486</v>
      </c>
      <c r="AH680" s="29" t="s">
        <v>1644</v>
      </c>
      <c r="AI680" s="30">
        <f>177000+30000-137868.19+11251.1+63755.9+119800.68+155000+50000+298936+49415.83+1102504.47</f>
        <v>1919795.79</v>
      </c>
      <c r="AJ680" s="30">
        <v>0</v>
      </c>
    </row>
    <row r="681" spans="1:36" s="179" customFormat="1" ht="141.75" x14ac:dyDescent="0.25">
      <c r="A681" s="6">
        <v>678</v>
      </c>
      <c r="B681" s="31">
        <v>113205</v>
      </c>
      <c r="C681" s="11">
        <v>286</v>
      </c>
      <c r="D681" s="11" t="s">
        <v>143</v>
      </c>
      <c r="E681" s="24" t="s">
        <v>270</v>
      </c>
      <c r="F681" s="27" t="s">
        <v>401</v>
      </c>
      <c r="G681" s="11" t="s">
        <v>402</v>
      </c>
      <c r="H681" s="11" t="s">
        <v>403</v>
      </c>
      <c r="I681" s="45" t="s">
        <v>450</v>
      </c>
      <c r="J681" s="25">
        <v>43243</v>
      </c>
      <c r="K681" s="25">
        <v>43700</v>
      </c>
      <c r="L681" s="26">
        <f t="shared" si="260"/>
        <v>82.304187102769717</v>
      </c>
      <c r="M681" s="11" t="s">
        <v>272</v>
      </c>
      <c r="N681" s="11" t="s">
        <v>261</v>
      </c>
      <c r="O681" s="11" t="s">
        <v>261</v>
      </c>
      <c r="P681" s="27" t="s">
        <v>138</v>
      </c>
      <c r="Q681" s="11" t="s">
        <v>34</v>
      </c>
      <c r="R681" s="2">
        <f t="shared" si="261"/>
        <v>750653.75</v>
      </c>
      <c r="S681" s="2">
        <v>605336.84</v>
      </c>
      <c r="T681" s="2">
        <v>145316.91</v>
      </c>
      <c r="U681" s="2">
        <f t="shared" si="265"/>
        <v>143153.36000000002</v>
      </c>
      <c r="V681" s="28">
        <v>106824.13</v>
      </c>
      <c r="W681" s="28">
        <v>36329.230000000003</v>
      </c>
      <c r="X681" s="2">
        <f t="shared" si="262"/>
        <v>0</v>
      </c>
      <c r="Y681" s="2">
        <v>0</v>
      </c>
      <c r="Z681" s="2">
        <v>0</v>
      </c>
      <c r="AA681" s="2">
        <f t="shared" si="263"/>
        <v>18240.96</v>
      </c>
      <c r="AB681" s="2">
        <v>14533.91</v>
      </c>
      <c r="AC681" s="2">
        <v>3707.05</v>
      </c>
      <c r="AD681" s="16">
        <f t="shared" si="259"/>
        <v>912048.07</v>
      </c>
      <c r="AE681" s="2">
        <v>0</v>
      </c>
      <c r="AF681" s="2">
        <f t="shared" si="264"/>
        <v>912048.07</v>
      </c>
      <c r="AG681" s="21" t="s">
        <v>857</v>
      </c>
      <c r="AH681" s="29"/>
      <c r="AI681" s="30">
        <f>80989.07+73791.77+71604.65-11418.94+71296.47+10538.9+120276.34+289691.6-34329.09</f>
        <v>672440.77</v>
      </c>
      <c r="AJ681" s="30">
        <f>12124.41+13655.35+11418.94+6176.71+18770.39+55245.61+10846.33</f>
        <v>128237.74</v>
      </c>
    </row>
    <row r="682" spans="1:36" s="179" customFormat="1" ht="409.5" x14ac:dyDescent="0.25">
      <c r="A682" s="6">
        <v>679</v>
      </c>
      <c r="B682" s="31">
        <v>111084</v>
      </c>
      <c r="C682" s="11">
        <v>343</v>
      </c>
      <c r="D682" s="11" t="s">
        <v>143</v>
      </c>
      <c r="E682" s="24" t="s">
        <v>270</v>
      </c>
      <c r="F682" s="147" t="s">
        <v>404</v>
      </c>
      <c r="G682" s="148" t="s">
        <v>405</v>
      </c>
      <c r="H682" s="11" t="s">
        <v>404</v>
      </c>
      <c r="I682" s="45" t="s">
        <v>451</v>
      </c>
      <c r="J682" s="25">
        <v>43243</v>
      </c>
      <c r="K682" s="25">
        <v>43731</v>
      </c>
      <c r="L682" s="26">
        <f t="shared" si="260"/>
        <v>82.304185103544512</v>
      </c>
      <c r="M682" s="11" t="s">
        <v>272</v>
      </c>
      <c r="N682" s="11" t="s">
        <v>261</v>
      </c>
      <c r="O682" s="11" t="s">
        <v>261</v>
      </c>
      <c r="P682" s="27" t="s">
        <v>274</v>
      </c>
      <c r="Q682" s="11" t="s">
        <v>34</v>
      </c>
      <c r="R682" s="2">
        <f t="shared" si="261"/>
        <v>698744.26</v>
      </c>
      <c r="S682" s="23">
        <v>563476.37</v>
      </c>
      <c r="T682" s="23">
        <v>135267.89000000001</v>
      </c>
      <c r="U682" s="2">
        <f t="shared" si="265"/>
        <v>133253.97999999998</v>
      </c>
      <c r="V682" s="149">
        <v>99437.01</v>
      </c>
      <c r="W682" s="82">
        <v>33816.97</v>
      </c>
      <c r="X682" s="2">
        <f t="shared" si="262"/>
        <v>0</v>
      </c>
      <c r="Y682" s="2">
        <v>0</v>
      </c>
      <c r="Z682" s="2">
        <v>0</v>
      </c>
      <c r="AA682" s="2">
        <f t="shared" si="263"/>
        <v>16979.560000000001</v>
      </c>
      <c r="AB682" s="23">
        <v>13528.85</v>
      </c>
      <c r="AC682" s="150">
        <v>3450.71</v>
      </c>
      <c r="AD682" s="16">
        <f t="shared" si="259"/>
        <v>848977.8</v>
      </c>
      <c r="AE682" s="2">
        <v>0</v>
      </c>
      <c r="AF682" s="2">
        <f t="shared" si="264"/>
        <v>848977.8</v>
      </c>
      <c r="AG682" s="21" t="s">
        <v>857</v>
      </c>
      <c r="AH682" s="29"/>
      <c r="AI682" s="30">
        <f>410601.28+140850.68</f>
        <v>551451.96</v>
      </c>
      <c r="AJ682" s="30">
        <f>12927.23+3853.32+17589.26+10795.58+17309.82+42689.48</f>
        <v>105164.69</v>
      </c>
    </row>
    <row r="683" spans="1:36" s="179" customFormat="1" ht="362.25" x14ac:dyDescent="0.25">
      <c r="A683" s="6">
        <v>680</v>
      </c>
      <c r="B683" s="31">
        <v>110679</v>
      </c>
      <c r="C683" s="11">
        <v>197</v>
      </c>
      <c r="D683" s="11" t="s">
        <v>143</v>
      </c>
      <c r="E683" s="24" t="s">
        <v>270</v>
      </c>
      <c r="F683" s="27" t="s">
        <v>406</v>
      </c>
      <c r="G683" s="11" t="s">
        <v>408</v>
      </c>
      <c r="H683" s="8" t="s">
        <v>151</v>
      </c>
      <c r="I683" s="12" t="s">
        <v>452</v>
      </c>
      <c r="J683" s="25">
        <v>43243</v>
      </c>
      <c r="K683" s="25">
        <v>43731</v>
      </c>
      <c r="L683" s="26">
        <f t="shared" si="260"/>
        <v>82.304183634873581</v>
      </c>
      <c r="M683" s="11" t="s">
        <v>272</v>
      </c>
      <c r="N683" s="11" t="s">
        <v>407</v>
      </c>
      <c r="O683" s="11" t="s">
        <v>1927</v>
      </c>
      <c r="P683" s="27" t="s">
        <v>274</v>
      </c>
      <c r="Q683" s="11" t="s">
        <v>34</v>
      </c>
      <c r="R683" s="2">
        <f t="shared" si="261"/>
        <v>763944.7</v>
      </c>
      <c r="S683" s="2">
        <v>616054.81999999995</v>
      </c>
      <c r="T683" s="2">
        <v>147889.88</v>
      </c>
      <c r="U683" s="2">
        <f t="shared" si="265"/>
        <v>145688.04999999999</v>
      </c>
      <c r="V683" s="28">
        <v>108715.59</v>
      </c>
      <c r="W683" s="28">
        <v>36972.46</v>
      </c>
      <c r="X683" s="2">
        <f t="shared" si="262"/>
        <v>0</v>
      </c>
      <c r="Y683" s="2">
        <v>0</v>
      </c>
      <c r="Z683" s="2">
        <v>0</v>
      </c>
      <c r="AA683" s="2">
        <f t="shared" si="263"/>
        <v>18563.93</v>
      </c>
      <c r="AB683" s="2">
        <v>14791.24</v>
      </c>
      <c r="AC683" s="2">
        <v>3772.69</v>
      </c>
      <c r="AD683" s="16">
        <f t="shared" si="259"/>
        <v>928196.68</v>
      </c>
      <c r="AE683" s="2">
        <v>0</v>
      </c>
      <c r="AF683" s="2">
        <f t="shared" si="264"/>
        <v>928196.68</v>
      </c>
      <c r="AG683" s="21" t="s">
        <v>857</v>
      </c>
      <c r="AH683" s="29" t="s">
        <v>1269</v>
      </c>
      <c r="AI683" s="30">
        <f>521279.95+227140.72-4067.74</f>
        <v>744352.93</v>
      </c>
      <c r="AJ683" s="30">
        <f>94550.63+43316.87+4084.24</f>
        <v>141951.74</v>
      </c>
    </row>
    <row r="684" spans="1:36" s="179" customFormat="1" ht="173.25" x14ac:dyDescent="0.25">
      <c r="A684" s="6">
        <v>681</v>
      </c>
      <c r="B684" s="31">
        <v>112787</v>
      </c>
      <c r="C684" s="11">
        <v>276</v>
      </c>
      <c r="D684" s="11" t="s">
        <v>143</v>
      </c>
      <c r="E684" s="24" t="s">
        <v>270</v>
      </c>
      <c r="F684" s="27" t="s">
        <v>409</v>
      </c>
      <c r="G684" s="27" t="s">
        <v>410</v>
      </c>
      <c r="H684" s="11" t="s">
        <v>412</v>
      </c>
      <c r="I684" s="12" t="s">
        <v>413</v>
      </c>
      <c r="J684" s="25">
        <v>43243</v>
      </c>
      <c r="K684" s="25">
        <v>43822</v>
      </c>
      <c r="L684" s="26">
        <f t="shared" si="260"/>
        <v>82.304187377441963</v>
      </c>
      <c r="M684" s="11" t="s">
        <v>272</v>
      </c>
      <c r="N684" s="11" t="s">
        <v>411</v>
      </c>
      <c r="O684" s="11" t="s">
        <v>411</v>
      </c>
      <c r="P684" s="27" t="s">
        <v>274</v>
      </c>
      <c r="Q684" s="11" t="s">
        <v>34</v>
      </c>
      <c r="R684" s="2">
        <f t="shared" si="261"/>
        <v>813947.08000000007</v>
      </c>
      <c r="S684" s="2">
        <v>656377.4</v>
      </c>
      <c r="T684" s="2">
        <v>157569.68</v>
      </c>
      <c r="U684" s="2">
        <f t="shared" si="265"/>
        <v>155223.71000000002</v>
      </c>
      <c r="V684" s="28">
        <v>115831.3</v>
      </c>
      <c r="W684" s="28">
        <v>39392.410000000003</v>
      </c>
      <c r="X684" s="2">
        <f t="shared" si="262"/>
        <v>0</v>
      </c>
      <c r="Y684" s="2">
        <v>0</v>
      </c>
      <c r="Z684" s="2">
        <v>0</v>
      </c>
      <c r="AA684" s="2">
        <f t="shared" si="263"/>
        <v>19778.990000000002</v>
      </c>
      <c r="AB684" s="2">
        <v>15759.36</v>
      </c>
      <c r="AC684" s="2">
        <v>4019.63</v>
      </c>
      <c r="AD684" s="16">
        <f t="shared" si="259"/>
        <v>988949.78</v>
      </c>
      <c r="AE684" s="2">
        <v>0</v>
      </c>
      <c r="AF684" s="2">
        <f t="shared" si="264"/>
        <v>988949.78</v>
      </c>
      <c r="AG684" s="38" t="s">
        <v>857</v>
      </c>
      <c r="AH684" s="29" t="s">
        <v>1374</v>
      </c>
      <c r="AI684" s="30">
        <f>508508.59+217597.28+20606.15-1971.58+7286.02</f>
        <v>752026.46000000008</v>
      </c>
      <c r="AJ684" s="30">
        <f>79461.28+51123.81+3929.69+7150.18+1750.08</f>
        <v>143415.03999999998</v>
      </c>
    </row>
    <row r="685" spans="1:36" s="179" customFormat="1" ht="141.75" x14ac:dyDescent="0.25">
      <c r="A685" s="6">
        <v>682</v>
      </c>
      <c r="B685" s="31">
        <v>110998</v>
      </c>
      <c r="C685" s="11">
        <v>333</v>
      </c>
      <c r="D685" s="11" t="s">
        <v>143</v>
      </c>
      <c r="E685" s="24" t="s">
        <v>270</v>
      </c>
      <c r="F685" s="27" t="s">
        <v>414</v>
      </c>
      <c r="G685" s="27" t="s">
        <v>415</v>
      </c>
      <c r="H685" s="8" t="s">
        <v>151</v>
      </c>
      <c r="I685" s="12" t="s">
        <v>453</v>
      </c>
      <c r="J685" s="25">
        <v>43244</v>
      </c>
      <c r="K685" s="25">
        <v>43762</v>
      </c>
      <c r="L685" s="26">
        <f t="shared" si="260"/>
        <v>82.304186800362686</v>
      </c>
      <c r="M685" s="11" t="s">
        <v>272</v>
      </c>
      <c r="N685" s="11" t="s">
        <v>261</v>
      </c>
      <c r="O685" s="11" t="s">
        <v>261</v>
      </c>
      <c r="P685" s="27" t="s">
        <v>274</v>
      </c>
      <c r="Q685" s="11" t="s">
        <v>34</v>
      </c>
      <c r="R685" s="2">
        <f t="shared" si="261"/>
        <v>802303.17999999993</v>
      </c>
      <c r="S685" s="2">
        <v>646987.62</v>
      </c>
      <c r="T685" s="2">
        <v>155315.56</v>
      </c>
      <c r="U685" s="2">
        <f t="shared" si="265"/>
        <v>153003.18</v>
      </c>
      <c r="V685" s="28">
        <v>114174.29</v>
      </c>
      <c r="W685" s="28">
        <v>38828.89</v>
      </c>
      <c r="X685" s="2">
        <f t="shared" si="262"/>
        <v>0</v>
      </c>
      <c r="Y685" s="151">
        <v>0</v>
      </c>
      <c r="Z685" s="151">
        <v>0</v>
      </c>
      <c r="AA685" s="2">
        <f t="shared" si="263"/>
        <v>19496.03</v>
      </c>
      <c r="AB685" s="2">
        <v>15533.9</v>
      </c>
      <c r="AC685" s="2">
        <v>3962.13</v>
      </c>
      <c r="AD685" s="16">
        <f t="shared" si="259"/>
        <v>974802.3899999999</v>
      </c>
      <c r="AE685" s="2">
        <v>0</v>
      </c>
      <c r="AF685" s="2">
        <f t="shared" si="264"/>
        <v>974802.3899999999</v>
      </c>
      <c r="AG685" s="21" t="s">
        <v>857</v>
      </c>
      <c r="AH685" s="29" t="s">
        <v>1263</v>
      </c>
      <c r="AI685" s="30">
        <f>685815.27+32782.58+20651.76+10555.66</f>
        <v>749805.27</v>
      </c>
      <c r="AJ685" s="30">
        <f>115562.98+6251.8+3938.4+17238.46</f>
        <v>142991.63999999998</v>
      </c>
    </row>
    <row r="686" spans="1:36" s="179" customFormat="1" ht="220.5" x14ac:dyDescent="0.25">
      <c r="A686" s="6">
        <v>683</v>
      </c>
      <c r="B686" s="152">
        <v>115759</v>
      </c>
      <c r="C686" s="138">
        <v>400</v>
      </c>
      <c r="D686" s="138" t="s">
        <v>143</v>
      </c>
      <c r="E686" s="139" t="s">
        <v>373</v>
      </c>
      <c r="F686" s="153" t="s">
        <v>514</v>
      </c>
      <c r="G686" s="138" t="s">
        <v>515</v>
      </c>
      <c r="H686" s="138" t="s">
        <v>516</v>
      </c>
      <c r="I686" s="154" t="s">
        <v>517</v>
      </c>
      <c r="J686" s="155">
        <v>43270</v>
      </c>
      <c r="K686" s="25">
        <v>44853</v>
      </c>
      <c r="L686" s="26">
        <f t="shared" si="260"/>
        <v>83.98386254912667</v>
      </c>
      <c r="M686" s="138" t="s">
        <v>272</v>
      </c>
      <c r="N686" s="11" t="s">
        <v>261</v>
      </c>
      <c r="O686" s="11" t="s">
        <v>261</v>
      </c>
      <c r="P686" s="153" t="s">
        <v>138</v>
      </c>
      <c r="Q686" s="138" t="s">
        <v>34</v>
      </c>
      <c r="R686" s="2">
        <f t="shared" si="261"/>
        <v>6356286.5300000003</v>
      </c>
      <c r="S686" s="2">
        <v>5125791.33</v>
      </c>
      <c r="T686" s="2">
        <v>1230495.2</v>
      </c>
      <c r="U686" s="2">
        <f t="shared" si="265"/>
        <v>0</v>
      </c>
      <c r="V686" s="28">
        <v>0</v>
      </c>
      <c r="W686" s="28">
        <v>0</v>
      </c>
      <c r="X686" s="2">
        <f t="shared" si="262"/>
        <v>1212175.24</v>
      </c>
      <c r="Y686" s="2">
        <v>904551.39</v>
      </c>
      <c r="Z686" s="2">
        <v>307623.84999999998</v>
      </c>
      <c r="AA686" s="2">
        <f t="shared" si="263"/>
        <v>0</v>
      </c>
      <c r="AB686" s="2">
        <v>0</v>
      </c>
      <c r="AC686" s="2">
        <v>0</v>
      </c>
      <c r="AD686" s="16">
        <f t="shared" si="259"/>
        <v>7568461.7700000005</v>
      </c>
      <c r="AE686" s="2"/>
      <c r="AF686" s="2">
        <f t="shared" si="264"/>
        <v>7568461.7700000005</v>
      </c>
      <c r="AG686" s="38" t="s">
        <v>486</v>
      </c>
      <c r="AH686" s="29" t="s">
        <v>1812</v>
      </c>
      <c r="AI686" s="30">
        <f>4870800.16+213439.97+149727.1+41958.34+400275.16+91968.64+22797.41+18285.05+5114.62+15958.97+25599.96+13107.23</f>
        <v>5869032.6099999994</v>
      </c>
      <c r="AJ686" s="30">
        <v>0</v>
      </c>
    </row>
    <row r="687" spans="1:36" s="179" customFormat="1" ht="158.25" thickBot="1" x14ac:dyDescent="0.3">
      <c r="A687" s="6">
        <v>684</v>
      </c>
      <c r="B687" s="31">
        <v>118716</v>
      </c>
      <c r="C687" s="11">
        <v>455</v>
      </c>
      <c r="D687" s="98" t="s">
        <v>1641</v>
      </c>
      <c r="E687" s="24" t="s">
        <v>425</v>
      </c>
      <c r="F687" s="11" t="s">
        <v>423</v>
      </c>
      <c r="G687" s="27" t="s">
        <v>424</v>
      </c>
      <c r="H687" s="8" t="s">
        <v>151</v>
      </c>
      <c r="I687" s="12" t="s">
        <v>455</v>
      </c>
      <c r="J687" s="25">
        <v>43249</v>
      </c>
      <c r="K687" s="25">
        <v>44590</v>
      </c>
      <c r="L687" s="26">
        <f t="shared" si="260"/>
        <v>83.983862841968545</v>
      </c>
      <c r="M687" s="11" t="s">
        <v>272</v>
      </c>
      <c r="N687" s="11" t="s">
        <v>261</v>
      </c>
      <c r="O687" s="11" t="s">
        <v>261</v>
      </c>
      <c r="P687" s="27" t="s">
        <v>138</v>
      </c>
      <c r="Q687" s="11" t="s">
        <v>34</v>
      </c>
      <c r="R687" s="2">
        <f t="shared" si="261"/>
        <v>2343689.42</v>
      </c>
      <c r="S687" s="2">
        <v>1889981.33</v>
      </c>
      <c r="T687" s="2">
        <v>453708.09</v>
      </c>
      <c r="U687" s="2">
        <f t="shared" si="265"/>
        <v>0</v>
      </c>
      <c r="V687" s="28"/>
      <c r="W687" s="28"/>
      <c r="X687" s="2">
        <f t="shared" si="262"/>
        <v>446953.14</v>
      </c>
      <c r="Y687" s="2">
        <v>333526.11</v>
      </c>
      <c r="Z687" s="2">
        <v>113427.03</v>
      </c>
      <c r="AA687" s="2">
        <f t="shared" si="263"/>
        <v>0</v>
      </c>
      <c r="AB687" s="2">
        <v>0</v>
      </c>
      <c r="AC687" s="2">
        <v>0</v>
      </c>
      <c r="AD687" s="16">
        <f t="shared" si="259"/>
        <v>2790642.56</v>
      </c>
      <c r="AE687" s="2">
        <v>0</v>
      </c>
      <c r="AF687" s="2">
        <f t="shared" si="264"/>
        <v>2790642.56</v>
      </c>
      <c r="AG687" s="38" t="s">
        <v>857</v>
      </c>
      <c r="AH687" s="29" t="s">
        <v>1935</v>
      </c>
      <c r="AI687" s="30">
        <f>145011.94+359253.32+95755.51+413834.13+212612.28+361774.06+13423.98+9573.32+298573.91+81968.49+63221.23</f>
        <v>2055002.17</v>
      </c>
      <c r="AJ687" s="30">
        <v>0</v>
      </c>
    </row>
    <row r="688" spans="1:36" s="179" customFormat="1" ht="283.5" x14ac:dyDescent="0.25">
      <c r="A688" s="6">
        <v>685</v>
      </c>
      <c r="B688" s="31">
        <v>109777</v>
      </c>
      <c r="C688" s="11">
        <v>363</v>
      </c>
      <c r="D688" s="11" t="s">
        <v>143</v>
      </c>
      <c r="E688" s="24" t="s">
        <v>270</v>
      </c>
      <c r="F688" s="27" t="s">
        <v>1909</v>
      </c>
      <c r="G688" s="15" t="s">
        <v>426</v>
      </c>
      <c r="H688" s="8" t="s">
        <v>151</v>
      </c>
      <c r="I688" s="44" t="s">
        <v>427</v>
      </c>
      <c r="J688" s="25">
        <v>43251</v>
      </c>
      <c r="K688" s="25">
        <v>43738</v>
      </c>
      <c r="L688" s="26">
        <f t="shared" si="260"/>
        <v>82.304185429325983</v>
      </c>
      <c r="M688" s="11" t="s">
        <v>272</v>
      </c>
      <c r="N688" s="11" t="s">
        <v>219</v>
      </c>
      <c r="O688" s="11" t="s">
        <v>357</v>
      </c>
      <c r="P688" s="27" t="s">
        <v>274</v>
      </c>
      <c r="Q688" s="11" t="s">
        <v>34</v>
      </c>
      <c r="R688" s="2">
        <f t="shared" si="261"/>
        <v>809738</v>
      </c>
      <c r="S688" s="2">
        <v>652983.16</v>
      </c>
      <c r="T688" s="2">
        <v>156754.84</v>
      </c>
      <c r="U688" s="2">
        <f t="shared" si="265"/>
        <v>154421.03</v>
      </c>
      <c r="V688" s="28">
        <v>115232.31</v>
      </c>
      <c r="W688" s="28">
        <v>39188.720000000001</v>
      </c>
      <c r="X688" s="2">
        <f t="shared" si="262"/>
        <v>0</v>
      </c>
      <c r="Y688" s="2">
        <v>0</v>
      </c>
      <c r="Z688" s="2">
        <v>0</v>
      </c>
      <c r="AA688" s="2">
        <f t="shared" si="263"/>
        <v>19676.72</v>
      </c>
      <c r="AB688" s="2">
        <v>15677.86</v>
      </c>
      <c r="AC688" s="2">
        <v>3998.86</v>
      </c>
      <c r="AD688" s="16">
        <f t="shared" si="259"/>
        <v>983835.75</v>
      </c>
      <c r="AE688" s="5">
        <v>0</v>
      </c>
      <c r="AF688" s="2">
        <f t="shared" si="264"/>
        <v>983835.75</v>
      </c>
      <c r="AG688" s="21" t="s">
        <v>857</v>
      </c>
      <c r="AH688" s="29" t="s">
        <v>1225</v>
      </c>
      <c r="AI688" s="156">
        <f>98383.57+67957.2+131759+61030.49+98383.57-15548.08+97077.59+100688.53-14300.18+89286.06+87658.61-28814.78</f>
        <v>773561.58</v>
      </c>
      <c r="AJ688" s="30">
        <f>12959.77+25127.1+30401.05+15548.08+19201.81+14300.18+16716.91+13267.11</f>
        <v>147522.01</v>
      </c>
    </row>
    <row r="689" spans="1:109" s="179" customFormat="1" ht="189" x14ac:dyDescent="0.25">
      <c r="A689" s="6">
        <v>686</v>
      </c>
      <c r="B689" s="31">
        <v>112263</v>
      </c>
      <c r="C689" s="11">
        <v>212</v>
      </c>
      <c r="D689" s="11" t="s">
        <v>143</v>
      </c>
      <c r="E689" s="24" t="s">
        <v>270</v>
      </c>
      <c r="F689" s="27" t="s">
        <v>1910</v>
      </c>
      <c r="G689" s="27" t="s">
        <v>430</v>
      </c>
      <c r="H689" s="8" t="s">
        <v>151</v>
      </c>
      <c r="I689" s="12" t="s">
        <v>456</v>
      </c>
      <c r="J689" s="25">
        <v>43257</v>
      </c>
      <c r="K689" s="25">
        <v>43744</v>
      </c>
      <c r="L689" s="26">
        <f t="shared" si="260"/>
        <v>82.304186636665435</v>
      </c>
      <c r="M689" s="11" t="s">
        <v>272</v>
      </c>
      <c r="N689" s="11" t="s">
        <v>261</v>
      </c>
      <c r="O689" s="11" t="s">
        <v>261</v>
      </c>
      <c r="P689" s="27" t="s">
        <v>274</v>
      </c>
      <c r="Q689" s="11" t="s">
        <v>34</v>
      </c>
      <c r="R689" s="2">
        <f t="shared" si="261"/>
        <v>804068.05999999994</v>
      </c>
      <c r="S689" s="2">
        <v>648410.84</v>
      </c>
      <c r="T689" s="2">
        <v>155657.22</v>
      </c>
      <c r="U689" s="2">
        <f t="shared" si="265"/>
        <v>153339.75</v>
      </c>
      <c r="V689" s="28">
        <v>114425.45</v>
      </c>
      <c r="W689" s="28">
        <v>38914.300000000003</v>
      </c>
      <c r="X689" s="157">
        <f t="shared" si="262"/>
        <v>0</v>
      </c>
      <c r="Y689" s="2">
        <v>0</v>
      </c>
      <c r="Z689" s="2">
        <v>0</v>
      </c>
      <c r="AA689" s="2">
        <f t="shared" si="263"/>
        <v>19538.919999999998</v>
      </c>
      <c r="AB689" s="2">
        <v>15568.08</v>
      </c>
      <c r="AC689" s="2">
        <v>3970.84</v>
      </c>
      <c r="AD689" s="16">
        <f t="shared" si="259"/>
        <v>976946.73</v>
      </c>
      <c r="AE689" s="2">
        <v>0</v>
      </c>
      <c r="AF689" s="2">
        <f t="shared" si="264"/>
        <v>976946.73</v>
      </c>
      <c r="AG689" s="21" t="s">
        <v>857</v>
      </c>
      <c r="AH689" s="29"/>
      <c r="AI689" s="30">
        <f>84638.59+81518.25+15437.85+121639.28+42099.38+37504.88+114980.02+153441.7</f>
        <v>651259.94999999995</v>
      </c>
      <c r="AJ689" s="30">
        <f>13056.08+21574.93+4566.35+8028.56+23258.8+5820.82+47892.94</f>
        <v>124198.48000000001</v>
      </c>
    </row>
    <row r="690" spans="1:109" s="179" customFormat="1" ht="141.75" x14ac:dyDescent="0.25">
      <c r="A690" s="6">
        <v>687</v>
      </c>
      <c r="B690" s="31">
        <v>118978</v>
      </c>
      <c r="C690" s="11">
        <v>453</v>
      </c>
      <c r="D690" s="98" t="s">
        <v>1641</v>
      </c>
      <c r="E690" s="24" t="s">
        <v>425</v>
      </c>
      <c r="F690" s="27" t="s">
        <v>429</v>
      </c>
      <c r="G690" s="27" t="s">
        <v>428</v>
      </c>
      <c r="H690" s="8" t="s">
        <v>151</v>
      </c>
      <c r="I690" s="12" t="s">
        <v>2951</v>
      </c>
      <c r="J690" s="25">
        <v>43257</v>
      </c>
      <c r="K690" s="25">
        <v>45266</v>
      </c>
      <c r="L690" s="26">
        <f t="shared" si="260"/>
        <v>83.983863086542428</v>
      </c>
      <c r="M690" s="11" t="s">
        <v>272</v>
      </c>
      <c r="N690" s="11" t="s">
        <v>261</v>
      </c>
      <c r="O690" s="11" t="s">
        <v>261</v>
      </c>
      <c r="P690" s="27" t="s">
        <v>138</v>
      </c>
      <c r="Q690" s="11" t="s">
        <v>34</v>
      </c>
      <c r="R690" s="2">
        <f t="shared" si="261"/>
        <v>10919953.02</v>
      </c>
      <c r="S690" s="2">
        <v>8805990.6999999993</v>
      </c>
      <c r="T690" s="2">
        <v>2113962.3199999998</v>
      </c>
      <c r="U690" s="2">
        <f t="shared" si="265"/>
        <v>0</v>
      </c>
      <c r="V690" s="28">
        <v>0</v>
      </c>
      <c r="W690" s="28">
        <v>0</v>
      </c>
      <c r="X690" s="2">
        <f t="shared" si="262"/>
        <v>2082488.9000000001</v>
      </c>
      <c r="Y690" s="2">
        <v>1553998.34</v>
      </c>
      <c r="Z690" s="2">
        <v>528490.56000000006</v>
      </c>
      <c r="AA690" s="2">
        <f t="shared" si="263"/>
        <v>0</v>
      </c>
      <c r="AB690" s="2">
        <v>0</v>
      </c>
      <c r="AC690" s="2">
        <v>0</v>
      </c>
      <c r="AD690" s="16">
        <f t="shared" si="259"/>
        <v>13002441.92</v>
      </c>
      <c r="AE690" s="2">
        <v>1503920</v>
      </c>
      <c r="AF690" s="2">
        <f t="shared" si="264"/>
        <v>14506361.92</v>
      </c>
      <c r="AG690" s="38" t="s">
        <v>486</v>
      </c>
      <c r="AH690" s="29" t="s">
        <v>1735</v>
      </c>
      <c r="AI690" s="30">
        <f>1130733.83+797136.44+44591.19+242036.75+45078.83+286038.72+673891.83+473227.59+71023.88+656509.41</f>
        <v>4420268.47</v>
      </c>
      <c r="AJ690" s="30">
        <v>0</v>
      </c>
    </row>
    <row r="691" spans="1:109" s="179" customFormat="1" ht="141.75" x14ac:dyDescent="0.25">
      <c r="A691" s="6">
        <v>688</v>
      </c>
      <c r="B691" s="31">
        <v>119317</v>
      </c>
      <c r="C691" s="11">
        <v>456</v>
      </c>
      <c r="D691" s="98" t="s">
        <v>1641</v>
      </c>
      <c r="E691" s="24" t="s">
        <v>425</v>
      </c>
      <c r="F691" s="27" t="s">
        <v>461</v>
      </c>
      <c r="G691" s="27" t="s">
        <v>518</v>
      </c>
      <c r="H691" s="8" t="s">
        <v>151</v>
      </c>
      <c r="I691" s="12" t="s">
        <v>2952</v>
      </c>
      <c r="J691" s="25">
        <v>43257</v>
      </c>
      <c r="K691" s="25">
        <v>44353</v>
      </c>
      <c r="L691" s="26">
        <f t="shared" si="260"/>
        <v>83.98386278492832</v>
      </c>
      <c r="M691" s="11" t="s">
        <v>272</v>
      </c>
      <c r="N691" s="11" t="s">
        <v>261</v>
      </c>
      <c r="O691" s="11" t="s">
        <v>261</v>
      </c>
      <c r="P691" s="27" t="s">
        <v>138</v>
      </c>
      <c r="Q691" s="11" t="s">
        <v>34</v>
      </c>
      <c r="R691" s="2">
        <f t="shared" si="261"/>
        <v>26702638.300000001</v>
      </c>
      <c r="S691" s="2">
        <v>21533351.300000001</v>
      </c>
      <c r="T691" s="2">
        <v>5169287</v>
      </c>
      <c r="U691" s="2">
        <f t="shared" si="265"/>
        <v>0</v>
      </c>
      <c r="V691" s="28"/>
      <c r="W691" s="28"/>
      <c r="X691" s="2">
        <f t="shared" si="262"/>
        <v>5092324.9399999995</v>
      </c>
      <c r="Y691" s="2">
        <v>3800003.21</v>
      </c>
      <c r="Z691" s="2">
        <v>1292321.73</v>
      </c>
      <c r="AA691" s="2">
        <f t="shared" si="263"/>
        <v>0</v>
      </c>
      <c r="AB691" s="2">
        <v>0</v>
      </c>
      <c r="AC691" s="2">
        <v>0</v>
      </c>
      <c r="AD691" s="16">
        <f t="shared" si="259"/>
        <v>31794963.240000002</v>
      </c>
      <c r="AE691" s="2">
        <v>0</v>
      </c>
      <c r="AF691" s="2">
        <f t="shared" si="264"/>
        <v>31794963.240000002</v>
      </c>
      <c r="AG691" s="38" t="s">
        <v>857</v>
      </c>
      <c r="AH691" s="29" t="s">
        <v>1717</v>
      </c>
      <c r="AI691" s="30">
        <f>13204122.23+142867.13+282693.25+662367.12+10832840.9+52086.64</f>
        <v>25176977.270000003</v>
      </c>
      <c r="AJ691" s="30">
        <v>0</v>
      </c>
    </row>
    <row r="692" spans="1:109" s="179" customFormat="1" ht="267.75" x14ac:dyDescent="0.25">
      <c r="A692" s="6">
        <v>689</v>
      </c>
      <c r="B692" s="31">
        <v>111319</v>
      </c>
      <c r="C692" s="11">
        <v>359</v>
      </c>
      <c r="D692" s="11" t="s">
        <v>143</v>
      </c>
      <c r="E692" s="24" t="s">
        <v>270</v>
      </c>
      <c r="F692" s="27" t="s">
        <v>464</v>
      </c>
      <c r="G692" s="27" t="s">
        <v>462</v>
      </c>
      <c r="H692" s="11" t="s">
        <v>465</v>
      </c>
      <c r="I692" s="12" t="s">
        <v>2953</v>
      </c>
      <c r="J692" s="25">
        <v>43256</v>
      </c>
      <c r="K692" s="25">
        <v>43866</v>
      </c>
      <c r="L692" s="26">
        <f t="shared" si="260"/>
        <v>82.304189744785745</v>
      </c>
      <c r="M692" s="11" t="s">
        <v>272</v>
      </c>
      <c r="N692" s="11" t="s">
        <v>361</v>
      </c>
      <c r="O692" s="11" t="s">
        <v>361</v>
      </c>
      <c r="P692" s="27" t="s">
        <v>274</v>
      </c>
      <c r="Q692" s="11" t="s">
        <v>34</v>
      </c>
      <c r="R692" s="2">
        <f t="shared" si="261"/>
        <v>822860.82000000007</v>
      </c>
      <c r="S692" s="2">
        <v>663565.56000000006</v>
      </c>
      <c r="T692" s="2">
        <v>159295.26</v>
      </c>
      <c r="U692" s="2">
        <f t="shared" si="265"/>
        <v>156923.62</v>
      </c>
      <c r="V692" s="28">
        <v>117099.8</v>
      </c>
      <c r="W692" s="28">
        <v>39823.82</v>
      </c>
      <c r="X692" s="2">
        <f t="shared" si="262"/>
        <v>0</v>
      </c>
      <c r="Y692" s="2">
        <v>0</v>
      </c>
      <c r="Z692" s="2">
        <v>0</v>
      </c>
      <c r="AA692" s="2">
        <f t="shared" si="263"/>
        <v>19995.55</v>
      </c>
      <c r="AB692" s="2">
        <v>15931.91</v>
      </c>
      <c r="AC692" s="2">
        <v>4063.64</v>
      </c>
      <c r="AD692" s="16">
        <f t="shared" si="259"/>
        <v>999779.99000000011</v>
      </c>
      <c r="AE692" s="2">
        <v>0</v>
      </c>
      <c r="AF692" s="2">
        <f t="shared" si="264"/>
        <v>999779.99000000011</v>
      </c>
      <c r="AG692" s="38" t="s">
        <v>1427</v>
      </c>
      <c r="AH692" s="29" t="s">
        <v>1384</v>
      </c>
      <c r="AI692" s="30">
        <v>789088.58</v>
      </c>
      <c r="AJ692" s="30">
        <v>150483.12000000002</v>
      </c>
    </row>
    <row r="693" spans="1:109" s="179" customFormat="1" ht="409.5" x14ac:dyDescent="0.25">
      <c r="A693" s="6">
        <v>690</v>
      </c>
      <c r="B693" s="31">
        <v>111320</v>
      </c>
      <c r="C693" s="11">
        <v>132</v>
      </c>
      <c r="D693" s="11" t="s">
        <v>143</v>
      </c>
      <c r="E693" s="24" t="s">
        <v>270</v>
      </c>
      <c r="F693" s="27" t="s">
        <v>466</v>
      </c>
      <c r="G693" s="27" t="s">
        <v>467</v>
      </c>
      <c r="H693" s="8" t="s">
        <v>151</v>
      </c>
      <c r="I693" s="12" t="s">
        <v>468</v>
      </c>
      <c r="J693" s="25">
        <v>43258</v>
      </c>
      <c r="K693" s="25">
        <v>43745</v>
      </c>
      <c r="L693" s="26">
        <f t="shared" si="260"/>
        <v>82.304187069212688</v>
      </c>
      <c r="M693" s="11" t="s">
        <v>272</v>
      </c>
      <c r="N693" s="11" t="s">
        <v>261</v>
      </c>
      <c r="O693" s="11" t="s">
        <v>261</v>
      </c>
      <c r="P693" s="27" t="s">
        <v>274</v>
      </c>
      <c r="Q693" s="11" t="s">
        <v>34</v>
      </c>
      <c r="R693" s="2">
        <f t="shared" si="261"/>
        <v>745773.49</v>
      </c>
      <c r="S693" s="2">
        <v>601401.34</v>
      </c>
      <c r="T693" s="2">
        <v>144372.15</v>
      </c>
      <c r="U693" s="2">
        <f t="shared" si="265"/>
        <v>142222.68</v>
      </c>
      <c r="V693" s="28">
        <v>106129.65</v>
      </c>
      <c r="W693" s="28">
        <v>36093.03</v>
      </c>
      <c r="X693" s="2">
        <f t="shared" si="262"/>
        <v>0</v>
      </c>
      <c r="Y693" s="2">
        <v>0</v>
      </c>
      <c r="Z693" s="2">
        <v>0</v>
      </c>
      <c r="AA693" s="2">
        <f t="shared" si="263"/>
        <v>18122.36</v>
      </c>
      <c r="AB693" s="2">
        <v>14439.4</v>
      </c>
      <c r="AC693" s="2">
        <v>3682.96</v>
      </c>
      <c r="AD693" s="16">
        <f t="shared" si="259"/>
        <v>906118.52999999991</v>
      </c>
      <c r="AE693" s="2">
        <v>0</v>
      </c>
      <c r="AF693" s="2">
        <f t="shared" si="264"/>
        <v>906118.52999999991</v>
      </c>
      <c r="AG693" s="21" t="s">
        <v>857</v>
      </c>
      <c r="AH693" s="29"/>
      <c r="AI693" s="30">
        <f>592141.33+76026.28+52285.05</f>
        <v>720452.66</v>
      </c>
      <c r="AJ693" s="30">
        <f>23379.78+18253.47+17321.01+18762.68+17927.2+31778.72+9971.04</f>
        <v>137393.9</v>
      </c>
    </row>
    <row r="694" spans="1:109" s="179" customFormat="1" ht="141.75" x14ac:dyDescent="0.25">
      <c r="A694" s="6">
        <v>691</v>
      </c>
      <c r="B694" s="31">
        <v>110527</v>
      </c>
      <c r="C694" s="11">
        <v>353</v>
      </c>
      <c r="D694" s="11" t="s">
        <v>143</v>
      </c>
      <c r="E694" s="24" t="s">
        <v>270</v>
      </c>
      <c r="F694" s="27" t="s">
        <v>469</v>
      </c>
      <c r="G694" s="27" t="s">
        <v>470</v>
      </c>
      <c r="H694" s="11" t="s">
        <v>471</v>
      </c>
      <c r="I694" s="12" t="s">
        <v>2954</v>
      </c>
      <c r="J694" s="25">
        <v>43258</v>
      </c>
      <c r="K694" s="25">
        <v>43745</v>
      </c>
      <c r="L694" s="26">
        <f t="shared" si="260"/>
        <v>82.304183804307399</v>
      </c>
      <c r="M694" s="11" t="s">
        <v>272</v>
      </c>
      <c r="N694" s="11" t="s">
        <v>261</v>
      </c>
      <c r="O694" s="11" t="s">
        <v>261</v>
      </c>
      <c r="P694" s="27" t="s">
        <v>274</v>
      </c>
      <c r="Q694" s="11" t="s">
        <v>34</v>
      </c>
      <c r="R694" s="2">
        <f t="shared" si="261"/>
        <v>797101.36999999988</v>
      </c>
      <c r="S694" s="2">
        <v>642792.81999999995</v>
      </c>
      <c r="T694" s="2">
        <v>154308.54999999999</v>
      </c>
      <c r="U694" s="2">
        <f t="shared" si="265"/>
        <v>152011.18</v>
      </c>
      <c r="V694" s="28">
        <v>113434.03</v>
      </c>
      <c r="W694" s="28">
        <v>38577.15</v>
      </c>
      <c r="X694" s="2">
        <f t="shared" si="262"/>
        <v>0</v>
      </c>
      <c r="Y694" s="2">
        <v>0</v>
      </c>
      <c r="Z694" s="2">
        <v>0</v>
      </c>
      <c r="AA694" s="2">
        <f t="shared" si="263"/>
        <v>19369.649999999998</v>
      </c>
      <c r="AB694" s="2">
        <v>15433.21</v>
      </c>
      <c r="AC694" s="2">
        <v>3936.44</v>
      </c>
      <c r="AD694" s="16">
        <f t="shared" si="259"/>
        <v>968482.19999999984</v>
      </c>
      <c r="AE694" s="2"/>
      <c r="AF694" s="2">
        <f t="shared" si="264"/>
        <v>968482.19999999984</v>
      </c>
      <c r="AG694" s="21" t="s">
        <v>857</v>
      </c>
      <c r="AH694" s="29"/>
      <c r="AI694" s="30">
        <f>151069.39+15306.08+96848.21+24994.02+61062.29+191670.85+146395.04</f>
        <v>687345.88</v>
      </c>
      <c r="AJ694" s="30">
        <f>10340.24+21388.37+4766.48+30114.35+18083.14+46387.73</f>
        <v>131080.31</v>
      </c>
    </row>
    <row r="695" spans="1:109" s="179" customFormat="1" ht="157.5" x14ac:dyDescent="0.25">
      <c r="A695" s="6">
        <v>692</v>
      </c>
      <c r="B695" s="31">
        <v>112412</v>
      </c>
      <c r="C695" s="11">
        <v>269</v>
      </c>
      <c r="D695" s="11" t="s">
        <v>143</v>
      </c>
      <c r="E695" s="24" t="s">
        <v>270</v>
      </c>
      <c r="F695" s="27" t="s">
        <v>472</v>
      </c>
      <c r="G695" s="27" t="s">
        <v>473</v>
      </c>
      <c r="H695" s="11" t="s">
        <v>474</v>
      </c>
      <c r="I695" s="12" t="s">
        <v>2955</v>
      </c>
      <c r="J695" s="25">
        <v>43259</v>
      </c>
      <c r="K695" s="25">
        <v>43869</v>
      </c>
      <c r="L695" s="26">
        <f t="shared" si="260"/>
        <v>82.304183541065214</v>
      </c>
      <c r="M695" s="11" t="s">
        <v>272</v>
      </c>
      <c r="N695" s="11" t="s">
        <v>261</v>
      </c>
      <c r="O695" s="11" t="s">
        <v>261</v>
      </c>
      <c r="P695" s="27" t="s">
        <v>274</v>
      </c>
      <c r="Q695" s="11" t="s">
        <v>34</v>
      </c>
      <c r="R695" s="2">
        <f t="shared" si="261"/>
        <v>789670.74</v>
      </c>
      <c r="S695" s="2">
        <v>636800.65</v>
      </c>
      <c r="T695" s="2">
        <v>152870.09</v>
      </c>
      <c r="U695" s="2">
        <f t="shared" si="265"/>
        <v>150594.14000000001</v>
      </c>
      <c r="V695" s="28">
        <v>112376.61</v>
      </c>
      <c r="W695" s="28">
        <v>38217.53</v>
      </c>
      <c r="X695" s="2">
        <f t="shared" si="262"/>
        <v>0</v>
      </c>
      <c r="Y695" s="2">
        <v>0</v>
      </c>
      <c r="Z695" s="2">
        <v>0</v>
      </c>
      <c r="AA695" s="2">
        <f t="shared" si="263"/>
        <v>19189.07</v>
      </c>
      <c r="AB695" s="2">
        <v>15289.33</v>
      </c>
      <c r="AC695" s="2">
        <v>3899.74</v>
      </c>
      <c r="AD695" s="16">
        <f t="shared" si="259"/>
        <v>959453.95</v>
      </c>
      <c r="AE695" s="2"/>
      <c r="AF695" s="2">
        <f t="shared" si="264"/>
        <v>959453.95</v>
      </c>
      <c r="AG695" s="38" t="s">
        <v>1427</v>
      </c>
      <c r="AH695" s="29" t="s">
        <v>1296</v>
      </c>
      <c r="AI695" s="30">
        <f>95945.38+5019.44+25010.26+9763.75+114260.12+16124.2+16125.04+203494.65+30475.94+16453.44+90320.57+23005.98</f>
        <v>645998.77</v>
      </c>
      <c r="AJ695" s="30">
        <f>7941.36+4769.59+16667.83+3074.99+3075.12+38807.41+5811.93+3137.74+21791.13+18118.11</f>
        <v>123195.21000000002</v>
      </c>
    </row>
    <row r="696" spans="1:109" s="179" customFormat="1" ht="378" x14ac:dyDescent="0.25">
      <c r="A696" s="6">
        <v>693</v>
      </c>
      <c r="B696" s="31">
        <v>113035</v>
      </c>
      <c r="C696" s="11">
        <v>332</v>
      </c>
      <c r="D696" s="11" t="s">
        <v>143</v>
      </c>
      <c r="E696" s="24" t="s">
        <v>270</v>
      </c>
      <c r="F696" s="27" t="s">
        <v>475</v>
      </c>
      <c r="G696" s="11" t="s">
        <v>476</v>
      </c>
      <c r="H696" s="8" t="s">
        <v>151</v>
      </c>
      <c r="I696" s="12" t="s">
        <v>2956</v>
      </c>
      <c r="J696" s="25">
        <v>43258</v>
      </c>
      <c r="K696" s="25">
        <v>43745</v>
      </c>
      <c r="L696" s="26">
        <f t="shared" si="260"/>
        <v>82.304190781814583</v>
      </c>
      <c r="M696" s="11" t="s">
        <v>272</v>
      </c>
      <c r="N696" s="11" t="s">
        <v>261</v>
      </c>
      <c r="O696" s="11" t="s">
        <v>261</v>
      </c>
      <c r="P696" s="27" t="s">
        <v>274</v>
      </c>
      <c r="Q696" s="11" t="s">
        <v>34</v>
      </c>
      <c r="R696" s="2">
        <f t="shared" si="261"/>
        <v>813615.64999999991</v>
      </c>
      <c r="S696" s="2">
        <v>656110.1</v>
      </c>
      <c r="T696" s="2">
        <v>157505.54999999999</v>
      </c>
      <c r="U696" s="2">
        <f t="shared" si="265"/>
        <v>155160.44</v>
      </c>
      <c r="V696" s="28">
        <v>115784.14</v>
      </c>
      <c r="W696" s="28">
        <v>39376.300000000003</v>
      </c>
      <c r="X696" s="2">
        <f t="shared" si="262"/>
        <v>0</v>
      </c>
      <c r="Y696" s="2">
        <v>0</v>
      </c>
      <c r="Z696" s="2">
        <v>0</v>
      </c>
      <c r="AA696" s="2">
        <f t="shared" si="263"/>
        <v>19770.96</v>
      </c>
      <c r="AB696" s="2">
        <v>15752.93</v>
      </c>
      <c r="AC696" s="2">
        <v>4018.03</v>
      </c>
      <c r="AD696" s="16">
        <f t="shared" si="259"/>
        <v>988547.04999999981</v>
      </c>
      <c r="AE696" s="2">
        <v>0</v>
      </c>
      <c r="AF696" s="2">
        <f t="shared" si="264"/>
        <v>988547.04999999981</v>
      </c>
      <c r="AG696" s="21" t="s">
        <v>857</v>
      </c>
      <c r="AH696" s="29" t="s">
        <v>1292</v>
      </c>
      <c r="AI696" s="30">
        <f>660984.49+9608.72+119843.6-177</f>
        <v>790259.80999999994</v>
      </c>
      <c r="AJ696" s="30">
        <f>107200.99+19833+22854.78+817.6</f>
        <v>150706.37000000002</v>
      </c>
    </row>
    <row r="697" spans="1:109" s="179" customFormat="1" ht="252" x14ac:dyDescent="0.25">
      <c r="A697" s="6">
        <v>694</v>
      </c>
      <c r="B697" s="31">
        <v>112992</v>
      </c>
      <c r="C697" s="31">
        <v>233</v>
      </c>
      <c r="D697" s="11" t="s">
        <v>143</v>
      </c>
      <c r="E697" s="24" t="s">
        <v>270</v>
      </c>
      <c r="F697" s="67" t="s">
        <v>477</v>
      </c>
      <c r="G697" s="11" t="s">
        <v>478</v>
      </c>
      <c r="H697" s="8" t="s">
        <v>151</v>
      </c>
      <c r="I697" s="12" t="s">
        <v>2957</v>
      </c>
      <c r="J697" s="25">
        <v>43259</v>
      </c>
      <c r="K697" s="25">
        <v>43807</v>
      </c>
      <c r="L697" s="26">
        <f t="shared" si="260"/>
        <v>82.304185804634827</v>
      </c>
      <c r="M697" s="11" t="s">
        <v>272</v>
      </c>
      <c r="N697" s="11" t="s">
        <v>261</v>
      </c>
      <c r="O697" s="11" t="s">
        <v>261</v>
      </c>
      <c r="P697" s="27" t="s">
        <v>274</v>
      </c>
      <c r="Q697" s="11" t="s">
        <v>34</v>
      </c>
      <c r="R697" s="2">
        <f t="shared" si="261"/>
        <v>413202.42000000004</v>
      </c>
      <c r="S697" s="2">
        <v>333211.76</v>
      </c>
      <c r="T697" s="2">
        <v>79990.66</v>
      </c>
      <c r="U697" s="2">
        <f t="shared" si="265"/>
        <v>78799.740000000005</v>
      </c>
      <c r="V697" s="28">
        <v>58802.080000000002</v>
      </c>
      <c r="W697" s="28">
        <v>19997.66</v>
      </c>
      <c r="X697" s="2">
        <f t="shared" si="262"/>
        <v>0</v>
      </c>
      <c r="Y697" s="2">
        <v>0</v>
      </c>
      <c r="Z697" s="2">
        <v>0</v>
      </c>
      <c r="AA697" s="2">
        <f t="shared" si="263"/>
        <v>10040.86</v>
      </c>
      <c r="AB697" s="2">
        <v>8000.27</v>
      </c>
      <c r="AC697" s="2">
        <v>2040.59</v>
      </c>
      <c r="AD697" s="16">
        <f t="shared" si="259"/>
        <v>502043.02</v>
      </c>
      <c r="AE697" s="2">
        <v>96.29</v>
      </c>
      <c r="AF697" s="2">
        <f t="shared" si="264"/>
        <v>502139.31</v>
      </c>
      <c r="AG697" s="21" t="s">
        <v>857</v>
      </c>
      <c r="AH697" s="29" t="s">
        <v>1280</v>
      </c>
      <c r="AI697" s="30">
        <f>288667.07+18246.61+35182-18201.37</f>
        <v>323894.31</v>
      </c>
      <c r="AJ697" s="30">
        <f>45476.06+13053.86+3238.27</f>
        <v>61768.189999999995</v>
      </c>
    </row>
    <row r="698" spans="1:109" s="179" customFormat="1" ht="173.25" x14ac:dyDescent="0.25">
      <c r="A698" s="6">
        <v>695</v>
      </c>
      <c r="B698" s="31">
        <v>109834</v>
      </c>
      <c r="C698" s="31">
        <v>202</v>
      </c>
      <c r="D698" s="11" t="s">
        <v>143</v>
      </c>
      <c r="E698" s="24" t="s">
        <v>270</v>
      </c>
      <c r="F698" s="67" t="s">
        <v>1911</v>
      </c>
      <c r="G698" s="11" t="s">
        <v>482</v>
      </c>
      <c r="H698" s="8" t="s">
        <v>151</v>
      </c>
      <c r="I698" s="12" t="s">
        <v>2958</v>
      </c>
      <c r="J698" s="25">
        <v>43264</v>
      </c>
      <c r="K698" s="25">
        <v>43751</v>
      </c>
      <c r="L698" s="26">
        <f t="shared" si="260"/>
        <v>82.304183375849476</v>
      </c>
      <c r="M698" s="11" t="s">
        <v>272</v>
      </c>
      <c r="N698" s="11" t="s">
        <v>261</v>
      </c>
      <c r="O698" s="11" t="s">
        <v>261</v>
      </c>
      <c r="P698" s="27" t="s">
        <v>274</v>
      </c>
      <c r="Q698" s="11" t="s">
        <v>34</v>
      </c>
      <c r="R698" s="2">
        <f t="shared" si="261"/>
        <v>756907.55</v>
      </c>
      <c r="S698" s="2">
        <v>610380.03</v>
      </c>
      <c r="T698" s="2">
        <v>146527.51999999999</v>
      </c>
      <c r="U698" s="2">
        <f t="shared" si="265"/>
        <v>144346.04</v>
      </c>
      <c r="V698" s="28">
        <v>107714.13</v>
      </c>
      <c r="W698" s="28">
        <v>36631.910000000003</v>
      </c>
      <c r="X698" s="2">
        <f t="shared" si="262"/>
        <v>0</v>
      </c>
      <c r="Y698" s="2">
        <v>0</v>
      </c>
      <c r="Z698" s="2">
        <v>0</v>
      </c>
      <c r="AA698" s="2">
        <f t="shared" si="263"/>
        <v>18392.919999999998</v>
      </c>
      <c r="AB698" s="2">
        <v>14654.96</v>
      </c>
      <c r="AC698" s="2">
        <v>3737.96</v>
      </c>
      <c r="AD698" s="16">
        <f t="shared" si="259"/>
        <v>919646.51000000013</v>
      </c>
      <c r="AE698" s="2">
        <v>0</v>
      </c>
      <c r="AF698" s="2">
        <f t="shared" si="264"/>
        <v>919646.51000000013</v>
      </c>
      <c r="AG698" s="21" t="s">
        <v>857</v>
      </c>
      <c r="AH698" s="29" t="s">
        <v>1274</v>
      </c>
      <c r="AI698" s="30">
        <f>563280.08+150291.55-17456.57</f>
        <v>696115.05999999994</v>
      </c>
      <c r="AJ698" s="30">
        <f>103044.14+15874.06+13834.42</f>
        <v>132752.62</v>
      </c>
    </row>
    <row r="699" spans="1:109" s="179" customFormat="1" ht="267.75" x14ac:dyDescent="0.25">
      <c r="A699" s="6">
        <v>696</v>
      </c>
      <c r="B699" s="31">
        <v>111613</v>
      </c>
      <c r="C699" s="31">
        <v>289</v>
      </c>
      <c r="D699" s="11" t="s">
        <v>143</v>
      </c>
      <c r="E699" s="24" t="s">
        <v>270</v>
      </c>
      <c r="F699" s="67" t="s">
        <v>1912</v>
      </c>
      <c r="G699" s="11" t="s">
        <v>483</v>
      </c>
      <c r="H699" s="11" t="s">
        <v>484</v>
      </c>
      <c r="I699" s="12" t="s">
        <v>2959</v>
      </c>
      <c r="J699" s="25">
        <v>43264</v>
      </c>
      <c r="K699" s="25">
        <v>43751</v>
      </c>
      <c r="L699" s="26">
        <f t="shared" si="260"/>
        <v>82.304185024184278</v>
      </c>
      <c r="M699" s="11" t="s">
        <v>272</v>
      </c>
      <c r="N699" s="11" t="s">
        <v>485</v>
      </c>
      <c r="O699" s="11" t="s">
        <v>485</v>
      </c>
      <c r="P699" s="27" t="s">
        <v>274</v>
      </c>
      <c r="Q699" s="11" t="s">
        <v>34</v>
      </c>
      <c r="R699" s="2">
        <f t="shared" si="261"/>
        <v>790560.66</v>
      </c>
      <c r="S699" s="2">
        <v>637518.30000000005</v>
      </c>
      <c r="T699" s="2">
        <v>153042.35999999999</v>
      </c>
      <c r="U699" s="2">
        <f t="shared" si="265"/>
        <v>150763.83000000002</v>
      </c>
      <c r="V699" s="28">
        <v>112503.22</v>
      </c>
      <c r="W699" s="28">
        <v>38260.61</v>
      </c>
      <c r="X699" s="2">
        <v>0</v>
      </c>
      <c r="Y699" s="2">
        <v>0</v>
      </c>
      <c r="Z699" s="2">
        <v>0</v>
      </c>
      <c r="AA699" s="2">
        <f t="shared" si="263"/>
        <v>19210.7</v>
      </c>
      <c r="AB699" s="2">
        <v>15306.57</v>
      </c>
      <c r="AC699" s="2">
        <v>3904.13</v>
      </c>
      <c r="AD699" s="16">
        <f t="shared" si="259"/>
        <v>960535.19</v>
      </c>
      <c r="AE699" s="2">
        <v>67830</v>
      </c>
      <c r="AF699" s="2">
        <f t="shared" si="264"/>
        <v>1028365.19</v>
      </c>
      <c r="AG699" s="21" t="s">
        <v>857</v>
      </c>
      <c r="AH699" s="29" t="s">
        <v>358</v>
      </c>
      <c r="AI699" s="30">
        <f>601578.5+85673.04+17171.08</f>
        <v>704422.62</v>
      </c>
      <c r="AJ699" s="30">
        <f>96406.11+16338.28+21592.49</f>
        <v>134336.88</v>
      </c>
    </row>
    <row r="700" spans="1:109" s="179" customFormat="1" ht="173.25" x14ac:dyDescent="0.25">
      <c r="A700" s="6">
        <v>697</v>
      </c>
      <c r="B700" s="31">
        <v>112219</v>
      </c>
      <c r="C700" s="31">
        <v>274</v>
      </c>
      <c r="D700" s="11" t="s">
        <v>143</v>
      </c>
      <c r="E700" s="24" t="s">
        <v>270</v>
      </c>
      <c r="F700" s="27" t="s">
        <v>490</v>
      </c>
      <c r="G700" s="11" t="s">
        <v>491</v>
      </c>
      <c r="H700" s="11" t="s">
        <v>492</v>
      </c>
      <c r="I700" s="12" t="s">
        <v>495</v>
      </c>
      <c r="J700" s="25">
        <v>43262</v>
      </c>
      <c r="K700" s="25">
        <v>43749</v>
      </c>
      <c r="L700" s="26">
        <f t="shared" si="260"/>
        <v>82.304180101214385</v>
      </c>
      <c r="M700" s="11" t="s">
        <v>272</v>
      </c>
      <c r="N700" s="11" t="s">
        <v>493</v>
      </c>
      <c r="O700" s="11" t="s">
        <v>494</v>
      </c>
      <c r="P700" s="27" t="s">
        <v>274</v>
      </c>
      <c r="Q700" s="11" t="s">
        <v>34</v>
      </c>
      <c r="R700" s="2">
        <f t="shared" ref="R700:R717" si="266">S700+T700</f>
        <v>796246.49</v>
      </c>
      <c r="S700" s="2">
        <v>642103.43000000005</v>
      </c>
      <c r="T700" s="2">
        <v>154143.06</v>
      </c>
      <c r="U700" s="2">
        <f t="shared" si="265"/>
        <v>151848.19</v>
      </c>
      <c r="V700" s="28">
        <v>113312.41</v>
      </c>
      <c r="W700" s="28">
        <v>38535.78</v>
      </c>
      <c r="X700" s="2">
        <f t="shared" ref="X700:X730" si="267">Y700+Z700</f>
        <v>0</v>
      </c>
      <c r="Y700" s="2">
        <v>0</v>
      </c>
      <c r="Z700" s="2">
        <v>0</v>
      </c>
      <c r="AA700" s="2">
        <f t="shared" ref="AA700:AA730" si="268">AB700+AC700</f>
        <v>19348.88</v>
      </c>
      <c r="AB700" s="2">
        <v>15416.65</v>
      </c>
      <c r="AC700" s="2">
        <v>3932.23</v>
      </c>
      <c r="AD700" s="16">
        <f t="shared" si="259"/>
        <v>967443.55999999994</v>
      </c>
      <c r="AE700" s="2"/>
      <c r="AF700" s="2">
        <f t="shared" ref="AF700:AF730" si="269">AD700+AE700</f>
        <v>967443.55999999994</v>
      </c>
      <c r="AG700" s="21" t="s">
        <v>857</v>
      </c>
      <c r="AH700" s="29" t="s">
        <v>1284</v>
      </c>
      <c r="AI700" s="30">
        <f>191558.95+82810.85-11941.24+189135.5-9602.09+179531.24+112002.06-2148.73+7719.83</f>
        <v>739066.37</v>
      </c>
      <c r="AJ700" s="30">
        <f>18065.03+15792.44+11941.24+3307.22+18543.36+15614.11+16792.23+39159.49+1728.5</f>
        <v>140943.62</v>
      </c>
    </row>
    <row r="701" spans="1:109" s="179" customFormat="1" ht="141.75" x14ac:dyDescent="0.25">
      <c r="A701" s="6">
        <v>698</v>
      </c>
      <c r="B701" s="31">
        <v>111981</v>
      </c>
      <c r="C701" s="31">
        <v>264</v>
      </c>
      <c r="D701" s="11" t="s">
        <v>143</v>
      </c>
      <c r="E701" s="24" t="s">
        <v>270</v>
      </c>
      <c r="F701" s="27" t="s">
        <v>496</v>
      </c>
      <c r="G701" s="11" t="s">
        <v>497</v>
      </c>
      <c r="H701" s="11" t="s">
        <v>498</v>
      </c>
      <c r="I701" s="12" t="s">
        <v>2960</v>
      </c>
      <c r="J701" s="25">
        <v>43264</v>
      </c>
      <c r="K701" s="25">
        <v>43874</v>
      </c>
      <c r="L701" s="26">
        <f t="shared" si="260"/>
        <v>82.304187524210803</v>
      </c>
      <c r="M701" s="11" t="s">
        <v>272</v>
      </c>
      <c r="N701" s="11" t="s">
        <v>499</v>
      </c>
      <c r="O701" s="11" t="s">
        <v>357</v>
      </c>
      <c r="P701" s="27" t="s">
        <v>274</v>
      </c>
      <c r="Q701" s="11" t="s">
        <v>34</v>
      </c>
      <c r="R701" s="2">
        <f t="shared" si="266"/>
        <v>771066.18</v>
      </c>
      <c r="S701" s="2">
        <v>621797.65</v>
      </c>
      <c r="T701" s="2">
        <v>149268.53</v>
      </c>
      <c r="U701" s="2">
        <f t="shared" si="265"/>
        <v>147046.1</v>
      </c>
      <c r="V701" s="28">
        <v>109729</v>
      </c>
      <c r="W701" s="28">
        <v>37317.1</v>
      </c>
      <c r="X701" s="2">
        <f t="shared" si="267"/>
        <v>0</v>
      </c>
      <c r="Y701" s="2">
        <v>0</v>
      </c>
      <c r="Z701" s="2">
        <v>0</v>
      </c>
      <c r="AA701" s="2">
        <f t="shared" si="268"/>
        <v>18736.989999999998</v>
      </c>
      <c r="AB701" s="2">
        <v>14929.14</v>
      </c>
      <c r="AC701" s="2">
        <v>3807.85</v>
      </c>
      <c r="AD701" s="16">
        <f t="shared" si="259"/>
        <v>936849.27</v>
      </c>
      <c r="AE701" s="2"/>
      <c r="AF701" s="2">
        <f t="shared" si="269"/>
        <v>936849.27</v>
      </c>
      <c r="AG701" s="38" t="s">
        <v>1427</v>
      </c>
      <c r="AH701" s="29" t="s">
        <v>1392</v>
      </c>
      <c r="AI701" s="30">
        <f>627878.85+15145.61+1697.71+43882.89+21028.71</f>
        <v>709633.7699999999</v>
      </c>
      <c r="AJ701" s="30">
        <f>105047.04+2888.35+12346.51+11038.55+4010.29</f>
        <v>135330.74</v>
      </c>
    </row>
    <row r="702" spans="1:109" s="179" customFormat="1" ht="252" x14ac:dyDescent="0.25">
      <c r="A702" s="6">
        <v>699</v>
      </c>
      <c r="B702" s="31">
        <v>113037</v>
      </c>
      <c r="C702" s="31">
        <v>280</v>
      </c>
      <c r="D702" s="11" t="s">
        <v>143</v>
      </c>
      <c r="E702" s="24" t="s">
        <v>270</v>
      </c>
      <c r="F702" s="27" t="s">
        <v>511</v>
      </c>
      <c r="G702" s="11" t="s">
        <v>509</v>
      </c>
      <c r="H702" s="11" t="s">
        <v>510</v>
      </c>
      <c r="I702" s="12" t="s">
        <v>2961</v>
      </c>
      <c r="J702" s="25">
        <v>43269</v>
      </c>
      <c r="K702" s="25">
        <v>43756</v>
      </c>
      <c r="L702" s="26">
        <f t="shared" si="260"/>
        <v>82.304185659324261</v>
      </c>
      <c r="M702" s="11" t="s">
        <v>272</v>
      </c>
      <c r="N702" s="11" t="s">
        <v>261</v>
      </c>
      <c r="O702" s="11" t="s">
        <v>261</v>
      </c>
      <c r="P702" s="27" t="s">
        <v>274</v>
      </c>
      <c r="Q702" s="11" t="s">
        <v>34</v>
      </c>
      <c r="R702" s="2">
        <f t="shared" si="266"/>
        <v>812766.5</v>
      </c>
      <c r="S702" s="2">
        <v>655425.36</v>
      </c>
      <c r="T702" s="2">
        <v>157341.14000000001</v>
      </c>
      <c r="U702" s="2">
        <f t="shared" si="265"/>
        <v>154998.59</v>
      </c>
      <c r="V702" s="28">
        <v>115663.31</v>
      </c>
      <c r="W702" s="28">
        <v>39335.279999999999</v>
      </c>
      <c r="X702" s="2">
        <f t="shared" si="267"/>
        <v>0</v>
      </c>
      <c r="Y702" s="2">
        <v>0</v>
      </c>
      <c r="Z702" s="2">
        <v>0</v>
      </c>
      <c r="AA702" s="2">
        <f t="shared" si="268"/>
        <v>19750.3</v>
      </c>
      <c r="AB702" s="2">
        <v>15736.51</v>
      </c>
      <c r="AC702" s="2">
        <v>4013.79</v>
      </c>
      <c r="AD702" s="16">
        <f t="shared" si="259"/>
        <v>987515.39</v>
      </c>
      <c r="AE702" s="2"/>
      <c r="AF702" s="2">
        <f t="shared" si="269"/>
        <v>987515.39</v>
      </c>
      <c r="AG702" s="21" t="s">
        <v>857</v>
      </c>
      <c r="AH702" s="29" t="s">
        <v>358</v>
      </c>
      <c r="AI702" s="30">
        <f>453689.55+62401.05+231922.17+8071.09</f>
        <v>756083.86</v>
      </c>
      <c r="AJ702" s="30">
        <f>14547.96+18386.23+14448.94+20305.31+30732.58+44228.7+1539.2</f>
        <v>144188.92000000001</v>
      </c>
    </row>
    <row r="703" spans="1:109" s="179" customFormat="1" ht="220.5" x14ac:dyDescent="0.25">
      <c r="A703" s="6">
        <v>700</v>
      </c>
      <c r="B703" s="31">
        <v>126354</v>
      </c>
      <c r="C703" s="31">
        <v>491</v>
      </c>
      <c r="D703" s="98" t="s">
        <v>1641</v>
      </c>
      <c r="E703" s="32" t="s">
        <v>983</v>
      </c>
      <c r="F703" s="11" t="s">
        <v>982</v>
      </c>
      <c r="G703" s="11" t="s">
        <v>981</v>
      </c>
      <c r="H703" s="8" t="s">
        <v>151</v>
      </c>
      <c r="I703" s="32" t="s">
        <v>2962</v>
      </c>
      <c r="J703" s="25">
        <v>43515</v>
      </c>
      <c r="K703" s="25">
        <v>44396</v>
      </c>
      <c r="L703" s="26">
        <f t="shared" si="260"/>
        <v>83.300000282457262</v>
      </c>
      <c r="M703" s="11" t="s">
        <v>991</v>
      </c>
      <c r="N703" s="11" t="s">
        <v>990</v>
      </c>
      <c r="O703" s="11" t="s">
        <v>990</v>
      </c>
      <c r="P703" s="11" t="s">
        <v>274</v>
      </c>
      <c r="Q703" s="11" t="s">
        <v>34</v>
      </c>
      <c r="R703" s="30">
        <f t="shared" si="266"/>
        <v>2064383.09</v>
      </c>
      <c r="S703" s="30">
        <v>2064383.09</v>
      </c>
      <c r="T703" s="41">
        <v>0</v>
      </c>
      <c r="U703" s="30">
        <f t="shared" si="265"/>
        <v>364302.89</v>
      </c>
      <c r="V703" s="42">
        <v>364302.89</v>
      </c>
      <c r="W703" s="42">
        <v>0</v>
      </c>
      <c r="X703" s="30">
        <f t="shared" si="267"/>
        <v>0</v>
      </c>
      <c r="Y703" s="30">
        <v>0</v>
      </c>
      <c r="Z703" s="30">
        <v>0</v>
      </c>
      <c r="AA703" s="2">
        <f t="shared" si="268"/>
        <v>49565.02</v>
      </c>
      <c r="AB703" s="2">
        <v>49565.02</v>
      </c>
      <c r="AC703" s="2">
        <v>0</v>
      </c>
      <c r="AD703" s="16">
        <f t="shared" si="259"/>
        <v>2478251</v>
      </c>
      <c r="AE703" s="2">
        <v>0</v>
      </c>
      <c r="AF703" s="2">
        <f t="shared" si="269"/>
        <v>2478251</v>
      </c>
      <c r="AG703" s="38" t="s">
        <v>857</v>
      </c>
      <c r="AH703" s="38" t="s">
        <v>1725</v>
      </c>
      <c r="AI703" s="30">
        <f>1316864.99+240073.95+240073.95-7751.05+247825+5003.81+17027.71</f>
        <v>2059118.3599999999</v>
      </c>
      <c r="AJ703" s="30">
        <f>188653.99+42365.98+42365.98+42365.98+35793.35+11828.41</f>
        <v>363373.68999999994</v>
      </c>
    </row>
    <row r="704" spans="1:109" s="179" customFormat="1" ht="220.5" x14ac:dyDescent="0.25">
      <c r="A704" s="6">
        <v>701</v>
      </c>
      <c r="B704" s="31">
        <v>125435</v>
      </c>
      <c r="C704" s="31">
        <v>493</v>
      </c>
      <c r="D704" s="98" t="s">
        <v>1641</v>
      </c>
      <c r="E704" s="32" t="s">
        <v>983</v>
      </c>
      <c r="F704" s="31" t="s">
        <v>1000</v>
      </c>
      <c r="G704" s="11" t="s">
        <v>1001</v>
      </c>
      <c r="H704" s="8" t="s">
        <v>151</v>
      </c>
      <c r="I704" s="46" t="s">
        <v>1002</v>
      </c>
      <c r="J704" s="25">
        <v>43531</v>
      </c>
      <c r="K704" s="25">
        <v>44234</v>
      </c>
      <c r="L704" s="26">
        <f t="shared" si="260"/>
        <v>83.300000892581892</v>
      </c>
      <c r="M704" s="11" t="s">
        <v>1003</v>
      </c>
      <c r="N704" s="11" t="s">
        <v>1004</v>
      </c>
      <c r="O704" s="11" t="s">
        <v>1004</v>
      </c>
      <c r="P704" s="11" t="s">
        <v>274</v>
      </c>
      <c r="Q704" s="11" t="s">
        <v>34</v>
      </c>
      <c r="R704" s="30">
        <f t="shared" si="266"/>
        <v>1523993.4999999998</v>
      </c>
      <c r="S704" s="2">
        <v>1523993.4999999998</v>
      </c>
      <c r="T704" s="2">
        <v>0</v>
      </c>
      <c r="U704" s="30">
        <f t="shared" si="265"/>
        <v>268940.00999999995</v>
      </c>
      <c r="V704" s="28">
        <v>268940.00999999995</v>
      </c>
      <c r="W704" s="28">
        <v>0</v>
      </c>
      <c r="X704" s="30">
        <f t="shared" si="267"/>
        <v>0</v>
      </c>
      <c r="Y704" s="2">
        <v>0</v>
      </c>
      <c r="Z704" s="2">
        <v>0</v>
      </c>
      <c r="AA704" s="2">
        <f t="shared" si="268"/>
        <v>36590.48000000001</v>
      </c>
      <c r="AB704" s="2">
        <v>36590.48000000001</v>
      </c>
      <c r="AC704" s="2">
        <v>0</v>
      </c>
      <c r="AD704" s="16">
        <f t="shared" si="259"/>
        <v>1829523.9899999998</v>
      </c>
      <c r="AE704" s="2">
        <v>0</v>
      </c>
      <c r="AF704" s="2">
        <f t="shared" si="269"/>
        <v>1829523.9899999998</v>
      </c>
      <c r="AG704" s="38" t="s">
        <v>857</v>
      </c>
      <c r="AH704" s="29" t="s">
        <v>1666</v>
      </c>
      <c r="AI704" s="30">
        <f>288486.99+139941.28-7379.3+112722.77-19340.45+128936.28+106270.05+79760.38-62350.07</f>
        <v>767047.93</v>
      </c>
      <c r="AJ704" s="30">
        <f>14309.49+24483.75+7379.3+10963.67+19340.45+23526.72+14075.36+21282.69</f>
        <v>135361.43</v>
      </c>
      <c r="AK704" s="43"/>
      <c r="AL704" s="43"/>
      <c r="AM704" s="43"/>
      <c r="AN704" s="43"/>
      <c r="AO704" s="43"/>
      <c r="AP704" s="43"/>
      <c r="AQ704" s="43"/>
      <c r="AR704" s="43"/>
      <c r="AS704" s="43"/>
      <c r="AT704" s="43"/>
      <c r="AU704" s="43"/>
      <c r="AV704" s="43"/>
      <c r="AW704" s="43"/>
      <c r="AX704" s="43"/>
      <c r="AY704" s="43"/>
      <c r="AZ704" s="43"/>
      <c r="BA704" s="43"/>
      <c r="BB704" s="43"/>
      <c r="BC704" s="43"/>
      <c r="BD704" s="43"/>
      <c r="BE704" s="43"/>
      <c r="BF704" s="43"/>
      <c r="BG704" s="43"/>
      <c r="BH704" s="43"/>
      <c r="BI704" s="43"/>
      <c r="BJ704" s="43"/>
      <c r="BK704" s="43"/>
      <c r="BL704" s="43"/>
      <c r="BM704" s="43"/>
      <c r="BN704" s="43"/>
      <c r="BO704" s="43"/>
      <c r="BP704" s="43"/>
      <c r="BQ704" s="43"/>
      <c r="BR704" s="43"/>
      <c r="BS704" s="43"/>
      <c r="BT704" s="43"/>
      <c r="BU704" s="43"/>
      <c r="BV704" s="43"/>
      <c r="BW704" s="43"/>
      <c r="BX704" s="43"/>
      <c r="BY704" s="43"/>
      <c r="BZ704" s="43"/>
      <c r="CA704" s="43"/>
      <c r="CB704" s="43"/>
      <c r="CC704" s="43"/>
      <c r="CD704" s="43"/>
      <c r="CE704" s="43"/>
      <c r="CF704" s="43"/>
      <c r="CG704" s="43"/>
      <c r="CH704" s="43"/>
      <c r="CI704" s="43"/>
      <c r="CJ704" s="43"/>
      <c r="CK704" s="43"/>
      <c r="CL704" s="43"/>
      <c r="CM704" s="43"/>
      <c r="CN704" s="43"/>
      <c r="CO704" s="43"/>
      <c r="CP704" s="43"/>
      <c r="CQ704" s="43"/>
      <c r="CR704" s="43"/>
      <c r="CS704" s="43"/>
      <c r="CT704" s="43"/>
      <c r="CU704" s="43"/>
      <c r="CV704" s="43"/>
      <c r="CW704" s="43"/>
      <c r="CX704" s="43"/>
      <c r="CY704" s="43"/>
      <c r="CZ704" s="43"/>
      <c r="DA704" s="43"/>
      <c r="DB704" s="43"/>
      <c r="DC704" s="43"/>
      <c r="DD704" s="43"/>
      <c r="DE704" s="43"/>
    </row>
    <row r="705" spans="1:36" s="179" customFormat="1" ht="141.75" x14ac:dyDescent="0.25">
      <c r="A705" s="6">
        <v>702</v>
      </c>
      <c r="B705" s="31">
        <v>111409</v>
      </c>
      <c r="C705" s="31">
        <v>193</v>
      </c>
      <c r="D705" s="11" t="s">
        <v>143</v>
      </c>
      <c r="E705" s="24" t="s">
        <v>270</v>
      </c>
      <c r="F705" s="67" t="s">
        <v>522</v>
      </c>
      <c r="G705" s="11" t="s">
        <v>521</v>
      </c>
      <c r="H705" s="8" t="s">
        <v>151</v>
      </c>
      <c r="I705" s="12" t="s">
        <v>2963</v>
      </c>
      <c r="J705" s="25">
        <v>43271</v>
      </c>
      <c r="K705" s="25">
        <v>43819</v>
      </c>
      <c r="L705" s="26">
        <f t="shared" si="260"/>
        <v>82.304192821223239</v>
      </c>
      <c r="M705" s="11" t="s">
        <v>272</v>
      </c>
      <c r="N705" s="11" t="s">
        <v>261</v>
      </c>
      <c r="O705" s="11" t="s">
        <v>261</v>
      </c>
      <c r="P705" s="27" t="s">
        <v>274</v>
      </c>
      <c r="Q705" s="11" t="s">
        <v>34</v>
      </c>
      <c r="R705" s="158">
        <f t="shared" si="266"/>
        <v>813056.8</v>
      </c>
      <c r="S705" s="2">
        <v>655659.42000000004</v>
      </c>
      <c r="T705" s="2">
        <v>157397.38</v>
      </c>
      <c r="U705" s="2">
        <f t="shared" si="265"/>
        <v>155053.86000000002</v>
      </c>
      <c r="V705" s="28">
        <v>115704.6</v>
      </c>
      <c r="W705" s="28">
        <v>39349.26</v>
      </c>
      <c r="X705" s="2">
        <f t="shared" si="267"/>
        <v>0</v>
      </c>
      <c r="Y705" s="2">
        <v>0</v>
      </c>
      <c r="Z705" s="2">
        <v>0</v>
      </c>
      <c r="AA705" s="2">
        <f t="shared" si="268"/>
        <v>19757.36</v>
      </c>
      <c r="AB705" s="2">
        <v>15742.12</v>
      </c>
      <c r="AC705" s="2">
        <v>4015.24</v>
      </c>
      <c r="AD705" s="16">
        <f t="shared" si="259"/>
        <v>987868.02</v>
      </c>
      <c r="AE705" s="2">
        <v>0</v>
      </c>
      <c r="AF705" s="2">
        <f t="shared" si="269"/>
        <v>987868.02</v>
      </c>
      <c r="AG705" s="38" t="s">
        <v>857</v>
      </c>
      <c r="AH705" s="29" t="s">
        <v>1286</v>
      </c>
      <c r="AI705" s="30">
        <f>794317.39-32626.91</f>
        <v>761690.48</v>
      </c>
      <c r="AJ705" s="30">
        <f>142402.74+2855.49</f>
        <v>145258.22999999998</v>
      </c>
    </row>
    <row r="706" spans="1:36" s="179" customFormat="1" ht="141.75" x14ac:dyDescent="0.25">
      <c r="A706" s="6">
        <v>703</v>
      </c>
      <c r="B706" s="31">
        <v>118676</v>
      </c>
      <c r="C706" s="31">
        <v>432</v>
      </c>
      <c r="D706" s="32" t="s">
        <v>1640</v>
      </c>
      <c r="E706" s="24" t="s">
        <v>523</v>
      </c>
      <c r="F706" s="67" t="s">
        <v>524</v>
      </c>
      <c r="G706" s="11" t="s">
        <v>525</v>
      </c>
      <c r="H706" s="11" t="s">
        <v>526</v>
      </c>
      <c r="I706" s="12" t="s">
        <v>527</v>
      </c>
      <c r="J706" s="25">
        <v>43270</v>
      </c>
      <c r="K706" s="25">
        <v>44123</v>
      </c>
      <c r="L706" s="26">
        <f t="shared" si="260"/>
        <v>83.983865028301139</v>
      </c>
      <c r="M706" s="11" t="s">
        <v>272</v>
      </c>
      <c r="N706" s="11" t="s">
        <v>261</v>
      </c>
      <c r="O706" s="11" t="s">
        <v>261</v>
      </c>
      <c r="P706" s="27" t="s">
        <v>138</v>
      </c>
      <c r="Q706" s="11" t="s">
        <v>34</v>
      </c>
      <c r="R706" s="2">
        <f t="shared" si="266"/>
        <v>3030823.99</v>
      </c>
      <c r="S706" s="2">
        <v>2444095.48</v>
      </c>
      <c r="T706" s="2">
        <v>586728.51</v>
      </c>
      <c r="U706" s="2">
        <f t="shared" si="265"/>
        <v>0</v>
      </c>
      <c r="V706" s="28"/>
      <c r="W706" s="28"/>
      <c r="X706" s="2">
        <f t="shared" si="267"/>
        <v>577993</v>
      </c>
      <c r="Y706" s="2">
        <v>431310.9</v>
      </c>
      <c r="Z706" s="2">
        <v>146682.1</v>
      </c>
      <c r="AA706" s="2">
        <f t="shared" si="268"/>
        <v>0</v>
      </c>
      <c r="AB706" s="2">
        <v>0</v>
      </c>
      <c r="AC706" s="2">
        <v>0</v>
      </c>
      <c r="AD706" s="16">
        <f t="shared" si="259"/>
        <v>3608816.99</v>
      </c>
      <c r="AE706" s="2">
        <v>0</v>
      </c>
      <c r="AF706" s="2">
        <f t="shared" si="269"/>
        <v>3608816.99</v>
      </c>
      <c r="AG706" s="38" t="s">
        <v>857</v>
      </c>
      <c r="AH706" s="29" t="s">
        <v>1467</v>
      </c>
      <c r="AI706" s="30">
        <f>43102.2+366371.99+199.89+120510.92+225498.13+197283.1+424052.29+106695.85+434818.86+188984.59+142063.67+503037.01</f>
        <v>2752618.5</v>
      </c>
      <c r="AJ706" s="30">
        <v>0</v>
      </c>
    </row>
    <row r="707" spans="1:36" s="179" customFormat="1" ht="323.25" customHeight="1" x14ac:dyDescent="0.25">
      <c r="A707" s="6">
        <v>704</v>
      </c>
      <c r="B707" s="31">
        <v>111610</v>
      </c>
      <c r="C707" s="31">
        <v>374</v>
      </c>
      <c r="D707" s="98" t="s">
        <v>1641</v>
      </c>
      <c r="E707" s="24" t="s">
        <v>528</v>
      </c>
      <c r="F707" s="67" t="s">
        <v>530</v>
      </c>
      <c r="G707" s="11" t="s">
        <v>529</v>
      </c>
      <c r="H707" s="11" t="s">
        <v>531</v>
      </c>
      <c r="I707" s="12" t="s">
        <v>534</v>
      </c>
      <c r="J707" s="25">
        <v>43272</v>
      </c>
      <c r="K707" s="25">
        <v>43820</v>
      </c>
      <c r="L707" s="26">
        <f t="shared" si="260"/>
        <v>82.304187026365071</v>
      </c>
      <c r="M707" s="11" t="s">
        <v>272</v>
      </c>
      <c r="N707" s="11" t="s">
        <v>261</v>
      </c>
      <c r="O707" s="11" t="s">
        <v>261</v>
      </c>
      <c r="P707" s="27" t="s">
        <v>274</v>
      </c>
      <c r="Q707" s="11" t="s">
        <v>34</v>
      </c>
      <c r="R707" s="2">
        <f t="shared" si="266"/>
        <v>3413208.43</v>
      </c>
      <c r="S707" s="2">
        <v>2752455.22</v>
      </c>
      <c r="T707" s="2">
        <v>660753.21</v>
      </c>
      <c r="U707" s="2">
        <f t="shared" si="265"/>
        <v>650915.57999999996</v>
      </c>
      <c r="V707" s="28">
        <v>485727.31</v>
      </c>
      <c r="W707" s="28">
        <v>165188.26999999999</v>
      </c>
      <c r="X707" s="2">
        <f t="shared" si="267"/>
        <v>0</v>
      </c>
      <c r="Y707" s="2">
        <v>0</v>
      </c>
      <c r="Z707" s="2">
        <v>0</v>
      </c>
      <c r="AA707" s="2">
        <f t="shared" si="268"/>
        <v>82941.350000000006</v>
      </c>
      <c r="AB707" s="2">
        <v>66085.38</v>
      </c>
      <c r="AC707" s="2">
        <v>16855.97</v>
      </c>
      <c r="AD707" s="16">
        <f t="shared" si="259"/>
        <v>4147065.3600000003</v>
      </c>
      <c r="AE707" s="2">
        <v>0</v>
      </c>
      <c r="AF707" s="2">
        <f t="shared" si="269"/>
        <v>4147065.3600000003</v>
      </c>
      <c r="AG707" s="38" t="s">
        <v>857</v>
      </c>
      <c r="AH707" s="29" t="s">
        <v>1285</v>
      </c>
      <c r="AI707" s="30">
        <f>413506.52+39634.08+203862.73+22675.21+238112.3-5677.61+315671.54+256839.5+48499.95+31156.55+577305.1+574631.44+238908.29+212961.41</f>
        <v>3168087.0100000002</v>
      </c>
      <c r="AJ707" s="30">
        <f>51329.52+25659.99+79433+5677.61+44422.4+12020.11+67601.69+43232.94+109585.05+124594.61+40612.79</f>
        <v>604169.71000000008</v>
      </c>
    </row>
    <row r="708" spans="1:36" s="179" customFormat="1" ht="141.75" x14ac:dyDescent="0.25">
      <c r="A708" s="6">
        <v>705</v>
      </c>
      <c r="B708" s="31">
        <v>110423</v>
      </c>
      <c r="C708" s="31">
        <v>207</v>
      </c>
      <c r="D708" s="11" t="s">
        <v>143</v>
      </c>
      <c r="E708" s="24" t="s">
        <v>270</v>
      </c>
      <c r="F708" s="67" t="s">
        <v>1913</v>
      </c>
      <c r="G708" s="70" t="s">
        <v>532</v>
      </c>
      <c r="H708" s="8" t="s">
        <v>151</v>
      </c>
      <c r="I708" s="12" t="s">
        <v>533</v>
      </c>
      <c r="J708" s="25">
        <v>43272</v>
      </c>
      <c r="K708" s="25">
        <v>43820</v>
      </c>
      <c r="L708" s="26">
        <f t="shared" si="260"/>
        <v>82.304184780767926</v>
      </c>
      <c r="M708" s="11" t="s">
        <v>272</v>
      </c>
      <c r="N708" s="11" t="s">
        <v>261</v>
      </c>
      <c r="O708" s="11" t="s">
        <v>261</v>
      </c>
      <c r="P708" s="27" t="s">
        <v>274</v>
      </c>
      <c r="Q708" s="11" t="s">
        <v>34</v>
      </c>
      <c r="R708" s="2">
        <f t="shared" si="266"/>
        <v>823039.14</v>
      </c>
      <c r="S708" s="2">
        <v>663709.35</v>
      </c>
      <c r="T708" s="2">
        <v>159329.79</v>
      </c>
      <c r="U708" s="2">
        <f t="shared" ref="U708:U738" si="270">V708+W708</f>
        <v>156957.63</v>
      </c>
      <c r="V708" s="28">
        <v>117125.19</v>
      </c>
      <c r="W708" s="28">
        <v>39832.44</v>
      </c>
      <c r="X708" s="2">
        <f t="shared" si="267"/>
        <v>0</v>
      </c>
      <c r="Y708" s="2">
        <v>0</v>
      </c>
      <c r="Z708" s="2">
        <v>0</v>
      </c>
      <c r="AA708" s="2">
        <f t="shared" si="268"/>
        <v>19999.939999999999</v>
      </c>
      <c r="AB708" s="2">
        <v>15935.41</v>
      </c>
      <c r="AC708" s="2">
        <v>4064.53</v>
      </c>
      <c r="AD708" s="16">
        <f t="shared" si="259"/>
        <v>999996.71</v>
      </c>
      <c r="AE708" s="2">
        <v>0</v>
      </c>
      <c r="AF708" s="2">
        <f t="shared" si="269"/>
        <v>999996.71</v>
      </c>
      <c r="AG708" s="38" t="s">
        <v>857</v>
      </c>
      <c r="AH708" s="29" t="s">
        <v>1250</v>
      </c>
      <c r="AI708" s="30">
        <f>563686.25+9788.05+56761.68+161067.97+5325.05</f>
        <v>796629.00000000012</v>
      </c>
      <c r="AJ708" s="30">
        <f>88427.44+20936.91+10824.71+11646.17+20085.81</f>
        <v>151921.04</v>
      </c>
    </row>
    <row r="709" spans="1:36" s="179" customFormat="1" ht="141.75" x14ac:dyDescent="0.25">
      <c r="A709" s="6">
        <v>706</v>
      </c>
      <c r="B709" s="31">
        <v>111199</v>
      </c>
      <c r="C709" s="31">
        <v>147</v>
      </c>
      <c r="D709" s="11" t="s">
        <v>143</v>
      </c>
      <c r="E709" s="24" t="s">
        <v>270</v>
      </c>
      <c r="F709" s="67" t="s">
        <v>564</v>
      </c>
      <c r="G709" s="11" t="s">
        <v>565</v>
      </c>
      <c r="H709" s="11" t="s">
        <v>566</v>
      </c>
      <c r="I709" s="12" t="s">
        <v>567</v>
      </c>
      <c r="J709" s="25">
        <v>43277</v>
      </c>
      <c r="K709" s="25">
        <v>43764</v>
      </c>
      <c r="L709" s="26">
        <f t="shared" si="260"/>
        <v>82.524995224288418</v>
      </c>
      <c r="M709" s="11" t="s">
        <v>272</v>
      </c>
      <c r="N709" s="11" t="s">
        <v>261</v>
      </c>
      <c r="O709" s="11" t="s">
        <v>261</v>
      </c>
      <c r="P709" s="27" t="s">
        <v>274</v>
      </c>
      <c r="Q709" s="11" t="s">
        <v>34</v>
      </c>
      <c r="R709" s="2">
        <f t="shared" si="266"/>
        <v>825126.99</v>
      </c>
      <c r="S709" s="2">
        <v>665393.03</v>
      </c>
      <c r="T709" s="2">
        <v>159733.96</v>
      </c>
      <c r="U709" s="2">
        <f t="shared" si="270"/>
        <v>154726.99</v>
      </c>
      <c r="V709" s="28">
        <v>115327.75</v>
      </c>
      <c r="W709" s="28">
        <v>39399.24</v>
      </c>
      <c r="X709" s="2">
        <f t="shared" si="267"/>
        <v>0</v>
      </c>
      <c r="Y709" s="2">
        <v>0</v>
      </c>
      <c r="Z709" s="2">
        <v>0</v>
      </c>
      <c r="AA709" s="2">
        <f t="shared" si="268"/>
        <v>19997.02</v>
      </c>
      <c r="AB709" s="2">
        <v>15933.08</v>
      </c>
      <c r="AC709" s="2">
        <v>4063.94</v>
      </c>
      <c r="AD709" s="16">
        <f t="shared" ref="AD709:AD772" si="271">R709+U709+X709+AA709</f>
        <v>999851</v>
      </c>
      <c r="AE709" s="2">
        <v>0</v>
      </c>
      <c r="AF709" s="2">
        <f t="shared" si="269"/>
        <v>999851</v>
      </c>
      <c r="AG709" s="21" t="s">
        <v>857</v>
      </c>
      <c r="AH709" s="29" t="s">
        <v>151</v>
      </c>
      <c r="AI709" s="30">
        <f>468127.93-12613.35+243265.58</f>
        <v>698780.16000000003</v>
      </c>
      <c r="AJ709" s="30">
        <f>17105.45+14284.79+17404.21+19871.63+13778.33+48936.49</f>
        <v>131380.9</v>
      </c>
    </row>
    <row r="710" spans="1:36" s="179" customFormat="1" ht="315" x14ac:dyDescent="0.25">
      <c r="A710" s="6">
        <v>707</v>
      </c>
      <c r="B710" s="31">
        <v>111846</v>
      </c>
      <c r="C710" s="31">
        <v>165</v>
      </c>
      <c r="D710" s="11" t="s">
        <v>143</v>
      </c>
      <c r="E710" s="24" t="s">
        <v>270</v>
      </c>
      <c r="F710" s="11" t="s">
        <v>542</v>
      </c>
      <c r="G710" s="11" t="s">
        <v>543</v>
      </c>
      <c r="H710" s="8" t="s">
        <v>151</v>
      </c>
      <c r="I710" s="12" t="s">
        <v>2964</v>
      </c>
      <c r="J710" s="25">
        <v>43278</v>
      </c>
      <c r="K710" s="25">
        <v>43643</v>
      </c>
      <c r="L710" s="26">
        <f t="shared" si="260"/>
        <v>82.304186166768261</v>
      </c>
      <c r="M710" s="11" t="s">
        <v>272</v>
      </c>
      <c r="N710" s="11" t="s">
        <v>261</v>
      </c>
      <c r="O710" s="11" t="s">
        <v>261</v>
      </c>
      <c r="P710" s="27" t="s">
        <v>274</v>
      </c>
      <c r="Q710" s="11" t="s">
        <v>34</v>
      </c>
      <c r="R710" s="2">
        <f t="shared" si="266"/>
        <v>693954.33</v>
      </c>
      <c r="S710" s="2">
        <v>559613.69999999995</v>
      </c>
      <c r="T710" s="2">
        <v>134340.63</v>
      </c>
      <c r="U710" s="2">
        <f t="shared" si="270"/>
        <v>132340.51</v>
      </c>
      <c r="V710" s="28">
        <v>98755.36</v>
      </c>
      <c r="W710" s="28">
        <v>33585.15</v>
      </c>
      <c r="X710" s="2">
        <f t="shared" si="267"/>
        <v>0</v>
      </c>
      <c r="Y710" s="2">
        <v>0</v>
      </c>
      <c r="Z710" s="2">
        <v>0</v>
      </c>
      <c r="AA710" s="2">
        <f t="shared" si="268"/>
        <v>16863.16</v>
      </c>
      <c r="AB710" s="2">
        <v>13436.1</v>
      </c>
      <c r="AC710" s="2">
        <v>3427.06</v>
      </c>
      <c r="AD710" s="16">
        <f t="shared" si="271"/>
        <v>843158</v>
      </c>
      <c r="AE710" s="2">
        <v>0</v>
      </c>
      <c r="AF710" s="2">
        <f t="shared" si="269"/>
        <v>843158</v>
      </c>
      <c r="AG710" s="21" t="s">
        <v>857</v>
      </c>
      <c r="AH710" s="29" t="s">
        <v>151</v>
      </c>
      <c r="AI710" s="30">
        <v>635983.98</v>
      </c>
      <c r="AJ710" s="30">
        <v>121285.28</v>
      </c>
    </row>
    <row r="711" spans="1:36" s="179" customFormat="1" ht="409.5" x14ac:dyDescent="0.25">
      <c r="A711" s="6">
        <v>708</v>
      </c>
      <c r="B711" s="31">
        <v>110795</v>
      </c>
      <c r="C711" s="31">
        <v>127</v>
      </c>
      <c r="D711" s="11" t="s">
        <v>143</v>
      </c>
      <c r="E711" s="24" t="s">
        <v>270</v>
      </c>
      <c r="F711" s="11" t="s">
        <v>544</v>
      </c>
      <c r="G711" s="11" t="s">
        <v>549</v>
      </c>
      <c r="H711" s="11" t="s">
        <v>550</v>
      </c>
      <c r="I711" s="120" t="s">
        <v>2965</v>
      </c>
      <c r="J711" s="25">
        <v>43278</v>
      </c>
      <c r="K711" s="25">
        <v>43765</v>
      </c>
      <c r="L711" s="26">
        <f t="shared" si="260"/>
        <v>82.304181171723172</v>
      </c>
      <c r="M711" s="11" t="s">
        <v>272</v>
      </c>
      <c r="N711" s="11" t="s">
        <v>261</v>
      </c>
      <c r="O711" s="11" t="s">
        <v>261</v>
      </c>
      <c r="P711" s="27" t="s">
        <v>274</v>
      </c>
      <c r="Q711" s="11" t="s">
        <v>34</v>
      </c>
      <c r="R711" s="2">
        <f t="shared" si="266"/>
        <v>818511.09</v>
      </c>
      <c r="S711" s="2">
        <v>660057.88</v>
      </c>
      <c r="T711" s="2">
        <v>158453.21</v>
      </c>
      <c r="U711" s="2">
        <f t="shared" si="270"/>
        <v>156094.12</v>
      </c>
      <c r="V711" s="28">
        <v>116480.81</v>
      </c>
      <c r="W711" s="28">
        <v>39613.31</v>
      </c>
      <c r="X711" s="2">
        <f t="shared" si="267"/>
        <v>0</v>
      </c>
      <c r="Y711" s="2">
        <v>0</v>
      </c>
      <c r="Z711" s="2">
        <v>0</v>
      </c>
      <c r="AA711" s="2">
        <f t="shared" si="268"/>
        <v>19889.939999999999</v>
      </c>
      <c r="AB711" s="2">
        <v>15847.76</v>
      </c>
      <c r="AC711" s="2">
        <v>4042.18</v>
      </c>
      <c r="AD711" s="16">
        <f t="shared" si="271"/>
        <v>994495.14999999991</v>
      </c>
      <c r="AE711" s="2"/>
      <c r="AF711" s="2">
        <f t="shared" si="269"/>
        <v>994495.14999999991</v>
      </c>
      <c r="AG711" s="21" t="s">
        <v>857</v>
      </c>
      <c r="AH711" s="29" t="s">
        <v>1297</v>
      </c>
      <c r="AI711" s="30">
        <f>795982.47-5714.37</f>
        <v>790268.1</v>
      </c>
      <c r="AJ711" s="30">
        <f>11135.04+27716.68+9400.61+3526.85+11840.91+7483.51+15010.54+8062.74+19640.21+23451.37+13439.59</f>
        <v>150708.04999999999</v>
      </c>
    </row>
    <row r="712" spans="1:36" s="179" customFormat="1" ht="173.25" x14ac:dyDescent="0.25">
      <c r="A712" s="6">
        <v>709</v>
      </c>
      <c r="B712" s="31">
        <v>110651</v>
      </c>
      <c r="C712" s="31">
        <v>226</v>
      </c>
      <c r="D712" s="11" t="s">
        <v>143</v>
      </c>
      <c r="E712" s="24" t="s">
        <v>270</v>
      </c>
      <c r="F712" s="67" t="s">
        <v>545</v>
      </c>
      <c r="G712" s="11" t="s">
        <v>546</v>
      </c>
      <c r="H712" s="11" t="s">
        <v>547</v>
      </c>
      <c r="I712" s="120" t="s">
        <v>548</v>
      </c>
      <c r="J712" s="25">
        <v>43278</v>
      </c>
      <c r="K712" s="25">
        <v>43888</v>
      </c>
      <c r="L712" s="26">
        <f t="shared" si="260"/>
        <v>82.795867701166785</v>
      </c>
      <c r="M712" s="11" t="s">
        <v>272</v>
      </c>
      <c r="N712" s="11" t="s">
        <v>261</v>
      </c>
      <c r="O712" s="11" t="s">
        <v>261</v>
      </c>
      <c r="P712" s="27" t="s">
        <v>274</v>
      </c>
      <c r="Q712" s="11" t="s">
        <v>34</v>
      </c>
      <c r="R712" s="2">
        <f t="shared" si="266"/>
        <v>774090.99</v>
      </c>
      <c r="S712" s="2">
        <v>624236.93999999994</v>
      </c>
      <c r="T712" s="2">
        <v>149854.04999999999</v>
      </c>
      <c r="U712" s="2">
        <f t="shared" si="270"/>
        <v>142149.35</v>
      </c>
      <c r="V712" s="28">
        <v>105798.22</v>
      </c>
      <c r="W712" s="28">
        <v>36351.129999999997</v>
      </c>
      <c r="X712" s="2">
        <f t="shared" si="267"/>
        <v>0</v>
      </c>
      <c r="Y712" s="2">
        <v>0</v>
      </c>
      <c r="Z712" s="2">
        <v>0</v>
      </c>
      <c r="AA712" s="2">
        <f t="shared" si="268"/>
        <v>18698.82</v>
      </c>
      <c r="AB712" s="2">
        <v>14898.71</v>
      </c>
      <c r="AC712" s="2">
        <v>3800.11</v>
      </c>
      <c r="AD712" s="16">
        <f t="shared" si="271"/>
        <v>934939.15999999992</v>
      </c>
      <c r="AE712" s="2">
        <v>0</v>
      </c>
      <c r="AF712" s="2">
        <f t="shared" si="269"/>
        <v>934939.15999999992</v>
      </c>
      <c r="AG712" s="38" t="s">
        <v>1427</v>
      </c>
      <c r="AH712" s="29" t="s">
        <v>1380</v>
      </c>
      <c r="AI712" s="30">
        <f>290168.64+158796.65+191537.98+13320.11+41319.41+35445.84</f>
        <v>730588.63</v>
      </c>
      <c r="AJ712" s="30">
        <f>9460.82+5699.03+7815.58+13530.31+28217.32+52704.62+2540.21+7879.82+6718.82</f>
        <v>134566.53</v>
      </c>
    </row>
    <row r="713" spans="1:36" s="179" customFormat="1" ht="267.75" x14ac:dyDescent="0.25">
      <c r="A713" s="6">
        <v>710</v>
      </c>
      <c r="B713" s="31">
        <v>111787</v>
      </c>
      <c r="C713" s="31">
        <v>169</v>
      </c>
      <c r="D713" s="11" t="s">
        <v>143</v>
      </c>
      <c r="E713" s="24" t="s">
        <v>270</v>
      </c>
      <c r="F713" s="11" t="s">
        <v>551</v>
      </c>
      <c r="G713" s="11" t="s">
        <v>552</v>
      </c>
      <c r="H713" s="8" t="s">
        <v>151</v>
      </c>
      <c r="I713" s="120" t="s">
        <v>553</v>
      </c>
      <c r="J713" s="25">
        <v>43278</v>
      </c>
      <c r="K713" s="25">
        <v>43765</v>
      </c>
      <c r="L713" s="26">
        <f t="shared" si="260"/>
        <v>82.304186085847633</v>
      </c>
      <c r="M713" s="11" t="s">
        <v>272</v>
      </c>
      <c r="N713" s="11" t="s">
        <v>261</v>
      </c>
      <c r="O713" s="11" t="s">
        <v>261</v>
      </c>
      <c r="P713" s="27" t="s">
        <v>274</v>
      </c>
      <c r="Q713" s="11" t="s">
        <v>34</v>
      </c>
      <c r="R713" s="2">
        <f t="shared" si="266"/>
        <v>822921.16999999993</v>
      </c>
      <c r="S713" s="2">
        <v>663614.22</v>
      </c>
      <c r="T713" s="2">
        <v>159306.95000000001</v>
      </c>
      <c r="U713" s="2">
        <f t="shared" si="270"/>
        <v>156935.12</v>
      </c>
      <c r="V713" s="28">
        <v>117108.4</v>
      </c>
      <c r="W713" s="28">
        <v>39826.720000000001</v>
      </c>
      <c r="X713" s="2">
        <f t="shared" si="267"/>
        <v>0</v>
      </c>
      <c r="Y713" s="2">
        <v>0</v>
      </c>
      <c r="Z713" s="2">
        <v>0</v>
      </c>
      <c r="AA713" s="2">
        <f t="shared" si="268"/>
        <v>19997.07</v>
      </c>
      <c r="AB713" s="2">
        <v>15933.11</v>
      </c>
      <c r="AC713" s="2">
        <v>4063.96</v>
      </c>
      <c r="AD713" s="16">
        <f t="shared" si="271"/>
        <v>999853.35999999987</v>
      </c>
      <c r="AE713" s="2"/>
      <c r="AF713" s="2">
        <f t="shared" si="269"/>
        <v>999853.35999999987</v>
      </c>
      <c r="AG713" s="21" t="s">
        <v>857</v>
      </c>
      <c r="AH713" s="29"/>
      <c r="AI713" s="30">
        <f>632729.75+99985.33+30378.24</f>
        <v>763093.32</v>
      </c>
      <c r="AJ713" s="30">
        <f>120664.73+24860.93</f>
        <v>145525.66</v>
      </c>
    </row>
    <row r="714" spans="1:36" s="179" customFormat="1" ht="267.75" x14ac:dyDescent="0.25">
      <c r="A714" s="6">
        <v>711</v>
      </c>
      <c r="B714" s="31">
        <v>113139</v>
      </c>
      <c r="C714" s="31">
        <v>387</v>
      </c>
      <c r="D714" s="98" t="s">
        <v>1641</v>
      </c>
      <c r="E714" s="24" t="s">
        <v>528</v>
      </c>
      <c r="F714" s="11" t="s">
        <v>560</v>
      </c>
      <c r="G714" s="11" t="s">
        <v>559</v>
      </c>
      <c r="H714" s="11" t="s">
        <v>561</v>
      </c>
      <c r="I714" s="120" t="s">
        <v>562</v>
      </c>
      <c r="J714" s="25">
        <v>43273</v>
      </c>
      <c r="K714" s="25">
        <v>43821</v>
      </c>
      <c r="L714" s="26">
        <f t="shared" si="260"/>
        <v>82.304185877391092</v>
      </c>
      <c r="M714" s="11" t="s">
        <v>272</v>
      </c>
      <c r="N714" s="11" t="s">
        <v>261</v>
      </c>
      <c r="O714" s="11" t="s">
        <v>261</v>
      </c>
      <c r="P714" s="27" t="s">
        <v>274</v>
      </c>
      <c r="Q714" s="11" t="s">
        <v>34</v>
      </c>
      <c r="R714" s="2">
        <f t="shared" si="266"/>
        <v>3201407.49</v>
      </c>
      <c r="S714" s="2">
        <v>2581656.23</v>
      </c>
      <c r="T714" s="2">
        <v>619751.26</v>
      </c>
      <c r="U714" s="2">
        <f t="shared" si="270"/>
        <v>610524.19999999995</v>
      </c>
      <c r="V714" s="28">
        <v>455586.38</v>
      </c>
      <c r="W714" s="28">
        <v>154937.82</v>
      </c>
      <c r="X714" s="2">
        <f t="shared" si="267"/>
        <v>0</v>
      </c>
      <c r="Y714" s="2">
        <v>0</v>
      </c>
      <c r="Z714" s="2">
        <v>0</v>
      </c>
      <c r="AA714" s="2">
        <f t="shared" si="268"/>
        <v>77794.52</v>
      </c>
      <c r="AB714" s="2">
        <v>61984.53</v>
      </c>
      <c r="AC714" s="2">
        <v>15809.99</v>
      </c>
      <c r="AD714" s="16">
        <f t="shared" si="271"/>
        <v>3889726.2100000004</v>
      </c>
      <c r="AE714" s="2">
        <v>0</v>
      </c>
      <c r="AF714" s="2">
        <f t="shared" si="269"/>
        <v>3889726.2100000004</v>
      </c>
      <c r="AG714" s="38" t="s">
        <v>857</v>
      </c>
      <c r="AH714" s="122" t="s">
        <v>1388</v>
      </c>
      <c r="AI714" s="30">
        <f>2214779.71+463121.02-10623.72+221453.03</f>
        <v>2888730.0399999996</v>
      </c>
      <c r="AJ714" s="30">
        <f>422369.41+55414.99+30878.49+42232.21</f>
        <v>550895.1</v>
      </c>
    </row>
    <row r="715" spans="1:36" s="179" customFormat="1" ht="283.5" x14ac:dyDescent="0.25">
      <c r="A715" s="6">
        <v>712</v>
      </c>
      <c r="B715" s="31">
        <v>111603</v>
      </c>
      <c r="C715" s="31">
        <v>195</v>
      </c>
      <c r="D715" s="11" t="s">
        <v>143</v>
      </c>
      <c r="E715" s="24" t="s">
        <v>270</v>
      </c>
      <c r="F715" s="67" t="s">
        <v>1914</v>
      </c>
      <c r="G715" s="67" t="s">
        <v>572</v>
      </c>
      <c r="H715" s="11" t="s">
        <v>571</v>
      </c>
      <c r="I715" s="120" t="s">
        <v>1357</v>
      </c>
      <c r="J715" s="25">
        <v>43283</v>
      </c>
      <c r="K715" s="25">
        <v>43832</v>
      </c>
      <c r="L715" s="26">
        <f t="shared" si="260"/>
        <v>82.551093571828332</v>
      </c>
      <c r="M715" s="11" t="s">
        <v>272</v>
      </c>
      <c r="N715" s="11" t="s">
        <v>261</v>
      </c>
      <c r="O715" s="11" t="s">
        <v>261</v>
      </c>
      <c r="P715" s="27" t="s">
        <v>274</v>
      </c>
      <c r="Q715" s="11" t="s">
        <v>34</v>
      </c>
      <c r="R715" s="2">
        <f t="shared" si="266"/>
        <v>821971.83000000007</v>
      </c>
      <c r="S715" s="2">
        <v>662848.68000000005</v>
      </c>
      <c r="T715" s="2">
        <v>159123.15</v>
      </c>
      <c r="U715" s="2">
        <f t="shared" si="270"/>
        <v>153826.60999999999</v>
      </c>
      <c r="V715" s="28">
        <v>114640.81</v>
      </c>
      <c r="W715" s="28">
        <v>39185.800000000003</v>
      </c>
      <c r="X715" s="2">
        <f t="shared" si="267"/>
        <v>0</v>
      </c>
      <c r="Y715" s="2">
        <v>0</v>
      </c>
      <c r="Z715" s="2">
        <v>0</v>
      </c>
      <c r="AA715" s="2">
        <f t="shared" si="268"/>
        <v>19914.39</v>
      </c>
      <c r="AB715" s="2">
        <v>15867.18</v>
      </c>
      <c r="AC715" s="2">
        <v>4047.21</v>
      </c>
      <c r="AD715" s="16">
        <f t="shared" si="271"/>
        <v>995712.83000000007</v>
      </c>
      <c r="AE715" s="2">
        <v>0</v>
      </c>
      <c r="AF715" s="2">
        <f t="shared" si="269"/>
        <v>995712.83000000007</v>
      </c>
      <c r="AG715" s="38" t="s">
        <v>857</v>
      </c>
      <c r="AH715" s="29" t="s">
        <v>1379</v>
      </c>
      <c r="AI715" s="30">
        <f>466245.36+6853.06+84110.02+169507.04+37084.55</f>
        <v>763800.03</v>
      </c>
      <c r="AJ715" s="30">
        <f>84901.98+1306.91+50214.53+6975.06</f>
        <v>143398.47999999998</v>
      </c>
    </row>
    <row r="716" spans="1:36" s="179" customFormat="1" ht="141.75" x14ac:dyDescent="0.25">
      <c r="A716" s="6">
        <v>713</v>
      </c>
      <c r="B716" s="31">
        <v>113188</v>
      </c>
      <c r="C716" s="31">
        <v>246</v>
      </c>
      <c r="D716" s="11" t="s">
        <v>143</v>
      </c>
      <c r="E716" s="24" t="s">
        <v>270</v>
      </c>
      <c r="F716" s="67" t="s">
        <v>577</v>
      </c>
      <c r="G716" s="11" t="s">
        <v>578</v>
      </c>
      <c r="H716" s="8" t="s">
        <v>151</v>
      </c>
      <c r="I716" s="120" t="s">
        <v>579</v>
      </c>
      <c r="J716" s="25">
        <v>43284</v>
      </c>
      <c r="K716" s="25">
        <v>43711</v>
      </c>
      <c r="L716" s="26">
        <f t="shared" si="260"/>
        <v>82.304188575115816</v>
      </c>
      <c r="M716" s="11" t="s">
        <v>272</v>
      </c>
      <c r="N716" s="11" t="s">
        <v>261</v>
      </c>
      <c r="O716" s="11" t="s">
        <v>261</v>
      </c>
      <c r="P716" s="27" t="s">
        <v>274</v>
      </c>
      <c r="Q716" s="11" t="s">
        <v>34</v>
      </c>
      <c r="R716" s="2">
        <f t="shared" si="266"/>
        <v>745468.83000000007</v>
      </c>
      <c r="S716" s="2">
        <v>601155.66</v>
      </c>
      <c r="T716" s="2">
        <v>144313.17000000001</v>
      </c>
      <c r="U716" s="2">
        <f t="shared" si="270"/>
        <v>142164.54</v>
      </c>
      <c r="V716" s="28">
        <v>106086.28</v>
      </c>
      <c r="W716" s="28">
        <v>36078.26</v>
      </c>
      <c r="X716" s="2">
        <f t="shared" si="267"/>
        <v>0</v>
      </c>
      <c r="Y716" s="2">
        <v>0</v>
      </c>
      <c r="Z716" s="2">
        <v>0</v>
      </c>
      <c r="AA716" s="2">
        <f t="shared" si="268"/>
        <v>18114.98</v>
      </c>
      <c r="AB716" s="2">
        <v>14433.5</v>
      </c>
      <c r="AC716" s="2">
        <v>3681.48</v>
      </c>
      <c r="AD716" s="16">
        <f t="shared" si="271"/>
        <v>905748.35000000009</v>
      </c>
      <c r="AE716" s="2">
        <v>0</v>
      </c>
      <c r="AF716" s="2">
        <f t="shared" si="269"/>
        <v>905748.35000000009</v>
      </c>
      <c r="AG716" s="21" t="s">
        <v>857</v>
      </c>
      <c r="AH716" s="29" t="s">
        <v>151</v>
      </c>
      <c r="AI716" s="30">
        <f>664924.33+44153.06</f>
        <v>709077.3899999999</v>
      </c>
      <c r="AJ716" s="30">
        <f>126804.37+8420.22</f>
        <v>135224.59</v>
      </c>
    </row>
    <row r="717" spans="1:36" s="179" customFormat="1" ht="409.5" x14ac:dyDescent="0.25">
      <c r="A717" s="6">
        <v>714</v>
      </c>
      <c r="B717" s="31">
        <v>109966</v>
      </c>
      <c r="C717" s="31">
        <v>368</v>
      </c>
      <c r="D717" s="11" t="s">
        <v>143</v>
      </c>
      <c r="E717" s="24" t="s">
        <v>270</v>
      </c>
      <c r="F717" s="27" t="s">
        <v>1915</v>
      </c>
      <c r="G717" s="27" t="s">
        <v>584</v>
      </c>
      <c r="H717" s="8" t="s">
        <v>151</v>
      </c>
      <c r="I717" s="120" t="s">
        <v>2966</v>
      </c>
      <c r="J717" s="25">
        <v>43284</v>
      </c>
      <c r="K717" s="25">
        <v>43772</v>
      </c>
      <c r="L717" s="26">
        <f t="shared" si="260"/>
        <v>82.304190385931335</v>
      </c>
      <c r="M717" s="11" t="s">
        <v>272</v>
      </c>
      <c r="N717" s="11" t="s">
        <v>268</v>
      </c>
      <c r="O717" s="11" t="s">
        <v>805</v>
      </c>
      <c r="P717" s="27" t="s">
        <v>274</v>
      </c>
      <c r="Q717" s="11" t="s">
        <v>34</v>
      </c>
      <c r="R717" s="2">
        <f t="shared" si="266"/>
        <v>820713.65</v>
      </c>
      <c r="S717" s="2">
        <v>661834.04</v>
      </c>
      <c r="T717" s="2">
        <v>158879.60999999999</v>
      </c>
      <c r="U717" s="2">
        <f t="shared" si="270"/>
        <v>156514.07999999999</v>
      </c>
      <c r="V717" s="28">
        <v>116794.2</v>
      </c>
      <c r="W717" s="28">
        <v>39719.879999999997</v>
      </c>
      <c r="X717" s="2">
        <f t="shared" si="267"/>
        <v>0</v>
      </c>
      <c r="Y717" s="2">
        <v>0</v>
      </c>
      <c r="Z717" s="2">
        <v>0</v>
      </c>
      <c r="AA717" s="2">
        <f t="shared" si="268"/>
        <v>19943.43</v>
      </c>
      <c r="AB717" s="2">
        <v>15890.39</v>
      </c>
      <c r="AC717" s="2">
        <v>4053.04</v>
      </c>
      <c r="AD717" s="16">
        <f t="shared" si="271"/>
        <v>997171.16</v>
      </c>
      <c r="AE717" s="2">
        <v>0</v>
      </c>
      <c r="AF717" s="2">
        <f t="shared" si="269"/>
        <v>997171.16</v>
      </c>
      <c r="AG717" s="21" t="s">
        <v>857</v>
      </c>
      <c r="AH717" s="29" t="s">
        <v>151</v>
      </c>
      <c r="AI717" s="30">
        <f>451378.67-10182.02+208239.85+24003.15</f>
        <v>673439.65</v>
      </c>
      <c r="AJ717" s="30">
        <f>16734.59+7125.74+9148.44+12691.77+4258.59+17107.67+10182.02+39712.4+11467</f>
        <v>128428.22</v>
      </c>
    </row>
    <row r="718" spans="1:36" s="179" customFormat="1" ht="141.75" x14ac:dyDescent="0.25">
      <c r="A718" s="6">
        <v>715</v>
      </c>
      <c r="B718" s="31">
        <v>112133</v>
      </c>
      <c r="C718" s="31">
        <v>149</v>
      </c>
      <c r="D718" s="11" t="s">
        <v>143</v>
      </c>
      <c r="E718" s="24" t="s">
        <v>270</v>
      </c>
      <c r="F718" s="67" t="s">
        <v>586</v>
      </c>
      <c r="G718" s="11" t="s">
        <v>587</v>
      </c>
      <c r="H718" s="11" t="s">
        <v>588</v>
      </c>
      <c r="I718" s="159" t="s">
        <v>589</v>
      </c>
      <c r="J718" s="25">
        <v>43286</v>
      </c>
      <c r="K718" s="25">
        <v>43774</v>
      </c>
      <c r="L718" s="26">
        <f t="shared" si="260"/>
        <v>82.304192989201169</v>
      </c>
      <c r="M718" s="11" t="s">
        <v>272</v>
      </c>
      <c r="N718" s="11" t="s">
        <v>582</v>
      </c>
      <c r="O718" s="11" t="s">
        <v>583</v>
      </c>
      <c r="P718" s="27" t="s">
        <v>274</v>
      </c>
      <c r="Q718" s="11" t="s">
        <v>34</v>
      </c>
      <c r="R718" s="2">
        <v>615782.40000000002</v>
      </c>
      <c r="S718" s="2">
        <v>496574.82</v>
      </c>
      <c r="T718" s="2">
        <v>119207.58</v>
      </c>
      <c r="U718" s="2">
        <f t="shared" si="270"/>
        <v>117432.69</v>
      </c>
      <c r="V718" s="28">
        <v>87630.81</v>
      </c>
      <c r="W718" s="28">
        <v>29801.88</v>
      </c>
      <c r="X718" s="2">
        <f t="shared" si="267"/>
        <v>0</v>
      </c>
      <c r="Y718" s="2">
        <v>0</v>
      </c>
      <c r="Z718" s="2">
        <v>0</v>
      </c>
      <c r="AA718" s="2">
        <f t="shared" si="268"/>
        <v>14963.56</v>
      </c>
      <c r="AB718" s="2">
        <v>11922.59</v>
      </c>
      <c r="AC718" s="2">
        <v>3040.97</v>
      </c>
      <c r="AD718" s="16">
        <f t="shared" si="271"/>
        <v>748178.65000000014</v>
      </c>
      <c r="AE718" s="2"/>
      <c r="AF718" s="2">
        <f t="shared" si="269"/>
        <v>748178.65000000014</v>
      </c>
      <c r="AG718" s="21" t="s">
        <v>857</v>
      </c>
      <c r="AH718" s="29" t="s">
        <v>151</v>
      </c>
      <c r="AI718" s="30">
        <f>439950.77+42401.19+33880.06+36167.03</f>
        <v>552399.05000000005</v>
      </c>
      <c r="AJ718" s="30">
        <f>71119.8+19653.29+7674.97+6897.24</f>
        <v>105345.3</v>
      </c>
    </row>
    <row r="719" spans="1:36" s="179" customFormat="1" ht="141.75" x14ac:dyDescent="0.25">
      <c r="A719" s="6">
        <v>716</v>
      </c>
      <c r="B719" s="31">
        <v>112698</v>
      </c>
      <c r="C719" s="31">
        <v>231</v>
      </c>
      <c r="D719" s="11" t="s">
        <v>143</v>
      </c>
      <c r="E719" s="24" t="s">
        <v>270</v>
      </c>
      <c r="F719" s="67" t="s">
        <v>594</v>
      </c>
      <c r="G719" s="11" t="s">
        <v>595</v>
      </c>
      <c r="H719" s="11" t="s">
        <v>596</v>
      </c>
      <c r="I719" s="159" t="s">
        <v>2967</v>
      </c>
      <c r="J719" s="25">
        <v>43273</v>
      </c>
      <c r="K719" s="25">
        <v>43730</v>
      </c>
      <c r="L719" s="26">
        <f t="shared" si="260"/>
        <v>82.525665803949437</v>
      </c>
      <c r="M719" s="11" t="s">
        <v>272</v>
      </c>
      <c r="N719" s="11" t="s">
        <v>261</v>
      </c>
      <c r="O719" s="11" t="s">
        <v>261</v>
      </c>
      <c r="P719" s="27" t="s">
        <v>274</v>
      </c>
      <c r="Q719" s="11" t="s">
        <v>34</v>
      </c>
      <c r="R719" s="2">
        <f t="shared" ref="R719:R750" si="272">S719+T719</f>
        <v>814877.24</v>
      </c>
      <c r="S719" s="2">
        <v>657127.51</v>
      </c>
      <c r="T719" s="2">
        <v>157749.73000000001</v>
      </c>
      <c r="U719" s="2">
        <f t="shared" si="270"/>
        <v>134548.1</v>
      </c>
      <c r="V719" s="28">
        <v>100402.7</v>
      </c>
      <c r="W719" s="28">
        <v>34145.4</v>
      </c>
      <c r="X719" s="2">
        <f t="shared" si="267"/>
        <v>20853.009999999998</v>
      </c>
      <c r="Y719" s="2">
        <v>15560.97</v>
      </c>
      <c r="Z719" s="2">
        <v>5292.04</v>
      </c>
      <c r="AA719" s="2">
        <f t="shared" si="268"/>
        <v>17144.45</v>
      </c>
      <c r="AB719" s="2">
        <v>13660.23</v>
      </c>
      <c r="AC719" s="2">
        <v>3484.22</v>
      </c>
      <c r="AD719" s="16">
        <f t="shared" si="271"/>
        <v>987422.79999999993</v>
      </c>
      <c r="AE719" s="2"/>
      <c r="AF719" s="2">
        <f t="shared" si="269"/>
        <v>987422.79999999993</v>
      </c>
      <c r="AG719" s="21" t="s">
        <v>857</v>
      </c>
      <c r="AH719" s="29" t="s">
        <v>1126</v>
      </c>
      <c r="AI719" s="30">
        <f>85822.98+78186.5+192062.93</f>
        <v>356072.41</v>
      </c>
      <c r="AJ719" s="30">
        <f>14910.56+48890.63</f>
        <v>63801.189999999995</v>
      </c>
    </row>
    <row r="720" spans="1:36" s="179" customFormat="1" ht="409.5" x14ac:dyDescent="0.25">
      <c r="A720" s="6">
        <v>717</v>
      </c>
      <c r="B720" s="31">
        <v>112427</v>
      </c>
      <c r="C720" s="31">
        <v>367</v>
      </c>
      <c r="D720" s="11" t="s">
        <v>143</v>
      </c>
      <c r="E720" s="24" t="s">
        <v>270</v>
      </c>
      <c r="F720" s="67" t="s">
        <v>599</v>
      </c>
      <c r="G720" s="11" t="s">
        <v>600</v>
      </c>
      <c r="H720" s="11" t="s">
        <v>602</v>
      </c>
      <c r="I720" s="120" t="s">
        <v>601</v>
      </c>
      <c r="J720" s="25">
        <v>43290</v>
      </c>
      <c r="K720" s="25">
        <v>43778</v>
      </c>
      <c r="L720" s="26">
        <f t="shared" si="260"/>
        <v>82.304189883139372</v>
      </c>
      <c r="M720" s="11" t="s">
        <v>272</v>
      </c>
      <c r="N720" s="11" t="s">
        <v>261</v>
      </c>
      <c r="O720" s="11" t="s">
        <v>261</v>
      </c>
      <c r="P720" s="27" t="s">
        <v>274</v>
      </c>
      <c r="Q720" s="11" t="s">
        <v>34</v>
      </c>
      <c r="R720" s="2">
        <f t="shared" si="272"/>
        <v>785233.14</v>
      </c>
      <c r="S720" s="2">
        <v>633222.11</v>
      </c>
      <c r="T720" s="2">
        <v>152011.03</v>
      </c>
      <c r="U720" s="2">
        <f t="shared" si="270"/>
        <v>149747.75</v>
      </c>
      <c r="V720" s="28">
        <v>111745.03</v>
      </c>
      <c r="W720" s="28">
        <v>38002.720000000001</v>
      </c>
      <c r="X720" s="2">
        <f t="shared" si="267"/>
        <v>0</v>
      </c>
      <c r="Y720" s="2">
        <v>0</v>
      </c>
      <c r="Z720" s="2">
        <v>0</v>
      </c>
      <c r="AA720" s="2">
        <f t="shared" si="268"/>
        <v>19081.28</v>
      </c>
      <c r="AB720" s="2">
        <v>15203.43</v>
      </c>
      <c r="AC720" s="2">
        <v>3877.85</v>
      </c>
      <c r="AD720" s="16">
        <f t="shared" si="271"/>
        <v>954062.17</v>
      </c>
      <c r="AE720" s="2">
        <v>0</v>
      </c>
      <c r="AF720" s="2">
        <f t="shared" si="269"/>
        <v>954062.17</v>
      </c>
      <c r="AG720" s="21" t="s">
        <v>857</v>
      </c>
      <c r="AH720" s="29" t="s">
        <v>151</v>
      </c>
      <c r="AI720" s="30">
        <f>412777.32-11185.38+153298.14+162053.15</f>
        <v>716943.2300000001</v>
      </c>
      <c r="AJ720" s="30">
        <f>16617.93+10285.59+15452.81+18167.9+11690.43+33605.62+30904.31</f>
        <v>136724.59</v>
      </c>
    </row>
    <row r="721" spans="1:109" s="179" customFormat="1" ht="141.75" x14ac:dyDescent="0.25">
      <c r="A721" s="6">
        <v>718</v>
      </c>
      <c r="B721" s="31">
        <v>112409</v>
      </c>
      <c r="C721" s="31">
        <v>150</v>
      </c>
      <c r="D721" s="11" t="s">
        <v>143</v>
      </c>
      <c r="E721" s="24" t="s">
        <v>270</v>
      </c>
      <c r="F721" s="67" t="s">
        <v>1916</v>
      </c>
      <c r="G721" s="11" t="s">
        <v>603</v>
      </c>
      <c r="H721" s="8" t="s">
        <v>151</v>
      </c>
      <c r="I721" s="120" t="s">
        <v>2968</v>
      </c>
      <c r="J721" s="25">
        <v>43291</v>
      </c>
      <c r="K721" s="25">
        <v>43779</v>
      </c>
      <c r="L721" s="26">
        <f t="shared" si="260"/>
        <v>82.304188969946821</v>
      </c>
      <c r="M721" s="11" t="s">
        <v>272</v>
      </c>
      <c r="N721" s="11" t="s">
        <v>363</v>
      </c>
      <c r="O721" s="11" t="s">
        <v>255</v>
      </c>
      <c r="P721" s="27" t="s">
        <v>274</v>
      </c>
      <c r="Q721" s="11" t="s">
        <v>34</v>
      </c>
      <c r="R721" s="2">
        <f t="shared" si="272"/>
        <v>780523.20000000007</v>
      </c>
      <c r="S721" s="2">
        <v>629423.91</v>
      </c>
      <c r="T721" s="2">
        <v>151099.29</v>
      </c>
      <c r="U721" s="2">
        <f t="shared" si="270"/>
        <v>148849.57</v>
      </c>
      <c r="V721" s="28">
        <v>111074.8</v>
      </c>
      <c r="W721" s="28">
        <v>37774.769999999997</v>
      </c>
      <c r="X721" s="2">
        <f t="shared" si="267"/>
        <v>0</v>
      </c>
      <c r="Y721" s="2">
        <v>0</v>
      </c>
      <c r="Z721" s="2">
        <v>0</v>
      </c>
      <c r="AA721" s="2">
        <f t="shared" si="268"/>
        <v>18966.810000000001</v>
      </c>
      <c r="AB721" s="2">
        <v>15112.25</v>
      </c>
      <c r="AC721" s="2">
        <v>3854.56</v>
      </c>
      <c r="AD721" s="16">
        <f t="shared" si="271"/>
        <v>948339.58000000007</v>
      </c>
      <c r="AE721" s="2">
        <v>0</v>
      </c>
      <c r="AF721" s="2">
        <f t="shared" si="269"/>
        <v>948339.58000000007</v>
      </c>
      <c r="AG721" s="21" t="s">
        <v>857</v>
      </c>
      <c r="AH721" s="29" t="s">
        <v>151</v>
      </c>
      <c r="AI721" s="30">
        <f>479629.25+84387.23+5356.46</f>
        <v>569372.93999999994</v>
      </c>
      <c r="AJ721" s="30">
        <f>73382.49+16093.07+19106.61</f>
        <v>108582.17</v>
      </c>
    </row>
    <row r="722" spans="1:109" s="179" customFormat="1" ht="141.75" x14ac:dyDescent="0.25">
      <c r="A722" s="6">
        <v>719</v>
      </c>
      <c r="B722" s="31">
        <v>112861</v>
      </c>
      <c r="C722" s="31">
        <v>324</v>
      </c>
      <c r="D722" s="11" t="s">
        <v>143</v>
      </c>
      <c r="E722" s="24" t="s">
        <v>270</v>
      </c>
      <c r="F722" s="67" t="s">
        <v>604</v>
      </c>
      <c r="G722" s="11" t="s">
        <v>605</v>
      </c>
      <c r="H722" s="8" t="s">
        <v>151</v>
      </c>
      <c r="I722" s="46" t="s">
        <v>606</v>
      </c>
      <c r="J722" s="25">
        <v>43290</v>
      </c>
      <c r="K722" s="25">
        <v>43778</v>
      </c>
      <c r="L722" s="26">
        <f t="shared" si="260"/>
        <v>82.304190691615503</v>
      </c>
      <c r="M722" s="11" t="s">
        <v>272</v>
      </c>
      <c r="N722" s="11" t="s">
        <v>261</v>
      </c>
      <c r="O722" s="11" t="s">
        <v>261</v>
      </c>
      <c r="P722" s="27" t="s">
        <v>274</v>
      </c>
      <c r="Q722" s="11" t="s">
        <v>34</v>
      </c>
      <c r="R722" s="2">
        <f t="shared" si="272"/>
        <v>649951.84000000008</v>
      </c>
      <c r="S722" s="2">
        <v>524129.52</v>
      </c>
      <c r="T722" s="2">
        <v>125822.32</v>
      </c>
      <c r="U722" s="2">
        <f t="shared" si="270"/>
        <v>123949</v>
      </c>
      <c r="V722" s="28">
        <v>92493.43</v>
      </c>
      <c r="W722" s="28">
        <v>31455.57</v>
      </c>
      <c r="X722" s="2">
        <f t="shared" si="267"/>
        <v>0</v>
      </c>
      <c r="Y722" s="2">
        <v>0</v>
      </c>
      <c r="Z722" s="2">
        <v>0</v>
      </c>
      <c r="AA722" s="2">
        <f t="shared" si="268"/>
        <v>15793.869999999999</v>
      </c>
      <c r="AB722" s="2">
        <v>12584.14</v>
      </c>
      <c r="AC722" s="2">
        <v>3209.73</v>
      </c>
      <c r="AD722" s="16">
        <f t="shared" si="271"/>
        <v>789694.71000000008</v>
      </c>
      <c r="AE722" s="2">
        <v>0</v>
      </c>
      <c r="AF722" s="2">
        <f t="shared" si="269"/>
        <v>789694.71000000008</v>
      </c>
      <c r="AG722" s="21" t="s">
        <v>857</v>
      </c>
      <c r="AH722" s="29" t="s">
        <v>912</v>
      </c>
      <c r="AI722" s="30">
        <f>78969.47+33506.04+30781.72+5848.53+60387.9+38197.37+82803.77+168161.44-11081.22</f>
        <v>487575.02</v>
      </c>
      <c r="AJ722" s="30">
        <f>6389.76+5870.23+1115.34+11516.25+7284.43+15791.09+32069.22+12946.63</f>
        <v>92982.950000000012</v>
      </c>
    </row>
    <row r="723" spans="1:109" s="179" customFormat="1" ht="173.25" x14ac:dyDescent="0.25">
      <c r="A723" s="6">
        <v>720</v>
      </c>
      <c r="B723" s="31">
        <v>110709</v>
      </c>
      <c r="C723" s="31">
        <v>313</v>
      </c>
      <c r="D723" s="11" t="s">
        <v>143</v>
      </c>
      <c r="E723" s="24" t="s">
        <v>270</v>
      </c>
      <c r="F723" s="67" t="s">
        <v>607</v>
      </c>
      <c r="G723" s="11" t="s">
        <v>608</v>
      </c>
      <c r="H723" s="8" t="s">
        <v>151</v>
      </c>
      <c r="I723" s="46" t="s">
        <v>2969</v>
      </c>
      <c r="J723" s="25">
        <v>43291</v>
      </c>
      <c r="K723" s="25">
        <v>43779</v>
      </c>
      <c r="L723" s="26">
        <f t="shared" si="260"/>
        <v>82.304183081659716</v>
      </c>
      <c r="M723" s="11" t="s">
        <v>272</v>
      </c>
      <c r="N723" s="11" t="s">
        <v>261</v>
      </c>
      <c r="O723" s="11" t="s">
        <v>261</v>
      </c>
      <c r="P723" s="27" t="s">
        <v>274</v>
      </c>
      <c r="Q723" s="11" t="s">
        <v>34</v>
      </c>
      <c r="R723" s="2">
        <f t="shared" si="272"/>
        <v>821857.62999999989</v>
      </c>
      <c r="S723" s="2">
        <v>662756.56999999995</v>
      </c>
      <c r="T723" s="2">
        <v>159101.06</v>
      </c>
      <c r="U723" s="2">
        <f t="shared" si="270"/>
        <v>156732.34</v>
      </c>
      <c r="V723" s="28">
        <v>116957.1</v>
      </c>
      <c r="W723" s="28">
        <v>39775.24</v>
      </c>
      <c r="X723" s="2">
        <f t="shared" si="267"/>
        <v>0</v>
      </c>
      <c r="Y723" s="2">
        <v>0</v>
      </c>
      <c r="Z723" s="2">
        <v>0</v>
      </c>
      <c r="AA723" s="2">
        <f t="shared" si="268"/>
        <v>19971.22</v>
      </c>
      <c r="AB723" s="2">
        <v>15912.5</v>
      </c>
      <c r="AC723" s="2">
        <v>4058.72</v>
      </c>
      <c r="AD723" s="16">
        <f t="shared" si="271"/>
        <v>998561.18999999983</v>
      </c>
      <c r="AE723" s="2">
        <v>576</v>
      </c>
      <c r="AF723" s="2">
        <f t="shared" si="269"/>
        <v>999137.18999999983</v>
      </c>
      <c r="AG723" s="21" t="s">
        <v>857</v>
      </c>
      <c r="AH723" s="29" t="s">
        <v>151</v>
      </c>
      <c r="AI723" s="30">
        <f>489541.18+150804.97+87205.35</f>
        <v>727551.5</v>
      </c>
      <c r="AJ723" s="30">
        <f>93357.95+28759.24+16630.53</f>
        <v>138747.72</v>
      </c>
    </row>
    <row r="724" spans="1:109" s="179" customFormat="1" ht="378" x14ac:dyDescent="0.25">
      <c r="A724" s="6">
        <v>721</v>
      </c>
      <c r="B724" s="31">
        <v>113039</v>
      </c>
      <c r="C724" s="31">
        <v>200</v>
      </c>
      <c r="D724" s="11" t="s">
        <v>143</v>
      </c>
      <c r="E724" s="24" t="s">
        <v>270</v>
      </c>
      <c r="F724" s="67" t="s">
        <v>614</v>
      </c>
      <c r="G724" s="31" t="s">
        <v>615</v>
      </c>
      <c r="H724" s="8" t="s">
        <v>151</v>
      </c>
      <c r="I724" s="120" t="s">
        <v>616</v>
      </c>
      <c r="J724" s="25">
        <v>43291</v>
      </c>
      <c r="K724" s="25">
        <v>43779</v>
      </c>
      <c r="L724" s="26">
        <f t="shared" si="260"/>
        <v>82.30418382046426</v>
      </c>
      <c r="M724" s="11" t="s">
        <v>272</v>
      </c>
      <c r="N724" s="11" t="s">
        <v>231</v>
      </c>
      <c r="O724" s="11" t="s">
        <v>617</v>
      </c>
      <c r="P724" s="27" t="s">
        <v>274</v>
      </c>
      <c r="Q724" s="11" t="s">
        <v>34</v>
      </c>
      <c r="R724" s="2">
        <f t="shared" si="272"/>
        <v>812437.94000000006</v>
      </c>
      <c r="S724" s="2">
        <v>655160.41</v>
      </c>
      <c r="T724" s="2">
        <v>157277.53</v>
      </c>
      <c r="U724" s="2">
        <f t="shared" si="270"/>
        <v>154935.91999999998</v>
      </c>
      <c r="V724" s="28">
        <v>115616.54</v>
      </c>
      <c r="W724" s="28">
        <v>39319.379999999997</v>
      </c>
      <c r="X724" s="2">
        <f t="shared" si="267"/>
        <v>0</v>
      </c>
      <c r="Y724" s="2">
        <v>0</v>
      </c>
      <c r="Z724" s="2">
        <v>0</v>
      </c>
      <c r="AA724" s="2">
        <f t="shared" si="268"/>
        <v>19742.349999999999</v>
      </c>
      <c r="AB724" s="2">
        <v>15730.16</v>
      </c>
      <c r="AC724" s="2">
        <v>4012.19</v>
      </c>
      <c r="AD724" s="16">
        <f t="shared" si="271"/>
        <v>987116.21000000008</v>
      </c>
      <c r="AE724" s="2">
        <v>0</v>
      </c>
      <c r="AF724" s="2">
        <f t="shared" si="269"/>
        <v>987116.21000000008</v>
      </c>
      <c r="AG724" s="21" t="s">
        <v>857</v>
      </c>
      <c r="AH724" s="29" t="s">
        <v>1301</v>
      </c>
      <c r="AI724" s="30">
        <f>98711.62+82894.54-376.83+73798.02+80976.74+185141.28+260525.68-19533.72</f>
        <v>762137.33000000007</v>
      </c>
      <c r="AJ724" s="30">
        <f>15808.4+376.83+15333.49+13734.08+35307.36+49683.52+15099.61</f>
        <v>145343.28999999998</v>
      </c>
    </row>
    <row r="725" spans="1:109" s="179" customFormat="1" ht="141.75" x14ac:dyDescent="0.25">
      <c r="A725" s="6">
        <v>722</v>
      </c>
      <c r="B725" s="31">
        <v>113125</v>
      </c>
      <c r="C725" s="31">
        <v>230</v>
      </c>
      <c r="D725" s="11" t="s">
        <v>143</v>
      </c>
      <c r="E725" s="24" t="s">
        <v>270</v>
      </c>
      <c r="F725" s="67" t="s">
        <v>621</v>
      </c>
      <c r="G725" s="11" t="s">
        <v>622</v>
      </c>
      <c r="H725" s="8" t="s">
        <v>151</v>
      </c>
      <c r="I725" s="32" t="s">
        <v>623</v>
      </c>
      <c r="J725" s="25">
        <v>43291</v>
      </c>
      <c r="K725" s="25">
        <v>43718</v>
      </c>
      <c r="L725" s="26">
        <f t="shared" si="260"/>
        <v>82.304188716846156</v>
      </c>
      <c r="M725" s="11" t="s">
        <v>272</v>
      </c>
      <c r="N725" s="11" t="s">
        <v>261</v>
      </c>
      <c r="O725" s="11" t="s">
        <v>261</v>
      </c>
      <c r="P725" s="27" t="s">
        <v>274</v>
      </c>
      <c r="Q725" s="11" t="s">
        <v>34</v>
      </c>
      <c r="R725" s="2">
        <f t="shared" si="272"/>
        <v>736342.77</v>
      </c>
      <c r="S725" s="2">
        <v>593796.28</v>
      </c>
      <c r="T725" s="2">
        <v>142546.49</v>
      </c>
      <c r="U725" s="2">
        <f t="shared" si="270"/>
        <v>140424.16999999998</v>
      </c>
      <c r="V725" s="28">
        <v>104787.58</v>
      </c>
      <c r="W725" s="28">
        <v>35636.589999999997</v>
      </c>
      <c r="X725" s="2">
        <f t="shared" si="267"/>
        <v>0</v>
      </c>
      <c r="Y725" s="2">
        <v>0</v>
      </c>
      <c r="Z725" s="2">
        <v>0</v>
      </c>
      <c r="AA725" s="2">
        <f t="shared" si="268"/>
        <v>17893.2</v>
      </c>
      <c r="AB725" s="2">
        <v>14256.8</v>
      </c>
      <c r="AC725" s="2">
        <v>3636.4</v>
      </c>
      <c r="AD725" s="16">
        <f t="shared" si="271"/>
        <v>894660.1399999999</v>
      </c>
      <c r="AE725" s="2">
        <v>0</v>
      </c>
      <c r="AF725" s="2">
        <f t="shared" si="269"/>
        <v>894660.1399999999</v>
      </c>
      <c r="AG725" s="21" t="s">
        <v>857</v>
      </c>
      <c r="AH725" s="29" t="s">
        <v>358</v>
      </c>
      <c r="AI725" s="30">
        <f>431197.76+67607.74</f>
        <v>498805.5</v>
      </c>
      <c r="AJ725" s="30">
        <f>81263.8+12893.14</f>
        <v>94156.94</v>
      </c>
    </row>
    <row r="726" spans="1:109" s="179" customFormat="1" ht="157.5" x14ac:dyDescent="0.25">
      <c r="A726" s="6">
        <v>723</v>
      </c>
      <c r="B726" s="31">
        <v>112435</v>
      </c>
      <c r="C726" s="31">
        <v>323</v>
      </c>
      <c r="D726" s="11" t="s">
        <v>143</v>
      </c>
      <c r="E726" s="24" t="s">
        <v>270</v>
      </c>
      <c r="F726" s="67" t="s">
        <v>1917</v>
      </c>
      <c r="G726" s="11" t="s">
        <v>624</v>
      </c>
      <c r="H726" s="11" t="s">
        <v>625</v>
      </c>
      <c r="I726" s="120" t="s">
        <v>2970</v>
      </c>
      <c r="J726" s="25">
        <v>43292</v>
      </c>
      <c r="K726" s="25">
        <v>43780</v>
      </c>
      <c r="L726" s="26">
        <f t="shared" si="260"/>
        <v>82.304182891954625</v>
      </c>
      <c r="M726" s="11" t="s">
        <v>272</v>
      </c>
      <c r="N726" s="11" t="s">
        <v>280</v>
      </c>
      <c r="O726" s="11" t="s">
        <v>280</v>
      </c>
      <c r="P726" s="27" t="s">
        <v>274</v>
      </c>
      <c r="Q726" s="11" t="s">
        <v>34</v>
      </c>
      <c r="R726" s="2">
        <f t="shared" si="272"/>
        <v>815316.89</v>
      </c>
      <c r="S726" s="2">
        <v>657481.98</v>
      </c>
      <c r="T726" s="2">
        <v>157834.91</v>
      </c>
      <c r="U726" s="2">
        <f t="shared" si="270"/>
        <v>155484.97999999998</v>
      </c>
      <c r="V726" s="28">
        <v>116026.31</v>
      </c>
      <c r="W726" s="28">
        <v>39458.67</v>
      </c>
      <c r="X726" s="2">
        <f t="shared" si="267"/>
        <v>0</v>
      </c>
      <c r="Y726" s="2">
        <v>0</v>
      </c>
      <c r="Z726" s="2">
        <v>0</v>
      </c>
      <c r="AA726" s="2">
        <f t="shared" si="268"/>
        <v>19812.29</v>
      </c>
      <c r="AB726" s="2">
        <v>15785.9</v>
      </c>
      <c r="AC726" s="2">
        <v>4026.39</v>
      </c>
      <c r="AD726" s="16">
        <f t="shared" si="271"/>
        <v>990614.16</v>
      </c>
      <c r="AE726" s="2"/>
      <c r="AF726" s="2">
        <f t="shared" si="269"/>
        <v>990614.16</v>
      </c>
      <c r="AG726" s="21" t="s">
        <v>857</v>
      </c>
      <c r="AH726" s="29" t="s">
        <v>1143</v>
      </c>
      <c r="AI726" s="30">
        <f>694001.82-8054.22</f>
        <v>685947.6</v>
      </c>
      <c r="AJ726" s="30">
        <f>15703.63+42154.87+5183.15+19792.72+39704.75+8274.46</f>
        <v>130813.57999999999</v>
      </c>
    </row>
    <row r="727" spans="1:109" s="179" customFormat="1" ht="141.75" x14ac:dyDescent="0.25">
      <c r="A727" s="6">
        <v>724</v>
      </c>
      <c r="B727" s="31">
        <v>110839</v>
      </c>
      <c r="C727" s="31">
        <v>306</v>
      </c>
      <c r="D727" s="11" t="s">
        <v>143</v>
      </c>
      <c r="E727" s="24" t="s">
        <v>270</v>
      </c>
      <c r="F727" s="67" t="s">
        <v>626</v>
      </c>
      <c r="G727" s="11" t="s">
        <v>627</v>
      </c>
      <c r="H727" s="11" t="s">
        <v>629</v>
      </c>
      <c r="I727" s="32" t="s">
        <v>628</v>
      </c>
      <c r="J727" s="25">
        <v>43292</v>
      </c>
      <c r="K727" s="25">
        <v>43993</v>
      </c>
      <c r="L727" s="26">
        <f t="shared" si="260"/>
        <v>82.304186604752402</v>
      </c>
      <c r="M727" s="11" t="s">
        <v>272</v>
      </c>
      <c r="N727" s="11" t="s">
        <v>630</v>
      </c>
      <c r="O727" s="11" t="s">
        <v>630</v>
      </c>
      <c r="P727" s="27" t="s">
        <v>274</v>
      </c>
      <c r="Q727" s="11" t="s">
        <v>34</v>
      </c>
      <c r="R727" s="2">
        <f t="shared" si="272"/>
        <v>800537.35</v>
      </c>
      <c r="S727" s="2">
        <v>645563.62</v>
      </c>
      <c r="T727" s="2">
        <v>154973.73000000001</v>
      </c>
      <c r="U727" s="2">
        <f t="shared" si="270"/>
        <v>152666.38</v>
      </c>
      <c r="V727" s="28">
        <v>113922.98</v>
      </c>
      <c r="W727" s="28">
        <v>38743.4</v>
      </c>
      <c r="X727" s="2">
        <f t="shared" si="267"/>
        <v>0</v>
      </c>
      <c r="Y727" s="2">
        <v>0</v>
      </c>
      <c r="Z727" s="2">
        <v>0</v>
      </c>
      <c r="AA727" s="2">
        <f t="shared" si="268"/>
        <v>19453.169999999998</v>
      </c>
      <c r="AB727" s="2">
        <v>15499.74</v>
      </c>
      <c r="AC727" s="2">
        <v>3953.43</v>
      </c>
      <c r="AD727" s="16">
        <f t="shared" si="271"/>
        <v>972656.9</v>
      </c>
      <c r="AE727" s="2"/>
      <c r="AF727" s="2">
        <f t="shared" si="269"/>
        <v>972656.9</v>
      </c>
      <c r="AG727" s="38" t="s">
        <v>857</v>
      </c>
      <c r="AH727" s="29" t="s">
        <v>1376</v>
      </c>
      <c r="AI727" s="30">
        <f>655019.55+13323.41+14688.82</f>
        <v>683031.78</v>
      </c>
      <c r="AJ727" s="30">
        <f>124915.36+2540.83+2801.24</f>
        <v>130257.43000000001</v>
      </c>
    </row>
    <row r="728" spans="1:109" s="179" customFormat="1" ht="141.75" x14ac:dyDescent="0.25">
      <c r="A728" s="6">
        <v>725</v>
      </c>
      <c r="B728" s="31">
        <v>115895</v>
      </c>
      <c r="C728" s="31">
        <v>389</v>
      </c>
      <c r="D728" s="138" t="s">
        <v>143</v>
      </c>
      <c r="E728" s="139" t="s">
        <v>373</v>
      </c>
      <c r="F728" s="67" t="s">
        <v>634</v>
      </c>
      <c r="G728" s="11" t="s">
        <v>1703</v>
      </c>
      <c r="H728" s="11" t="s">
        <v>635</v>
      </c>
      <c r="I728" s="120" t="s">
        <v>2971</v>
      </c>
      <c r="J728" s="25">
        <v>43293</v>
      </c>
      <c r="K728" s="25">
        <v>44846</v>
      </c>
      <c r="L728" s="26">
        <f t="shared" si="260"/>
        <v>83.983864548494978</v>
      </c>
      <c r="M728" s="11" t="s">
        <v>272</v>
      </c>
      <c r="N728" s="11" t="s">
        <v>261</v>
      </c>
      <c r="O728" s="11" t="s">
        <v>261</v>
      </c>
      <c r="P728" s="27" t="s">
        <v>138</v>
      </c>
      <c r="Q728" s="11" t="s">
        <v>34</v>
      </c>
      <c r="R728" s="2">
        <f t="shared" si="272"/>
        <v>2511117.5499999998</v>
      </c>
      <c r="S728" s="2">
        <v>2024997.51</v>
      </c>
      <c r="T728" s="2">
        <v>486120.04</v>
      </c>
      <c r="U728" s="2">
        <f t="shared" si="270"/>
        <v>0</v>
      </c>
      <c r="V728" s="28"/>
      <c r="W728" s="28"/>
      <c r="X728" s="2">
        <f t="shared" si="267"/>
        <v>478882.44999999995</v>
      </c>
      <c r="Y728" s="2">
        <v>357352.47</v>
      </c>
      <c r="Z728" s="2">
        <v>121529.98</v>
      </c>
      <c r="AA728" s="2">
        <f t="shared" si="268"/>
        <v>0</v>
      </c>
      <c r="AB728" s="2">
        <v>0</v>
      </c>
      <c r="AC728" s="2">
        <v>0</v>
      </c>
      <c r="AD728" s="16">
        <f t="shared" si="271"/>
        <v>2990000</v>
      </c>
      <c r="AE728" s="2">
        <v>0</v>
      </c>
      <c r="AF728" s="2">
        <f t="shared" si="269"/>
        <v>2990000</v>
      </c>
      <c r="AG728" s="38" t="s">
        <v>486</v>
      </c>
      <c r="AH728" s="29" t="s">
        <v>1790</v>
      </c>
      <c r="AI728" s="30">
        <f>1101841.06+308901.88+307109.67+140785.22+76589.93+88067.17+24784.49+9172.74+7398.66+72760.84</f>
        <v>2137411.6599999997</v>
      </c>
      <c r="AJ728" s="30">
        <v>0</v>
      </c>
    </row>
    <row r="729" spans="1:109" s="179" customFormat="1" ht="267.75" x14ac:dyDescent="0.25">
      <c r="A729" s="6">
        <v>726</v>
      </c>
      <c r="B729" s="31">
        <v>111830</v>
      </c>
      <c r="C729" s="31">
        <v>377</v>
      </c>
      <c r="D729" s="98" t="s">
        <v>1641</v>
      </c>
      <c r="E729" s="139" t="s">
        <v>528</v>
      </c>
      <c r="F729" s="67" t="s">
        <v>1633</v>
      </c>
      <c r="G729" s="11" t="s">
        <v>636</v>
      </c>
      <c r="H729" s="11" t="s">
        <v>637</v>
      </c>
      <c r="I729" s="120" t="s">
        <v>638</v>
      </c>
      <c r="J729" s="25">
        <v>43297</v>
      </c>
      <c r="K729" s="25">
        <v>43906</v>
      </c>
      <c r="L729" s="26">
        <f t="shared" si="260"/>
        <v>83.143853842955224</v>
      </c>
      <c r="M729" s="11" t="s">
        <v>272</v>
      </c>
      <c r="N729" s="11" t="s">
        <v>261</v>
      </c>
      <c r="O729" s="11" t="s">
        <v>261</v>
      </c>
      <c r="P729" s="27" t="s">
        <v>138</v>
      </c>
      <c r="Q729" s="11" t="s">
        <v>34</v>
      </c>
      <c r="R729" s="2">
        <f t="shared" si="272"/>
        <v>5525318.4299999997</v>
      </c>
      <c r="S729" s="2">
        <v>4455687.8899999997</v>
      </c>
      <c r="T729" s="2">
        <v>1069630.54</v>
      </c>
      <c r="U729" s="2">
        <f t="shared" si="270"/>
        <v>987264.11999999988</v>
      </c>
      <c r="V729" s="28">
        <v>733359.19</v>
      </c>
      <c r="W729" s="28">
        <v>253904.93</v>
      </c>
      <c r="X729" s="2">
        <f t="shared" si="267"/>
        <v>0</v>
      </c>
      <c r="Y729" s="2">
        <v>0</v>
      </c>
      <c r="Z729" s="2">
        <v>0</v>
      </c>
      <c r="AA729" s="2">
        <f t="shared" si="268"/>
        <v>132909.78</v>
      </c>
      <c r="AB729" s="2">
        <v>105898.92</v>
      </c>
      <c r="AC729" s="2">
        <v>27010.86</v>
      </c>
      <c r="AD729" s="16">
        <f t="shared" si="271"/>
        <v>6645492.3300000001</v>
      </c>
      <c r="AE729" s="2">
        <v>0</v>
      </c>
      <c r="AF729" s="2">
        <f t="shared" si="269"/>
        <v>6645492.3300000001</v>
      </c>
      <c r="AG729" s="38" t="s">
        <v>857</v>
      </c>
      <c r="AH729" s="29" t="s">
        <v>1365</v>
      </c>
      <c r="AI729" s="30">
        <v>4546741.8800000018</v>
      </c>
      <c r="AJ729" s="30">
        <v>805170.18000000028</v>
      </c>
    </row>
    <row r="730" spans="1:109" s="179" customFormat="1" ht="267.75" x14ac:dyDescent="0.25">
      <c r="A730" s="6">
        <v>727</v>
      </c>
      <c r="B730" s="31">
        <v>126528</v>
      </c>
      <c r="C730" s="31">
        <v>496</v>
      </c>
      <c r="D730" s="98" t="s">
        <v>1641</v>
      </c>
      <c r="E730" s="32" t="s">
        <v>983</v>
      </c>
      <c r="F730" s="31" t="s">
        <v>1024</v>
      </c>
      <c r="G730" s="11" t="s">
        <v>1023</v>
      </c>
      <c r="H730" s="11" t="s">
        <v>1028</v>
      </c>
      <c r="I730" s="134" t="s">
        <v>2972</v>
      </c>
      <c r="J730" s="25">
        <v>43552</v>
      </c>
      <c r="K730" s="25">
        <v>44283</v>
      </c>
      <c r="L730" s="26">
        <f t="shared" si="260"/>
        <v>83.538686217523377</v>
      </c>
      <c r="M730" s="11" t="s">
        <v>1025</v>
      </c>
      <c r="N730" s="11" t="s">
        <v>1026</v>
      </c>
      <c r="O730" s="11" t="s">
        <v>1026</v>
      </c>
      <c r="P730" s="11" t="s">
        <v>274</v>
      </c>
      <c r="Q730" s="11" t="s">
        <v>34</v>
      </c>
      <c r="R730" s="30">
        <f t="shared" si="272"/>
        <v>1949308.98</v>
      </c>
      <c r="S730" s="95">
        <v>1949308.98</v>
      </c>
      <c r="T730" s="34">
        <v>0</v>
      </c>
      <c r="U730" s="30">
        <f t="shared" si="270"/>
        <v>337443.27</v>
      </c>
      <c r="V730" s="42">
        <v>337443.27</v>
      </c>
      <c r="W730" s="42">
        <v>0</v>
      </c>
      <c r="X730" s="30">
        <f t="shared" si="267"/>
        <v>6552.42</v>
      </c>
      <c r="Y730" s="95">
        <v>6552.42</v>
      </c>
      <c r="Z730" s="34">
        <v>0</v>
      </c>
      <c r="AA730" s="2">
        <f t="shared" si="268"/>
        <v>40116.009999999995</v>
      </c>
      <c r="AB730" s="95">
        <f>23632.16+16483.85</f>
        <v>40116.009999999995</v>
      </c>
      <c r="AC730" s="34">
        <v>0</v>
      </c>
      <c r="AD730" s="16">
        <f t="shared" si="271"/>
        <v>2333420.6799999997</v>
      </c>
      <c r="AE730" s="35">
        <v>0</v>
      </c>
      <c r="AF730" s="2">
        <f t="shared" si="269"/>
        <v>2333420.6799999997</v>
      </c>
      <c r="AG730" s="38" t="s">
        <v>857</v>
      </c>
      <c r="AH730" s="35" t="s">
        <v>151</v>
      </c>
      <c r="AI730" s="30">
        <f>1124643.02+142130.56+141973.95+153503.61+152349.68+121455.81-7033.67-26450.13</f>
        <v>1802572.8300000003</v>
      </c>
      <c r="AJ730" s="30">
        <f>154526.42+24578.05+24562.15+26694.06+26553.69+25966.76+30122.6</f>
        <v>313003.73</v>
      </c>
    </row>
    <row r="731" spans="1:109" s="179" customFormat="1" ht="141.75" x14ac:dyDescent="0.25">
      <c r="A731" s="6">
        <v>728</v>
      </c>
      <c r="B731" s="31">
        <v>109927</v>
      </c>
      <c r="C731" s="31">
        <v>334</v>
      </c>
      <c r="D731" s="11" t="s">
        <v>143</v>
      </c>
      <c r="E731" s="24" t="s">
        <v>270</v>
      </c>
      <c r="F731" s="67" t="s">
        <v>640</v>
      </c>
      <c r="G731" s="11" t="s">
        <v>641</v>
      </c>
      <c r="H731" s="8" t="s">
        <v>151</v>
      </c>
      <c r="I731" s="120" t="s">
        <v>642</v>
      </c>
      <c r="J731" s="25">
        <v>43297</v>
      </c>
      <c r="K731" s="25">
        <v>43785</v>
      </c>
      <c r="L731" s="26">
        <f t="shared" ref="L731:L792" si="273">R731/AD731*100</f>
        <v>82.304185890830638</v>
      </c>
      <c r="M731" s="11" t="s">
        <v>272</v>
      </c>
      <c r="N731" s="11" t="s">
        <v>261</v>
      </c>
      <c r="O731" s="11" t="s">
        <v>261</v>
      </c>
      <c r="P731" s="27" t="s">
        <v>138</v>
      </c>
      <c r="Q731" s="11" t="s">
        <v>34</v>
      </c>
      <c r="R731" s="2">
        <f t="shared" si="272"/>
        <v>793991.64999999991</v>
      </c>
      <c r="S731" s="2">
        <v>640285.07999999996</v>
      </c>
      <c r="T731" s="2">
        <v>153706.57</v>
      </c>
      <c r="U731" s="2">
        <f t="shared" si="270"/>
        <v>151418.12</v>
      </c>
      <c r="V731" s="28">
        <v>112991.49</v>
      </c>
      <c r="W731" s="28">
        <v>38426.629999999997</v>
      </c>
      <c r="X731" s="2">
        <f t="shared" ref="X731:X762" si="274">Y731+Z731</f>
        <v>0</v>
      </c>
      <c r="Y731" s="2">
        <v>0</v>
      </c>
      <c r="Z731" s="2">
        <v>0</v>
      </c>
      <c r="AA731" s="2">
        <f t="shared" ref="AA731:AA762" si="275">AB731+AC731</f>
        <v>19294.080000000002</v>
      </c>
      <c r="AB731" s="2">
        <v>15373</v>
      </c>
      <c r="AC731" s="2">
        <v>3921.08</v>
      </c>
      <c r="AD731" s="16">
        <f t="shared" si="271"/>
        <v>964703.84999999986</v>
      </c>
      <c r="AE731" s="2">
        <v>0</v>
      </c>
      <c r="AF731" s="2">
        <f t="shared" ref="AF731:AF762" si="276">AD731+AE731</f>
        <v>964703.84999999986</v>
      </c>
      <c r="AG731" s="21" t="s">
        <v>857</v>
      </c>
      <c r="AH731" s="29" t="s">
        <v>1320</v>
      </c>
      <c r="AI731" s="30">
        <f>402453.38+117377.22+258590.23+5842.52</f>
        <v>784263.35</v>
      </c>
      <c r="AJ731" s="30">
        <f>14469.9+11972.92+31909.61+40781.81+49314.41+1114.21</f>
        <v>149562.85999999999</v>
      </c>
    </row>
    <row r="732" spans="1:109" s="179" customFormat="1" ht="189" x14ac:dyDescent="0.25">
      <c r="A732" s="6">
        <v>729</v>
      </c>
      <c r="B732" s="31">
        <v>111446</v>
      </c>
      <c r="C732" s="31">
        <v>161</v>
      </c>
      <c r="D732" s="11" t="s">
        <v>143</v>
      </c>
      <c r="E732" s="24" t="s">
        <v>270</v>
      </c>
      <c r="F732" s="67" t="s">
        <v>643</v>
      </c>
      <c r="G732" s="11" t="s">
        <v>644</v>
      </c>
      <c r="H732" s="8" t="s">
        <v>151</v>
      </c>
      <c r="I732" s="12" t="s">
        <v>645</v>
      </c>
      <c r="J732" s="25">
        <v>43297</v>
      </c>
      <c r="K732" s="25">
        <v>43785</v>
      </c>
      <c r="L732" s="26">
        <f t="shared" si="273"/>
        <v>82.304180439174772</v>
      </c>
      <c r="M732" s="11" t="s">
        <v>272</v>
      </c>
      <c r="N732" s="11" t="s">
        <v>261</v>
      </c>
      <c r="O732" s="11" t="s">
        <v>261</v>
      </c>
      <c r="P732" s="27" t="s">
        <v>274</v>
      </c>
      <c r="Q732" s="11" t="s">
        <v>34</v>
      </c>
      <c r="R732" s="2">
        <f t="shared" si="272"/>
        <v>820476.63</v>
      </c>
      <c r="S732" s="2">
        <v>661642.92000000004</v>
      </c>
      <c r="T732" s="2">
        <v>158833.71</v>
      </c>
      <c r="U732" s="2">
        <f t="shared" si="270"/>
        <v>156469</v>
      </c>
      <c r="V732" s="28">
        <v>116760.53</v>
      </c>
      <c r="W732" s="28">
        <v>39708.47</v>
      </c>
      <c r="X732" s="2">
        <f t="shared" si="274"/>
        <v>0</v>
      </c>
      <c r="Y732" s="2">
        <v>0</v>
      </c>
      <c r="Z732" s="2">
        <v>0</v>
      </c>
      <c r="AA732" s="2">
        <f t="shared" si="275"/>
        <v>19937.669999999998</v>
      </c>
      <c r="AB732" s="2">
        <v>15885.81</v>
      </c>
      <c r="AC732" s="2">
        <v>4051.86</v>
      </c>
      <c r="AD732" s="16">
        <f t="shared" si="271"/>
        <v>996883.3</v>
      </c>
      <c r="AE732" s="2"/>
      <c r="AF732" s="2">
        <f t="shared" si="276"/>
        <v>996883.3</v>
      </c>
      <c r="AG732" s="21" t="s">
        <v>857</v>
      </c>
      <c r="AH732" s="29" t="s">
        <v>294</v>
      </c>
      <c r="AI732" s="30">
        <f>172463.58+91295.09-2619.6+99688.33+6676.64+99688.33+83929.71+100258.16+75790.79</f>
        <v>727171.03</v>
      </c>
      <c r="AJ732" s="30">
        <f>13878.6+17410.43+18511.49+20284.35+16005.79+38130.79+14453.69</f>
        <v>138675.14000000001</v>
      </c>
    </row>
    <row r="733" spans="1:109" s="179" customFormat="1" ht="141.75" x14ac:dyDescent="0.25">
      <c r="A733" s="6">
        <v>730</v>
      </c>
      <c r="B733" s="31">
        <v>111890</v>
      </c>
      <c r="C733" s="31">
        <v>249</v>
      </c>
      <c r="D733" s="11" t="s">
        <v>143</v>
      </c>
      <c r="E733" s="24" t="s">
        <v>270</v>
      </c>
      <c r="F733" s="67" t="s">
        <v>664</v>
      </c>
      <c r="G733" s="11" t="s">
        <v>665</v>
      </c>
      <c r="H733" s="11" t="s">
        <v>666</v>
      </c>
      <c r="I733" s="12" t="s">
        <v>2973</v>
      </c>
      <c r="J733" s="25">
        <v>43301</v>
      </c>
      <c r="K733" s="25">
        <v>43789</v>
      </c>
      <c r="L733" s="26">
        <f t="shared" si="273"/>
        <v>82.304184196855573</v>
      </c>
      <c r="M733" s="11" t="s">
        <v>272</v>
      </c>
      <c r="N733" s="11" t="s">
        <v>361</v>
      </c>
      <c r="O733" s="11" t="s">
        <v>361</v>
      </c>
      <c r="P733" s="27" t="s">
        <v>274</v>
      </c>
      <c r="Q733" s="11" t="s">
        <v>34</v>
      </c>
      <c r="R733" s="2">
        <f t="shared" si="272"/>
        <v>729395.17</v>
      </c>
      <c r="S733" s="2">
        <v>588193.66</v>
      </c>
      <c r="T733" s="2">
        <v>141201.51</v>
      </c>
      <c r="U733" s="2">
        <f t="shared" si="270"/>
        <v>139099.28</v>
      </c>
      <c r="V733" s="28">
        <v>103798.89</v>
      </c>
      <c r="W733" s="28">
        <v>35300.39</v>
      </c>
      <c r="X733" s="2">
        <f t="shared" si="274"/>
        <v>0</v>
      </c>
      <c r="Y733" s="2">
        <v>0</v>
      </c>
      <c r="Z733" s="2">
        <v>0</v>
      </c>
      <c r="AA733" s="2">
        <f t="shared" si="275"/>
        <v>17724.370000000003</v>
      </c>
      <c r="AB733" s="2">
        <v>14122.29</v>
      </c>
      <c r="AC733" s="2">
        <v>3602.08</v>
      </c>
      <c r="AD733" s="16">
        <f t="shared" si="271"/>
        <v>886218.82000000007</v>
      </c>
      <c r="AE733" s="2">
        <v>0</v>
      </c>
      <c r="AF733" s="2">
        <f t="shared" si="276"/>
        <v>886218.82000000007</v>
      </c>
      <c r="AG733" s="21" t="s">
        <v>857</v>
      </c>
      <c r="AH733" s="29" t="s">
        <v>1277</v>
      </c>
      <c r="AI733" s="30">
        <f>416218.9+121145.8+152202.09-7471.8-36155.33</f>
        <v>645939.66</v>
      </c>
      <c r="AJ733" s="30">
        <f>14022.63+14374.66+9282.27+24787.75+23442.2+29025.69+8248.64</f>
        <v>123183.84</v>
      </c>
    </row>
    <row r="734" spans="1:109" s="179" customFormat="1" ht="252" x14ac:dyDescent="0.25">
      <c r="A734" s="6">
        <v>731</v>
      </c>
      <c r="B734" s="31">
        <v>126511</v>
      </c>
      <c r="C734" s="31">
        <v>499</v>
      </c>
      <c r="D734" s="98" t="s">
        <v>1641</v>
      </c>
      <c r="E734" s="32" t="s">
        <v>983</v>
      </c>
      <c r="F734" s="11" t="s">
        <v>1011</v>
      </c>
      <c r="G734" s="11" t="s">
        <v>1012</v>
      </c>
      <c r="H734" s="8" t="s">
        <v>151</v>
      </c>
      <c r="I734" s="46" t="s">
        <v>1015</v>
      </c>
      <c r="J734" s="25">
        <v>43535</v>
      </c>
      <c r="K734" s="25">
        <v>44266</v>
      </c>
      <c r="L734" s="26">
        <f t="shared" si="273"/>
        <v>83.300000000000011</v>
      </c>
      <c r="M734" s="11" t="s">
        <v>1014</v>
      </c>
      <c r="N734" s="11" t="s">
        <v>1013</v>
      </c>
      <c r="O734" s="11" t="s">
        <v>1013</v>
      </c>
      <c r="P734" s="11" t="s">
        <v>274</v>
      </c>
      <c r="Q734" s="11" t="s">
        <v>34</v>
      </c>
      <c r="R734" s="30">
        <f t="shared" si="272"/>
        <v>2060383.85</v>
      </c>
      <c r="S734" s="2">
        <v>2060383.85</v>
      </c>
      <c r="T734" s="2">
        <v>0</v>
      </c>
      <c r="U734" s="30">
        <f t="shared" si="270"/>
        <v>363597.15</v>
      </c>
      <c r="V734" s="28">
        <v>363597.15</v>
      </c>
      <c r="W734" s="28">
        <v>0</v>
      </c>
      <c r="X734" s="30">
        <f t="shared" si="274"/>
        <v>0</v>
      </c>
      <c r="Y734" s="2">
        <v>0</v>
      </c>
      <c r="Z734" s="2">
        <v>0</v>
      </c>
      <c r="AA734" s="2">
        <f t="shared" si="275"/>
        <v>49469</v>
      </c>
      <c r="AB734" s="2">
        <v>49469</v>
      </c>
      <c r="AC734" s="2">
        <v>0</v>
      </c>
      <c r="AD734" s="16">
        <f t="shared" si="271"/>
        <v>2473450</v>
      </c>
      <c r="AE734" s="2">
        <v>0</v>
      </c>
      <c r="AF734" s="2">
        <f t="shared" si="276"/>
        <v>2473450</v>
      </c>
      <c r="AG734" s="38" t="s">
        <v>857</v>
      </c>
      <c r="AH734" s="29" t="s">
        <v>151</v>
      </c>
      <c r="AI734" s="30">
        <f>223418.82+247345-25227.12+247345+167983.62+12080.39+247345+335959.73+30394.68+247345+30380.57+158425.78</f>
        <v>1922796.47</v>
      </c>
      <c r="AJ734" s="30">
        <f>23926.18+54697.96+29644.16+45780.91+59287.01+49012.9+49010.35+27957.48</f>
        <v>339316.95</v>
      </c>
      <c r="AK734" s="43"/>
      <c r="AL734" s="43"/>
      <c r="AM734" s="43"/>
      <c r="AN734" s="43"/>
      <c r="AO734" s="43"/>
      <c r="AP734" s="43"/>
      <c r="AQ734" s="43"/>
      <c r="AR734" s="43"/>
      <c r="AS734" s="43"/>
      <c r="AT734" s="43"/>
      <c r="AU734" s="43"/>
      <c r="AV734" s="43"/>
      <c r="AW734" s="43"/>
      <c r="AX734" s="43"/>
      <c r="AY734" s="43"/>
      <c r="AZ734" s="43"/>
      <c r="BA734" s="43"/>
      <c r="BB734" s="43"/>
      <c r="BC734" s="43"/>
      <c r="BD734" s="43"/>
      <c r="BE734" s="43"/>
      <c r="BF734" s="43"/>
      <c r="BG734" s="43"/>
      <c r="BH734" s="43"/>
      <c r="BI734" s="43"/>
      <c r="BJ734" s="43"/>
      <c r="BK734" s="43"/>
      <c r="BL734" s="43"/>
      <c r="BM734" s="43"/>
      <c r="BN734" s="43"/>
      <c r="BO734" s="43"/>
      <c r="BP734" s="43"/>
      <c r="BQ734" s="43"/>
      <c r="BR734" s="43"/>
      <c r="BS734" s="43"/>
      <c r="BT734" s="43"/>
      <c r="BU734" s="43"/>
      <c r="BV734" s="43"/>
      <c r="BW734" s="43"/>
      <c r="BX734" s="43"/>
      <c r="BY734" s="43"/>
      <c r="BZ734" s="43"/>
      <c r="CA734" s="43"/>
      <c r="CB734" s="43"/>
      <c r="CC734" s="43"/>
      <c r="CD734" s="43"/>
      <c r="CE734" s="43"/>
      <c r="CF734" s="43"/>
      <c r="CG734" s="43"/>
      <c r="CH734" s="43"/>
      <c r="CI734" s="43"/>
      <c r="CJ734" s="43"/>
      <c r="CK734" s="43"/>
      <c r="CL734" s="43"/>
      <c r="CM734" s="43"/>
      <c r="CN734" s="43"/>
      <c r="CO734" s="43"/>
      <c r="CP734" s="43"/>
      <c r="CQ734" s="43"/>
      <c r="CR734" s="43"/>
      <c r="CS734" s="43"/>
      <c r="CT734" s="43"/>
      <c r="CU734" s="43"/>
      <c r="CV734" s="43"/>
      <c r="CW734" s="43"/>
      <c r="CX734" s="43"/>
      <c r="CY734" s="43"/>
      <c r="CZ734" s="43"/>
      <c r="DA734" s="43"/>
      <c r="DB734" s="43"/>
      <c r="DC734" s="43"/>
      <c r="DD734" s="43"/>
      <c r="DE734" s="43"/>
    </row>
    <row r="735" spans="1:109" s="179" customFormat="1" ht="204.75" x14ac:dyDescent="0.25">
      <c r="A735" s="6">
        <v>732</v>
      </c>
      <c r="B735" s="31">
        <v>113123</v>
      </c>
      <c r="C735" s="31">
        <v>217</v>
      </c>
      <c r="D735" s="11" t="s">
        <v>143</v>
      </c>
      <c r="E735" s="24" t="s">
        <v>270</v>
      </c>
      <c r="F735" s="11" t="s">
        <v>1918</v>
      </c>
      <c r="G735" s="11" t="s">
        <v>687</v>
      </c>
      <c r="H735" s="8" t="s">
        <v>151</v>
      </c>
      <c r="I735" s="120" t="s">
        <v>688</v>
      </c>
      <c r="J735" s="25">
        <v>43312</v>
      </c>
      <c r="K735" s="25">
        <v>44012</v>
      </c>
      <c r="L735" s="26">
        <f t="shared" si="273"/>
        <v>82.304192539701532</v>
      </c>
      <c r="M735" s="11" t="s">
        <v>272</v>
      </c>
      <c r="N735" s="11" t="s">
        <v>261</v>
      </c>
      <c r="O735" s="11" t="s">
        <v>261</v>
      </c>
      <c r="P735" s="27" t="s">
        <v>274</v>
      </c>
      <c r="Q735" s="11" t="s">
        <v>34</v>
      </c>
      <c r="R735" s="2">
        <f t="shared" si="272"/>
        <v>457182.16000000003</v>
      </c>
      <c r="S735" s="2">
        <v>368677.58</v>
      </c>
      <c r="T735" s="2">
        <v>88504.58</v>
      </c>
      <c r="U735" s="2">
        <f t="shared" si="270"/>
        <v>87186.86</v>
      </c>
      <c r="V735" s="28">
        <v>65060.76</v>
      </c>
      <c r="W735" s="28">
        <v>22126.1</v>
      </c>
      <c r="X735" s="2">
        <f t="shared" si="274"/>
        <v>0</v>
      </c>
      <c r="Y735" s="2">
        <v>0</v>
      </c>
      <c r="Z735" s="2">
        <v>0</v>
      </c>
      <c r="AA735" s="2">
        <f t="shared" si="275"/>
        <v>11109.56</v>
      </c>
      <c r="AB735" s="2">
        <v>8851.75</v>
      </c>
      <c r="AC735" s="2">
        <v>2257.81</v>
      </c>
      <c r="AD735" s="16">
        <f t="shared" si="271"/>
        <v>555478.58000000007</v>
      </c>
      <c r="AE735" s="2"/>
      <c r="AF735" s="2">
        <f t="shared" si="276"/>
        <v>555478.58000000007</v>
      </c>
      <c r="AG735" s="38" t="s">
        <v>857</v>
      </c>
      <c r="AH735" s="29" t="s">
        <v>1518</v>
      </c>
      <c r="AI735" s="30">
        <f>290762.69+44490.67+37570.73+60763.37-29595.26</f>
        <v>403992.19999999995</v>
      </c>
      <c r="AJ735" s="30">
        <f>7748.65+9425.87-0.12+10127.9+16559.69+16272.7+10964.7+5943.9</f>
        <v>77043.289999999994</v>
      </c>
    </row>
    <row r="736" spans="1:109" s="179" customFormat="1" ht="141.75" x14ac:dyDescent="0.25">
      <c r="A736" s="6">
        <v>733</v>
      </c>
      <c r="B736" s="31">
        <v>112769</v>
      </c>
      <c r="C736" s="31">
        <v>154</v>
      </c>
      <c r="D736" s="11" t="s">
        <v>143</v>
      </c>
      <c r="E736" s="24" t="s">
        <v>270</v>
      </c>
      <c r="F736" s="11" t="s">
        <v>698</v>
      </c>
      <c r="G736" s="11" t="s">
        <v>699</v>
      </c>
      <c r="H736" s="11" t="s">
        <v>700</v>
      </c>
      <c r="I736" s="120" t="s">
        <v>2974</v>
      </c>
      <c r="J736" s="25">
        <v>43312</v>
      </c>
      <c r="K736" s="25">
        <v>43799</v>
      </c>
      <c r="L736" s="26">
        <f t="shared" si="273"/>
        <v>82.304193908401487</v>
      </c>
      <c r="M736" s="11" t="s">
        <v>272</v>
      </c>
      <c r="N736" s="11" t="s">
        <v>261</v>
      </c>
      <c r="O736" s="11" t="s">
        <v>261</v>
      </c>
      <c r="P736" s="27" t="s">
        <v>274</v>
      </c>
      <c r="Q736" s="11" t="s">
        <v>34</v>
      </c>
      <c r="R736" s="2">
        <f t="shared" si="272"/>
        <v>810553.29</v>
      </c>
      <c r="S736" s="2">
        <v>653640.61</v>
      </c>
      <c r="T736" s="2">
        <v>156912.68</v>
      </c>
      <c r="U736" s="2">
        <f t="shared" si="270"/>
        <v>154576.41999999998</v>
      </c>
      <c r="V736" s="28">
        <v>115348.29</v>
      </c>
      <c r="W736" s="28">
        <v>39228.129999999997</v>
      </c>
      <c r="X736" s="2">
        <f t="shared" si="274"/>
        <v>0</v>
      </c>
      <c r="Y736" s="2">
        <v>0</v>
      </c>
      <c r="Z736" s="2">
        <v>0</v>
      </c>
      <c r="AA736" s="2">
        <f t="shared" si="275"/>
        <v>19696.52</v>
      </c>
      <c r="AB736" s="2">
        <v>15693.62</v>
      </c>
      <c r="AC736" s="2">
        <v>4002.9</v>
      </c>
      <c r="AD736" s="16">
        <f t="shared" si="271"/>
        <v>984826.23</v>
      </c>
      <c r="AE736" s="2"/>
      <c r="AF736" s="2">
        <f t="shared" si="276"/>
        <v>984826.23</v>
      </c>
      <c r="AG736" s="21" t="s">
        <v>857</v>
      </c>
      <c r="AH736" s="29" t="s">
        <v>151</v>
      </c>
      <c r="AI736" s="30">
        <f>505319.03+215529.97-3637.72</f>
        <v>717211.28</v>
      </c>
      <c r="AJ736" s="30">
        <f>15061.09+3.81+17176.67+17183.59+29510.05+41102.63+16737.76</f>
        <v>136775.6</v>
      </c>
    </row>
    <row r="737" spans="1:36" s="179" customFormat="1" ht="162.75" customHeight="1" x14ac:dyDescent="0.25">
      <c r="A737" s="6">
        <v>734</v>
      </c>
      <c r="B737" s="31">
        <v>118824</v>
      </c>
      <c r="C737" s="31">
        <v>451</v>
      </c>
      <c r="D737" s="32" t="s">
        <v>1640</v>
      </c>
      <c r="E737" s="24" t="s">
        <v>523</v>
      </c>
      <c r="F737" s="67" t="s">
        <v>1919</v>
      </c>
      <c r="G737" s="11" t="s">
        <v>703</v>
      </c>
      <c r="H737" s="11" t="s">
        <v>704</v>
      </c>
      <c r="I737" s="32" t="s">
        <v>2975</v>
      </c>
      <c r="J737" s="25">
        <v>43311</v>
      </c>
      <c r="K737" s="25">
        <v>44228</v>
      </c>
      <c r="L737" s="26">
        <f t="shared" si="273"/>
        <v>83.245540797683958</v>
      </c>
      <c r="M737" s="11" t="s">
        <v>272</v>
      </c>
      <c r="N737" s="11" t="s">
        <v>261</v>
      </c>
      <c r="O737" s="11" t="s">
        <v>261</v>
      </c>
      <c r="P737" s="27" t="s">
        <v>138</v>
      </c>
      <c r="Q737" s="11" t="s">
        <v>34</v>
      </c>
      <c r="R737" s="2">
        <f t="shared" si="272"/>
        <v>3071406.8699999992</v>
      </c>
      <c r="S737" s="2">
        <v>2476821.9799999991</v>
      </c>
      <c r="T737" s="2">
        <v>594584.89000000013</v>
      </c>
      <c r="U737" s="2">
        <f t="shared" si="270"/>
        <v>254554.26</v>
      </c>
      <c r="V737" s="28">
        <v>189953.91</v>
      </c>
      <c r="W737" s="28">
        <v>64600.35</v>
      </c>
      <c r="X737" s="2">
        <f t="shared" si="274"/>
        <v>331178.18</v>
      </c>
      <c r="Y737" s="2">
        <v>247132.34</v>
      </c>
      <c r="Z737" s="2">
        <v>84045.84</v>
      </c>
      <c r="AA737" s="2">
        <f t="shared" si="275"/>
        <v>32435.940000000002</v>
      </c>
      <c r="AB737" s="2">
        <v>25844.11</v>
      </c>
      <c r="AC737" s="2">
        <v>6591.83</v>
      </c>
      <c r="AD737" s="16">
        <f t="shared" si="271"/>
        <v>3689575.2499999991</v>
      </c>
      <c r="AE737" s="2"/>
      <c r="AF737" s="2">
        <f t="shared" si="276"/>
        <v>3689575.2499999991</v>
      </c>
      <c r="AG737" s="38" t="s">
        <v>857</v>
      </c>
      <c r="AH737" s="160" t="s">
        <v>1597</v>
      </c>
      <c r="AI737" s="30">
        <f>1525625.11+35665.38+461250.33+93312.31+190744.71+123191.32+39619.9+58518.28+50395.7-17494.62</f>
        <v>2560828.4199999995</v>
      </c>
      <c r="AJ737" s="30">
        <f>127973.9+32924.82+17795.12+23493.19+12881.11+5976.01</f>
        <v>221044.15000000002</v>
      </c>
    </row>
    <row r="738" spans="1:36" s="179" customFormat="1" ht="189" x14ac:dyDescent="0.25">
      <c r="A738" s="6">
        <v>735</v>
      </c>
      <c r="B738" s="31">
        <v>113009</v>
      </c>
      <c r="C738" s="31">
        <v>296</v>
      </c>
      <c r="D738" s="11" t="s">
        <v>143</v>
      </c>
      <c r="E738" s="24" t="s">
        <v>270</v>
      </c>
      <c r="F738" s="11" t="s">
        <v>710</v>
      </c>
      <c r="G738" s="11" t="s">
        <v>711</v>
      </c>
      <c r="H738" s="11" t="s">
        <v>712</v>
      </c>
      <c r="I738" s="33" t="s">
        <v>2976</v>
      </c>
      <c r="J738" s="25">
        <v>43318</v>
      </c>
      <c r="K738" s="25">
        <v>43775</v>
      </c>
      <c r="L738" s="26">
        <f t="shared" si="273"/>
        <v>82.304184738955826</v>
      </c>
      <c r="M738" s="11" t="s">
        <v>272</v>
      </c>
      <c r="N738" s="11" t="s">
        <v>194</v>
      </c>
      <c r="O738" s="11" t="s">
        <v>193</v>
      </c>
      <c r="P738" s="27" t="s">
        <v>274</v>
      </c>
      <c r="Q738" s="11" t="s">
        <v>34</v>
      </c>
      <c r="R738" s="2">
        <f t="shared" si="272"/>
        <v>819749.67999999993</v>
      </c>
      <c r="S738" s="2">
        <v>661056.71</v>
      </c>
      <c r="T738" s="2">
        <v>158692.97</v>
      </c>
      <c r="U738" s="2">
        <f t="shared" si="270"/>
        <v>156330.31</v>
      </c>
      <c r="V738" s="28">
        <v>116657.06</v>
      </c>
      <c r="W738" s="28">
        <v>39673.25</v>
      </c>
      <c r="X738" s="2">
        <f t="shared" si="274"/>
        <v>0</v>
      </c>
      <c r="Y738" s="2">
        <v>0</v>
      </c>
      <c r="Z738" s="2">
        <v>0</v>
      </c>
      <c r="AA738" s="2">
        <f t="shared" si="275"/>
        <v>19920.010000000002</v>
      </c>
      <c r="AB738" s="2">
        <v>15871.7</v>
      </c>
      <c r="AC738" s="2">
        <v>4048.31</v>
      </c>
      <c r="AD738" s="16">
        <f t="shared" si="271"/>
        <v>996000</v>
      </c>
      <c r="AE738" s="2"/>
      <c r="AF738" s="2">
        <f t="shared" si="276"/>
        <v>996000</v>
      </c>
      <c r="AG738" s="21" t="s">
        <v>857</v>
      </c>
      <c r="AH738" s="29" t="s">
        <v>1211</v>
      </c>
      <c r="AI738" s="30">
        <f>11711.89+112463.33+73006.84+70941.22+395259.82+67590.34</f>
        <v>730973.44000000006</v>
      </c>
      <c r="AJ738" s="30">
        <f>2233.51+2453.09+13922.77+13528.85+75378+31884.01</f>
        <v>139400.23000000001</v>
      </c>
    </row>
    <row r="739" spans="1:36" s="179" customFormat="1" ht="141.75" x14ac:dyDescent="0.25">
      <c r="A739" s="6">
        <v>736</v>
      </c>
      <c r="B739" s="31">
        <v>112982</v>
      </c>
      <c r="C739" s="31">
        <v>297</v>
      </c>
      <c r="D739" s="11" t="s">
        <v>143</v>
      </c>
      <c r="E739" s="24" t="s">
        <v>270</v>
      </c>
      <c r="F739" s="67" t="s">
        <v>713</v>
      </c>
      <c r="G739" s="11" t="s">
        <v>714</v>
      </c>
      <c r="H739" s="8" t="s">
        <v>151</v>
      </c>
      <c r="I739" s="12" t="s">
        <v>715</v>
      </c>
      <c r="J739" s="25">
        <v>43318</v>
      </c>
      <c r="K739" s="25">
        <v>43683</v>
      </c>
      <c r="L739" s="26">
        <f t="shared" si="273"/>
        <v>82.304142421748935</v>
      </c>
      <c r="M739" s="11" t="s">
        <v>272</v>
      </c>
      <c r="N739" s="11" t="s">
        <v>691</v>
      </c>
      <c r="O739" s="11" t="s">
        <v>716</v>
      </c>
      <c r="P739" s="27" t="s">
        <v>274</v>
      </c>
      <c r="Q739" s="11" t="s">
        <v>34</v>
      </c>
      <c r="R739" s="2">
        <f t="shared" si="272"/>
        <v>819220.94</v>
      </c>
      <c r="S739" s="2">
        <f>660630.34</f>
        <v>660630.34</v>
      </c>
      <c r="T739" s="2">
        <f>158590.6</f>
        <v>158590.6</v>
      </c>
      <c r="U739" s="2">
        <f t="shared" ref="U739:U770" si="277">V739+W739</f>
        <v>156229.57</v>
      </c>
      <c r="V739" s="28">
        <f>116581.85</f>
        <v>116581.85</v>
      </c>
      <c r="W739" s="28">
        <f>39647.72</f>
        <v>39647.72</v>
      </c>
      <c r="X739" s="2">
        <f t="shared" si="274"/>
        <v>0</v>
      </c>
      <c r="Y739" s="2">
        <v>0</v>
      </c>
      <c r="Z739" s="2">
        <v>0</v>
      </c>
      <c r="AA739" s="2">
        <f t="shared" si="275"/>
        <v>19907.580000000002</v>
      </c>
      <c r="AB739" s="2">
        <f>15861.83</f>
        <v>15861.83</v>
      </c>
      <c r="AC739" s="2">
        <f>4045.75</f>
        <v>4045.75</v>
      </c>
      <c r="AD739" s="16">
        <f t="shared" si="271"/>
        <v>995358.09</v>
      </c>
      <c r="AE739" s="2"/>
      <c r="AF739" s="2">
        <f t="shared" si="276"/>
        <v>995358.09</v>
      </c>
      <c r="AG739" s="21" t="s">
        <v>857</v>
      </c>
      <c r="AH739" s="29"/>
      <c r="AI739" s="30">
        <f>764833.39+7900.03</f>
        <v>772733.42</v>
      </c>
      <c r="AJ739" s="30">
        <f>145857.5+1506.57</f>
        <v>147364.07</v>
      </c>
    </row>
    <row r="740" spans="1:36" s="179" customFormat="1" ht="141.75" x14ac:dyDescent="0.25">
      <c r="A740" s="6">
        <v>737</v>
      </c>
      <c r="B740" s="31">
        <v>110476</v>
      </c>
      <c r="C740" s="31">
        <v>203</v>
      </c>
      <c r="D740" s="11" t="s">
        <v>143</v>
      </c>
      <c r="E740" s="24" t="s">
        <v>270</v>
      </c>
      <c r="F740" s="67" t="s">
        <v>1920</v>
      </c>
      <c r="G740" s="11" t="s">
        <v>727</v>
      </c>
      <c r="H740" s="11" t="s">
        <v>728</v>
      </c>
      <c r="I740" s="120" t="s">
        <v>2977</v>
      </c>
      <c r="J740" s="25">
        <v>43321</v>
      </c>
      <c r="K740" s="25">
        <v>43808</v>
      </c>
      <c r="L740" s="26">
        <f t="shared" si="273"/>
        <v>82.304185104915661</v>
      </c>
      <c r="M740" s="11" t="s">
        <v>272</v>
      </c>
      <c r="N740" s="11" t="s">
        <v>290</v>
      </c>
      <c r="O740" s="11" t="s">
        <v>290</v>
      </c>
      <c r="P740" s="27" t="s">
        <v>274</v>
      </c>
      <c r="Q740" s="11" t="s">
        <v>34</v>
      </c>
      <c r="R740" s="2">
        <f t="shared" si="272"/>
        <v>792472.48</v>
      </c>
      <c r="S740" s="2">
        <v>639060</v>
      </c>
      <c r="T740" s="2">
        <v>153412.48000000001</v>
      </c>
      <c r="U740" s="2">
        <f t="shared" si="277"/>
        <v>151128.4</v>
      </c>
      <c r="V740" s="28">
        <v>112775.26</v>
      </c>
      <c r="W740" s="28">
        <v>38353.14</v>
      </c>
      <c r="X740" s="2">
        <f t="shared" si="274"/>
        <v>0</v>
      </c>
      <c r="Y740" s="2">
        <v>0</v>
      </c>
      <c r="Z740" s="2">
        <v>0</v>
      </c>
      <c r="AA740" s="2">
        <f t="shared" si="275"/>
        <v>19257.18</v>
      </c>
      <c r="AB740" s="2">
        <v>15343.63</v>
      </c>
      <c r="AC740" s="2">
        <v>3913.55</v>
      </c>
      <c r="AD740" s="16">
        <f t="shared" si="271"/>
        <v>962858.06</v>
      </c>
      <c r="AE740" s="2"/>
      <c r="AF740" s="2">
        <f t="shared" si="276"/>
        <v>962858.06</v>
      </c>
      <c r="AG740" s="21" t="s">
        <v>857</v>
      </c>
      <c r="AH740" s="29" t="s">
        <v>1243</v>
      </c>
      <c r="AI740" s="30">
        <f>428320.62+93776.01+55027.39+139592.25</f>
        <v>716716.27</v>
      </c>
      <c r="AJ740" s="30">
        <f>81204.25+10493.99+44983.15</f>
        <v>136681.39000000001</v>
      </c>
    </row>
    <row r="741" spans="1:36" s="179" customFormat="1" ht="141.75" x14ac:dyDescent="0.25">
      <c r="A741" s="6">
        <v>738</v>
      </c>
      <c r="B741" s="31">
        <v>111413</v>
      </c>
      <c r="C741" s="31">
        <v>245</v>
      </c>
      <c r="D741" s="11" t="s">
        <v>143</v>
      </c>
      <c r="E741" s="24" t="s">
        <v>270</v>
      </c>
      <c r="F741" s="67" t="s">
        <v>732</v>
      </c>
      <c r="G741" s="11" t="s">
        <v>733</v>
      </c>
      <c r="H741" s="11" t="s">
        <v>734</v>
      </c>
      <c r="I741" s="12" t="s">
        <v>2978</v>
      </c>
      <c r="J741" s="25">
        <v>43325</v>
      </c>
      <c r="K741" s="25">
        <v>43812</v>
      </c>
      <c r="L741" s="26">
        <f t="shared" si="273"/>
        <v>82.510189524515496</v>
      </c>
      <c r="M741" s="11" t="s">
        <v>272</v>
      </c>
      <c r="N741" s="11" t="s">
        <v>261</v>
      </c>
      <c r="O741" s="11" t="s">
        <v>261</v>
      </c>
      <c r="P741" s="27" t="s">
        <v>274</v>
      </c>
      <c r="Q741" s="11" t="s">
        <v>34</v>
      </c>
      <c r="R741" s="2">
        <f t="shared" si="272"/>
        <v>805149.57</v>
      </c>
      <c r="S741" s="2">
        <v>649282.97</v>
      </c>
      <c r="T741" s="2">
        <v>155866.6</v>
      </c>
      <c r="U741" s="2">
        <f t="shared" si="277"/>
        <v>134378</v>
      </c>
      <c r="V741" s="28">
        <v>100275.78</v>
      </c>
      <c r="W741" s="28">
        <v>34102.22</v>
      </c>
      <c r="X741" s="2">
        <f t="shared" si="274"/>
        <v>19168</v>
      </c>
      <c r="Y741" s="2">
        <v>14303.59</v>
      </c>
      <c r="Z741" s="2">
        <v>4864.41</v>
      </c>
      <c r="AA741" s="2">
        <f t="shared" si="275"/>
        <v>17122.78</v>
      </c>
      <c r="AB741" s="2">
        <v>13642.95</v>
      </c>
      <c r="AC741" s="2">
        <v>3479.83</v>
      </c>
      <c r="AD741" s="16">
        <f t="shared" si="271"/>
        <v>975818.35</v>
      </c>
      <c r="AE741" s="2">
        <v>0</v>
      </c>
      <c r="AF741" s="2">
        <f t="shared" si="276"/>
        <v>975818.35</v>
      </c>
      <c r="AG741" s="21" t="s">
        <v>857</v>
      </c>
      <c r="AH741" s="29" t="s">
        <v>294</v>
      </c>
      <c r="AI741" s="30">
        <f>85600-10278.92+91440.93+64880.29+85600+67989.89+122279.98+103700.71+78599.18+1013.75+8269.89</f>
        <v>699095.70000000007</v>
      </c>
      <c r="AJ741" s="30">
        <f>10278.92+5199.07+27998.08+12966.01+23319.38+19776.21+14989.25+14467.31</f>
        <v>128994.23000000001</v>
      </c>
    </row>
    <row r="742" spans="1:36" s="179" customFormat="1" ht="346.5" x14ac:dyDescent="0.25">
      <c r="A742" s="6">
        <v>739</v>
      </c>
      <c r="B742" s="31">
        <v>112299</v>
      </c>
      <c r="C742" s="31">
        <v>370</v>
      </c>
      <c r="D742" s="98" t="s">
        <v>1641</v>
      </c>
      <c r="E742" s="24" t="s">
        <v>528</v>
      </c>
      <c r="F742" s="67" t="s">
        <v>741</v>
      </c>
      <c r="G742" s="11" t="s">
        <v>742</v>
      </c>
      <c r="H742" s="8" t="s">
        <v>151</v>
      </c>
      <c r="I742" s="83" t="s">
        <v>2979</v>
      </c>
      <c r="J742" s="25">
        <v>43322</v>
      </c>
      <c r="K742" s="25">
        <v>44206</v>
      </c>
      <c r="L742" s="26">
        <f t="shared" si="273"/>
        <v>82.304185787048553</v>
      </c>
      <c r="M742" s="11" t="s">
        <v>272</v>
      </c>
      <c r="N742" s="11" t="s">
        <v>261</v>
      </c>
      <c r="O742" s="11" t="s">
        <v>261</v>
      </c>
      <c r="P742" s="27" t="s">
        <v>274</v>
      </c>
      <c r="Q742" s="11" t="s">
        <v>34</v>
      </c>
      <c r="R742" s="2">
        <f t="shared" si="272"/>
        <v>5950616.5499999998</v>
      </c>
      <c r="S742" s="2">
        <v>4798653.8499999996</v>
      </c>
      <c r="T742" s="2">
        <v>1151962.7</v>
      </c>
      <c r="U742" s="2">
        <f t="shared" si="277"/>
        <v>1134811.9099999999</v>
      </c>
      <c r="V742" s="28">
        <v>846821.21</v>
      </c>
      <c r="W742" s="28">
        <v>287990.7</v>
      </c>
      <c r="X742" s="2">
        <f t="shared" si="274"/>
        <v>0</v>
      </c>
      <c r="Y742" s="2">
        <v>0</v>
      </c>
      <c r="Z742" s="2">
        <v>0</v>
      </c>
      <c r="AA742" s="2">
        <f t="shared" si="275"/>
        <v>144600.6</v>
      </c>
      <c r="AB742" s="2">
        <v>115213.75999999999</v>
      </c>
      <c r="AC742" s="2">
        <v>29386.84</v>
      </c>
      <c r="AD742" s="16">
        <f t="shared" si="271"/>
        <v>7230029.0599999996</v>
      </c>
      <c r="AE742" s="2">
        <v>125283.56</v>
      </c>
      <c r="AF742" s="2">
        <f t="shared" si="276"/>
        <v>7355312.6199999992</v>
      </c>
      <c r="AG742" s="38" t="s">
        <v>857</v>
      </c>
      <c r="AH742" s="29" t="s">
        <v>1453</v>
      </c>
      <c r="AI742" s="30">
        <f>2989084.5+138744.31+504052.17+175482.8+697385.83+985436.75-18731.85+479161.34-42061.19-32073.11-30697.52</f>
        <v>5845784.0299999993</v>
      </c>
      <c r="AJ742" s="30">
        <f>432152.92+26459.23+96125.26+71707.5+132994.92+240620.64+18731.85+23268.78+42061.19+30697.52</f>
        <v>1114819.81</v>
      </c>
    </row>
    <row r="743" spans="1:36" s="179" customFormat="1" ht="119.25" customHeight="1" x14ac:dyDescent="0.25">
      <c r="A743" s="6">
        <v>740</v>
      </c>
      <c r="B743" s="31">
        <v>112241</v>
      </c>
      <c r="C743" s="31">
        <v>291</v>
      </c>
      <c r="D743" s="11" t="s">
        <v>143</v>
      </c>
      <c r="E743" s="24" t="s">
        <v>270</v>
      </c>
      <c r="F743" s="67" t="s">
        <v>754</v>
      </c>
      <c r="G743" s="11" t="s">
        <v>755</v>
      </c>
      <c r="H743" s="11" t="s">
        <v>756</v>
      </c>
      <c r="I743" s="120" t="s">
        <v>757</v>
      </c>
      <c r="J743" s="25">
        <v>43332</v>
      </c>
      <c r="K743" s="25">
        <v>43819</v>
      </c>
      <c r="L743" s="26">
        <f t="shared" si="273"/>
        <v>82.583882850083839</v>
      </c>
      <c r="M743" s="27" t="s">
        <v>136</v>
      </c>
      <c r="N743" s="11" t="s">
        <v>582</v>
      </c>
      <c r="O743" s="11" t="s">
        <v>583</v>
      </c>
      <c r="P743" s="27" t="s">
        <v>274</v>
      </c>
      <c r="Q743" s="56" t="s">
        <v>34</v>
      </c>
      <c r="R743" s="2">
        <f t="shared" si="272"/>
        <v>824427.28</v>
      </c>
      <c r="S743" s="2">
        <v>664828.78</v>
      </c>
      <c r="T743" s="2">
        <v>159598.5</v>
      </c>
      <c r="U743" s="2">
        <f t="shared" si="277"/>
        <v>130597.97</v>
      </c>
      <c r="V743" s="28">
        <v>97455.03</v>
      </c>
      <c r="W743" s="28">
        <v>33142.94</v>
      </c>
      <c r="X743" s="2">
        <f t="shared" si="274"/>
        <v>26624.399999999998</v>
      </c>
      <c r="Y743" s="2">
        <v>19867.71</v>
      </c>
      <c r="Z743" s="2">
        <v>6756.69</v>
      </c>
      <c r="AA743" s="2">
        <f t="shared" si="275"/>
        <v>16641.12</v>
      </c>
      <c r="AB743" s="2">
        <v>13259.17</v>
      </c>
      <c r="AC743" s="2">
        <v>3381.95</v>
      </c>
      <c r="AD743" s="16">
        <f t="shared" si="271"/>
        <v>998290.77</v>
      </c>
      <c r="AE743" s="2"/>
      <c r="AF743" s="2">
        <f t="shared" si="276"/>
        <v>998290.77</v>
      </c>
      <c r="AG743" s="38" t="s">
        <v>857</v>
      </c>
      <c r="AH743" s="29"/>
      <c r="AI743" s="30">
        <f>750146.64-1652.46</f>
        <v>748494.18</v>
      </c>
      <c r="AJ743" s="30">
        <f>119349.39+1652.46</f>
        <v>121001.85</v>
      </c>
    </row>
    <row r="744" spans="1:36" s="179" customFormat="1" ht="270" customHeight="1" x14ac:dyDescent="0.25">
      <c r="A744" s="6">
        <v>741</v>
      </c>
      <c r="B744" s="31">
        <v>111881</v>
      </c>
      <c r="C744" s="31">
        <v>222</v>
      </c>
      <c r="D744" s="11" t="s">
        <v>143</v>
      </c>
      <c r="E744" s="24" t="s">
        <v>270</v>
      </c>
      <c r="F744" s="70" t="s">
        <v>758</v>
      </c>
      <c r="G744" s="27" t="s">
        <v>759</v>
      </c>
      <c r="H744" s="8" t="s">
        <v>151</v>
      </c>
      <c r="I744" s="12" t="s">
        <v>761</v>
      </c>
      <c r="J744" s="25">
        <v>43332</v>
      </c>
      <c r="K744" s="25">
        <v>43819</v>
      </c>
      <c r="L744" s="26">
        <f t="shared" si="273"/>
        <v>82.304193109047048</v>
      </c>
      <c r="M744" s="27" t="s">
        <v>136</v>
      </c>
      <c r="N744" s="11" t="s">
        <v>261</v>
      </c>
      <c r="O744" s="11" t="s">
        <v>261</v>
      </c>
      <c r="P744" s="27" t="s">
        <v>274</v>
      </c>
      <c r="Q744" s="11" t="s">
        <v>34</v>
      </c>
      <c r="R744" s="2">
        <f t="shared" si="272"/>
        <v>817219.92999999993</v>
      </c>
      <c r="S744" s="2">
        <v>659016.73</v>
      </c>
      <c r="T744" s="2">
        <v>158203.20000000001</v>
      </c>
      <c r="U744" s="2">
        <f t="shared" si="277"/>
        <v>155847.79</v>
      </c>
      <c r="V744" s="28">
        <v>116297.02</v>
      </c>
      <c r="W744" s="28">
        <v>39550.769999999997</v>
      </c>
      <c r="X744" s="2">
        <f t="shared" si="274"/>
        <v>19858.52</v>
      </c>
      <c r="Y744" s="2">
        <v>15822.64</v>
      </c>
      <c r="Z744" s="2">
        <v>4035.88</v>
      </c>
      <c r="AA744" s="2">
        <f t="shared" si="275"/>
        <v>0</v>
      </c>
      <c r="AB744" s="2">
        <v>0</v>
      </c>
      <c r="AC744" s="2">
        <v>0</v>
      </c>
      <c r="AD744" s="16">
        <f t="shared" si="271"/>
        <v>992926.24</v>
      </c>
      <c r="AE744" s="2"/>
      <c r="AF744" s="2">
        <f t="shared" si="276"/>
        <v>992926.24</v>
      </c>
      <c r="AG744" s="38" t="s">
        <v>857</v>
      </c>
      <c r="AH744" s="29" t="s">
        <v>956</v>
      </c>
      <c r="AI744" s="30">
        <f>99292.62-14519.17+90653.42-15093.22+94237.53+80664.42-14592.29+91109.94+330680.29</f>
        <v>742433.54</v>
      </c>
      <c r="AJ744" s="30">
        <f>14519.17+15093.22+15383.12+14592.29+81997.93</f>
        <v>141585.72999999998</v>
      </c>
    </row>
    <row r="745" spans="1:36" s="179" customFormat="1" ht="252" x14ac:dyDescent="0.25">
      <c r="A745" s="6">
        <v>742</v>
      </c>
      <c r="B745" s="31">
        <v>111434</v>
      </c>
      <c r="C745" s="31">
        <v>141</v>
      </c>
      <c r="D745" s="11" t="s">
        <v>143</v>
      </c>
      <c r="E745" s="24" t="s">
        <v>270</v>
      </c>
      <c r="F745" s="67" t="s">
        <v>765</v>
      </c>
      <c r="G745" s="11" t="s">
        <v>766</v>
      </c>
      <c r="H745" s="11" t="s">
        <v>767</v>
      </c>
      <c r="I745" s="120" t="s">
        <v>820</v>
      </c>
      <c r="J745" s="25">
        <v>43332</v>
      </c>
      <c r="K745" s="25">
        <v>43881</v>
      </c>
      <c r="L745" s="26">
        <f t="shared" si="273"/>
        <v>82.30418537074344</v>
      </c>
      <c r="M745" s="11" t="s">
        <v>272</v>
      </c>
      <c r="N745" s="11" t="s">
        <v>261</v>
      </c>
      <c r="O745" s="11" t="s">
        <v>261</v>
      </c>
      <c r="P745" s="27" t="s">
        <v>274</v>
      </c>
      <c r="Q745" s="56" t="s">
        <v>34</v>
      </c>
      <c r="R745" s="2">
        <f t="shared" si="272"/>
        <v>822576.44</v>
      </c>
      <c r="S745" s="2">
        <v>663336.19999999995</v>
      </c>
      <c r="T745" s="2">
        <v>159240.24</v>
      </c>
      <c r="U745" s="2">
        <f t="shared" si="277"/>
        <v>156869.40000000002</v>
      </c>
      <c r="V745" s="28">
        <v>117059.35</v>
      </c>
      <c r="W745" s="28">
        <v>39810.050000000003</v>
      </c>
      <c r="X745" s="2">
        <f t="shared" si="274"/>
        <v>19988.68</v>
      </c>
      <c r="Y745" s="2">
        <v>15926.46</v>
      </c>
      <c r="Z745" s="2">
        <v>4062.22</v>
      </c>
      <c r="AA745" s="2">
        <f t="shared" si="275"/>
        <v>0</v>
      </c>
      <c r="AB745" s="2">
        <v>0</v>
      </c>
      <c r="AC745" s="2">
        <v>0</v>
      </c>
      <c r="AD745" s="16">
        <f t="shared" si="271"/>
        <v>999434.52</v>
      </c>
      <c r="AE745" s="2"/>
      <c r="AF745" s="2">
        <f t="shared" si="276"/>
        <v>999434.52</v>
      </c>
      <c r="AG745" s="38" t="s">
        <v>1427</v>
      </c>
      <c r="AH745" s="29" t="s">
        <v>1375</v>
      </c>
      <c r="AI745" s="30">
        <f>49971.72+83543.84+96913+21111.43+81377.76+128016.73+84993.07+90341.92+71327.12</f>
        <v>707596.59000000008</v>
      </c>
      <c r="AJ745" s="30">
        <f>24884.17+21127.4+22831.19+16208.59+25868.4+24022.36</f>
        <v>134942.10999999999</v>
      </c>
    </row>
    <row r="746" spans="1:36" s="179" customFormat="1" ht="174" customHeight="1" x14ac:dyDescent="0.25">
      <c r="A746" s="6">
        <v>743</v>
      </c>
      <c r="B746" s="31">
        <v>112374</v>
      </c>
      <c r="C746" s="31">
        <v>142</v>
      </c>
      <c r="D746" s="11" t="s">
        <v>143</v>
      </c>
      <c r="E746" s="24" t="s">
        <v>270</v>
      </c>
      <c r="F746" s="67" t="s">
        <v>770</v>
      </c>
      <c r="G746" s="11" t="s">
        <v>771</v>
      </c>
      <c r="H746" s="8" t="s">
        <v>151</v>
      </c>
      <c r="I746" s="120" t="s">
        <v>2980</v>
      </c>
      <c r="J746" s="25">
        <v>43333</v>
      </c>
      <c r="K746" s="25">
        <v>43911</v>
      </c>
      <c r="L746" s="26">
        <f t="shared" si="273"/>
        <v>82.304182898535288</v>
      </c>
      <c r="M746" s="11" t="s">
        <v>272</v>
      </c>
      <c r="N746" s="11" t="s">
        <v>261</v>
      </c>
      <c r="O746" s="11" t="s">
        <v>261</v>
      </c>
      <c r="P746" s="27" t="s">
        <v>274</v>
      </c>
      <c r="Q746" s="11" t="s">
        <v>34</v>
      </c>
      <c r="R746" s="2">
        <f t="shared" si="272"/>
        <v>776266.51</v>
      </c>
      <c r="S746" s="2">
        <v>625991.30000000005</v>
      </c>
      <c r="T746" s="2">
        <v>150275.21</v>
      </c>
      <c r="U746" s="2">
        <f t="shared" si="277"/>
        <v>148037.87</v>
      </c>
      <c r="V746" s="28">
        <v>110469.08</v>
      </c>
      <c r="W746" s="28">
        <v>37568.79</v>
      </c>
      <c r="X746" s="2">
        <f t="shared" si="274"/>
        <v>0</v>
      </c>
      <c r="Y746" s="2">
        <v>0</v>
      </c>
      <c r="Z746" s="2">
        <v>0</v>
      </c>
      <c r="AA746" s="2">
        <f t="shared" si="275"/>
        <v>18863.37</v>
      </c>
      <c r="AB746" s="2">
        <v>15029.81</v>
      </c>
      <c r="AC746" s="2">
        <v>3833.56</v>
      </c>
      <c r="AD746" s="16">
        <f t="shared" si="271"/>
        <v>943167.75</v>
      </c>
      <c r="AE746" s="2">
        <v>0</v>
      </c>
      <c r="AF746" s="2">
        <f t="shared" si="276"/>
        <v>943167.75</v>
      </c>
      <c r="AG746" s="38" t="s">
        <v>857</v>
      </c>
      <c r="AH746" s="29" t="s">
        <v>1405</v>
      </c>
      <c r="AI746" s="30">
        <v>678261.97000000009</v>
      </c>
      <c r="AJ746" s="30">
        <v>129347.91000000002</v>
      </c>
    </row>
    <row r="747" spans="1:36" s="179" customFormat="1" ht="189" x14ac:dyDescent="0.25">
      <c r="A747" s="6">
        <v>744</v>
      </c>
      <c r="B747" s="31">
        <v>111379</v>
      </c>
      <c r="C747" s="31">
        <v>228</v>
      </c>
      <c r="D747" s="11" t="s">
        <v>143</v>
      </c>
      <c r="E747" s="24" t="s">
        <v>270</v>
      </c>
      <c r="F747" s="27" t="s">
        <v>772</v>
      </c>
      <c r="G747" s="70" t="s">
        <v>773</v>
      </c>
      <c r="H747" s="11" t="s">
        <v>774</v>
      </c>
      <c r="I747" s="120" t="s">
        <v>775</v>
      </c>
      <c r="J747" s="25">
        <v>43333</v>
      </c>
      <c r="K747" s="25">
        <v>43820</v>
      </c>
      <c r="L747" s="26">
        <f t="shared" si="273"/>
        <v>82.304192034439112</v>
      </c>
      <c r="M747" s="11" t="s">
        <v>272</v>
      </c>
      <c r="N747" s="11" t="s">
        <v>261</v>
      </c>
      <c r="O747" s="11" t="s">
        <v>261</v>
      </c>
      <c r="P747" s="27" t="s">
        <v>274</v>
      </c>
      <c r="Q747" s="11" t="s">
        <v>34</v>
      </c>
      <c r="R747" s="2">
        <f t="shared" si="272"/>
        <v>811155.73</v>
      </c>
      <c r="S747" s="2">
        <v>654126.39</v>
      </c>
      <c r="T747" s="2">
        <v>157029.34</v>
      </c>
      <c r="U747" s="2">
        <f t="shared" si="277"/>
        <v>154691.31</v>
      </c>
      <c r="V747" s="28">
        <v>115434</v>
      </c>
      <c r="W747" s="28">
        <v>39257.31</v>
      </c>
      <c r="X747" s="2">
        <f t="shared" si="274"/>
        <v>19711.18</v>
      </c>
      <c r="Y747" s="2">
        <v>15705.37</v>
      </c>
      <c r="Z747" s="2">
        <v>4005.81</v>
      </c>
      <c r="AA747" s="2">
        <f t="shared" si="275"/>
        <v>0</v>
      </c>
      <c r="AB747" s="2">
        <v>0</v>
      </c>
      <c r="AC747" s="2">
        <v>0</v>
      </c>
      <c r="AD747" s="16">
        <f t="shared" si="271"/>
        <v>985558.22000000009</v>
      </c>
      <c r="AE747" s="2"/>
      <c r="AF747" s="2">
        <f t="shared" si="276"/>
        <v>985558.22000000009</v>
      </c>
      <c r="AG747" s="38" t="s">
        <v>857</v>
      </c>
      <c r="AH747" s="29" t="s">
        <v>1287</v>
      </c>
      <c r="AI747" s="30">
        <f>91009.38-9270.26+57880.76-12678.05+33855.88+91009.38+115144.49+303539.89+74137.89</f>
        <v>744629.36</v>
      </c>
      <c r="AJ747" s="30">
        <f>9270.26+12678.05+8716.65+21958.63+75242.46+14138.42</f>
        <v>142004.47</v>
      </c>
    </row>
    <row r="748" spans="1:36" s="179" customFormat="1" ht="264.75" customHeight="1" x14ac:dyDescent="0.25">
      <c r="A748" s="6">
        <v>745</v>
      </c>
      <c r="B748" s="31">
        <v>112711</v>
      </c>
      <c r="C748" s="31">
        <v>209</v>
      </c>
      <c r="D748" s="68" t="s">
        <v>143</v>
      </c>
      <c r="E748" s="24" t="s">
        <v>270</v>
      </c>
      <c r="F748" s="67" t="s">
        <v>779</v>
      </c>
      <c r="G748" s="11" t="s">
        <v>780</v>
      </c>
      <c r="H748" s="68" t="s">
        <v>781</v>
      </c>
      <c r="I748" s="12" t="s">
        <v>2981</v>
      </c>
      <c r="J748" s="25">
        <v>43335</v>
      </c>
      <c r="K748" s="25">
        <v>43822</v>
      </c>
      <c r="L748" s="26">
        <f t="shared" si="273"/>
        <v>82.640124999999998</v>
      </c>
      <c r="M748" s="11" t="s">
        <v>272</v>
      </c>
      <c r="N748" s="11" t="s">
        <v>261</v>
      </c>
      <c r="O748" s="11" t="s">
        <v>261</v>
      </c>
      <c r="P748" s="27" t="s">
        <v>274</v>
      </c>
      <c r="Q748" s="11" t="s">
        <v>34</v>
      </c>
      <c r="R748" s="2">
        <f t="shared" si="272"/>
        <v>826401.25</v>
      </c>
      <c r="S748" s="2">
        <v>666420.59</v>
      </c>
      <c r="T748" s="2">
        <v>159980.66</v>
      </c>
      <c r="U748" s="2">
        <f t="shared" si="277"/>
        <v>153598.75</v>
      </c>
      <c r="V748" s="28">
        <v>114416.53</v>
      </c>
      <c r="W748" s="28">
        <v>39182.22</v>
      </c>
      <c r="X748" s="2">
        <f t="shared" si="274"/>
        <v>20000</v>
      </c>
      <c r="Y748" s="2">
        <v>15935.46</v>
      </c>
      <c r="Z748" s="2">
        <v>4064.54</v>
      </c>
      <c r="AA748" s="2">
        <f t="shared" si="275"/>
        <v>0</v>
      </c>
      <c r="AB748" s="2">
        <v>0</v>
      </c>
      <c r="AC748" s="2">
        <v>0</v>
      </c>
      <c r="AD748" s="16">
        <f t="shared" si="271"/>
        <v>1000000</v>
      </c>
      <c r="AE748" s="2"/>
      <c r="AF748" s="2">
        <f t="shared" si="276"/>
        <v>1000000</v>
      </c>
      <c r="AG748" s="38" t="s">
        <v>857</v>
      </c>
      <c r="AH748" s="29" t="s">
        <v>760</v>
      </c>
      <c r="AI748" s="30">
        <f>98952.8+38728.19+96005.78+68225.96+103165.27+4938.26+145762.12+161102.5+9031.2+61138.02</f>
        <v>787050.1</v>
      </c>
      <c r="AJ748" s="30">
        <f>24992.94+30773.35+1365.53+941.74+26883.3+29808.77+1722.28+29615.87</f>
        <v>146103.78</v>
      </c>
    </row>
    <row r="749" spans="1:36" s="179" customFormat="1" ht="146.25" customHeight="1" x14ac:dyDescent="0.25">
      <c r="A749" s="6">
        <v>746</v>
      </c>
      <c r="B749" s="31">
        <v>112827</v>
      </c>
      <c r="C749" s="31">
        <v>305</v>
      </c>
      <c r="D749" s="11" t="s">
        <v>143</v>
      </c>
      <c r="E749" s="24" t="s">
        <v>270</v>
      </c>
      <c r="F749" s="67" t="s">
        <v>787</v>
      </c>
      <c r="G749" s="67" t="s">
        <v>786</v>
      </c>
      <c r="H749" s="11" t="s">
        <v>788</v>
      </c>
      <c r="I749" s="120" t="s">
        <v>789</v>
      </c>
      <c r="J749" s="25">
        <v>43325</v>
      </c>
      <c r="K749" s="25">
        <v>43812</v>
      </c>
      <c r="L749" s="26">
        <f t="shared" si="273"/>
        <v>82.304185909112974</v>
      </c>
      <c r="M749" s="11" t="s">
        <v>272</v>
      </c>
      <c r="N749" s="11" t="s">
        <v>226</v>
      </c>
      <c r="O749" s="11" t="s">
        <v>790</v>
      </c>
      <c r="P749" s="27" t="s">
        <v>274</v>
      </c>
      <c r="Q749" s="11" t="s">
        <v>34</v>
      </c>
      <c r="R749" s="2">
        <f t="shared" si="272"/>
        <v>819344.36</v>
      </c>
      <c r="S749" s="2">
        <v>660729.87</v>
      </c>
      <c r="T749" s="2">
        <v>158614.49</v>
      </c>
      <c r="U749" s="2">
        <f t="shared" si="277"/>
        <v>156253</v>
      </c>
      <c r="V749" s="28">
        <v>116599.38</v>
      </c>
      <c r="W749" s="28">
        <v>39653.620000000003</v>
      </c>
      <c r="X749" s="2">
        <f t="shared" si="274"/>
        <v>0</v>
      </c>
      <c r="Y749" s="2">
        <v>0</v>
      </c>
      <c r="Z749" s="2">
        <v>0</v>
      </c>
      <c r="AA749" s="2">
        <f t="shared" si="275"/>
        <v>19910.16</v>
      </c>
      <c r="AB749" s="2">
        <v>15863.84</v>
      </c>
      <c r="AC749" s="2">
        <v>4046.32</v>
      </c>
      <c r="AD749" s="16">
        <f t="shared" si="271"/>
        <v>995507.52</v>
      </c>
      <c r="AE749" s="2"/>
      <c r="AF749" s="2">
        <f t="shared" si="276"/>
        <v>995507.52</v>
      </c>
      <c r="AG749" s="21" t="s">
        <v>857</v>
      </c>
      <c r="AH749" s="29" t="s">
        <v>1316</v>
      </c>
      <c r="AI749" s="30">
        <f>165274.95+38664.92+10408+235707.44+78966.94+38496.07-3710.24+4162.74</f>
        <v>567970.81999999995</v>
      </c>
      <c r="AJ749" s="30">
        <f>22672.13+60694.84+16616.38+7341.42+990.1</f>
        <v>108314.87000000001</v>
      </c>
    </row>
    <row r="750" spans="1:36" s="179" customFormat="1" ht="141.75" x14ac:dyDescent="0.25">
      <c r="A750" s="6">
        <v>747</v>
      </c>
      <c r="B750" s="31">
        <v>112220</v>
      </c>
      <c r="C750" s="31">
        <v>239</v>
      </c>
      <c r="D750" s="68" t="s">
        <v>143</v>
      </c>
      <c r="E750" s="24" t="s">
        <v>270</v>
      </c>
      <c r="F750" s="11" t="s">
        <v>798</v>
      </c>
      <c r="G750" s="11" t="s">
        <v>1202</v>
      </c>
      <c r="H750" s="11" t="s">
        <v>799</v>
      </c>
      <c r="I750" s="120" t="s">
        <v>801</v>
      </c>
      <c r="J750" s="25">
        <v>43346</v>
      </c>
      <c r="K750" s="25">
        <v>43772</v>
      </c>
      <c r="L750" s="26">
        <f t="shared" si="273"/>
        <v>82.53761528755669</v>
      </c>
      <c r="M750" s="11" t="s">
        <v>272</v>
      </c>
      <c r="N750" s="11" t="s">
        <v>182</v>
      </c>
      <c r="O750" s="11" t="s">
        <v>800</v>
      </c>
      <c r="P750" s="27" t="s">
        <v>274</v>
      </c>
      <c r="Q750" s="11" t="s">
        <v>34</v>
      </c>
      <c r="R750" s="2">
        <f t="shared" si="272"/>
        <v>770988.47</v>
      </c>
      <c r="S750" s="2">
        <v>621735</v>
      </c>
      <c r="T750" s="2">
        <v>149253.47</v>
      </c>
      <c r="U750" s="2">
        <f t="shared" si="277"/>
        <v>126240.19</v>
      </c>
      <c r="V750" s="28">
        <v>94203.17</v>
      </c>
      <c r="W750" s="28">
        <v>32037.02</v>
      </c>
      <c r="X750" s="2">
        <f t="shared" si="274"/>
        <v>20791.07</v>
      </c>
      <c r="Y750" s="2">
        <v>15514.77</v>
      </c>
      <c r="Z750" s="2">
        <v>5276.3</v>
      </c>
      <c r="AA750" s="2">
        <f t="shared" si="275"/>
        <v>16085.85</v>
      </c>
      <c r="AB750" s="2">
        <v>12816.75</v>
      </c>
      <c r="AC750" s="2">
        <v>3269.1</v>
      </c>
      <c r="AD750" s="16">
        <f t="shared" si="271"/>
        <v>934105.57999999984</v>
      </c>
      <c r="AE750" s="2"/>
      <c r="AF750" s="2">
        <f t="shared" si="276"/>
        <v>934105.57999999984</v>
      </c>
      <c r="AG750" s="21" t="s">
        <v>857</v>
      </c>
      <c r="AH750" s="29" t="s">
        <v>294</v>
      </c>
      <c r="AI750" s="30">
        <f>539565.25+96369.35+53688.91+16794.02</f>
        <v>706417.53</v>
      </c>
      <c r="AJ750" s="30">
        <f>81386.87+28616.84+7174.44</f>
        <v>117178.15</v>
      </c>
    </row>
    <row r="751" spans="1:36" s="179" customFormat="1" ht="141.75" x14ac:dyDescent="0.25">
      <c r="A751" s="6">
        <v>748</v>
      </c>
      <c r="B751" s="31">
        <v>111775</v>
      </c>
      <c r="C751" s="31">
        <v>364</v>
      </c>
      <c r="D751" s="68" t="s">
        <v>143</v>
      </c>
      <c r="E751" s="24" t="s">
        <v>270</v>
      </c>
      <c r="F751" s="27" t="s">
        <v>802</v>
      </c>
      <c r="G751" s="27" t="s">
        <v>803</v>
      </c>
      <c r="H751" s="11" t="s">
        <v>804</v>
      </c>
      <c r="I751" s="120" t="s">
        <v>2982</v>
      </c>
      <c r="J751" s="25">
        <v>43346</v>
      </c>
      <c r="K751" s="25">
        <v>43833</v>
      </c>
      <c r="L751" s="26">
        <f t="shared" si="273"/>
        <v>82.30418188922819</v>
      </c>
      <c r="M751" s="11" t="s">
        <v>272</v>
      </c>
      <c r="N751" s="11" t="s">
        <v>182</v>
      </c>
      <c r="O751" s="11" t="s">
        <v>394</v>
      </c>
      <c r="P751" s="27" t="s">
        <v>274</v>
      </c>
      <c r="Q751" s="11" t="s">
        <v>34</v>
      </c>
      <c r="R751" s="2">
        <f t="shared" ref="R751:R781" si="278">S751+T751</f>
        <v>779789.21</v>
      </c>
      <c r="S751" s="2">
        <v>628832.06999999995</v>
      </c>
      <c r="T751" s="2">
        <v>150957.14000000001</v>
      </c>
      <c r="U751" s="2">
        <f t="shared" si="277"/>
        <v>148709.68</v>
      </c>
      <c r="V751" s="28">
        <v>110970.39</v>
      </c>
      <c r="W751" s="28">
        <v>37739.29</v>
      </c>
      <c r="X751" s="2">
        <f t="shared" si="274"/>
        <v>0</v>
      </c>
      <c r="Y751" s="2">
        <v>0</v>
      </c>
      <c r="Z751" s="2">
        <v>0</v>
      </c>
      <c r="AA751" s="2">
        <f t="shared" si="275"/>
        <v>18948.97</v>
      </c>
      <c r="AB751" s="2">
        <v>15098.01</v>
      </c>
      <c r="AC751" s="2">
        <v>3850.96</v>
      </c>
      <c r="AD751" s="16">
        <f t="shared" si="271"/>
        <v>947447.85999999987</v>
      </c>
      <c r="AE751" s="2">
        <v>0</v>
      </c>
      <c r="AF751" s="2">
        <f t="shared" si="276"/>
        <v>947447.85999999987</v>
      </c>
      <c r="AG751" s="38" t="s">
        <v>857</v>
      </c>
      <c r="AH751" s="29" t="s">
        <v>294</v>
      </c>
      <c r="AI751" s="30">
        <f>94744.78+10125.98+94121.04-10122.56+91207.91+17880.02+109270.79+147206.72+63316.18</f>
        <v>617750.8600000001</v>
      </c>
      <c r="AJ751" s="30">
        <f>7252.41+12628.02+15463.44+21478.12+20838.49+28073.09+12074.67</f>
        <v>117808.24</v>
      </c>
    </row>
    <row r="752" spans="1:36" s="179" customFormat="1" ht="141.75" x14ac:dyDescent="0.25">
      <c r="A752" s="6">
        <v>749</v>
      </c>
      <c r="B752" s="31">
        <v>112027</v>
      </c>
      <c r="C752" s="31">
        <v>290</v>
      </c>
      <c r="D752" s="68" t="s">
        <v>143</v>
      </c>
      <c r="E752" s="24" t="s">
        <v>270</v>
      </c>
      <c r="F752" s="70" t="s">
        <v>806</v>
      </c>
      <c r="G752" s="93" t="s">
        <v>807</v>
      </c>
      <c r="H752" s="8" t="s">
        <v>151</v>
      </c>
      <c r="I752" s="120" t="s">
        <v>808</v>
      </c>
      <c r="J752" s="25">
        <v>43346</v>
      </c>
      <c r="K752" s="25">
        <v>43833</v>
      </c>
      <c r="L752" s="26">
        <f t="shared" si="273"/>
        <v>82.30418483269878</v>
      </c>
      <c r="M752" s="11" t="s">
        <v>272</v>
      </c>
      <c r="N752" s="11" t="s">
        <v>261</v>
      </c>
      <c r="O752" s="11" t="s">
        <v>261</v>
      </c>
      <c r="P752" s="27" t="s">
        <v>274</v>
      </c>
      <c r="Q752" s="11" t="s">
        <v>34</v>
      </c>
      <c r="R752" s="2">
        <f t="shared" si="278"/>
        <v>765927.6</v>
      </c>
      <c r="S752" s="2">
        <v>617653.87</v>
      </c>
      <c r="T752" s="2">
        <v>148273.73000000001</v>
      </c>
      <c r="U752" s="2">
        <f t="shared" si="277"/>
        <v>146066.19</v>
      </c>
      <c r="V752" s="28">
        <v>108997.75999999999</v>
      </c>
      <c r="W752" s="28">
        <v>37068.43</v>
      </c>
      <c r="X752" s="2">
        <f t="shared" si="274"/>
        <v>0</v>
      </c>
      <c r="Y752" s="2">
        <v>0</v>
      </c>
      <c r="Z752" s="2">
        <v>0</v>
      </c>
      <c r="AA752" s="2">
        <f t="shared" si="275"/>
        <v>18612.11</v>
      </c>
      <c r="AB752" s="2">
        <v>14829.62</v>
      </c>
      <c r="AC752" s="2">
        <v>3782.49</v>
      </c>
      <c r="AD752" s="16">
        <f t="shared" si="271"/>
        <v>930605.9</v>
      </c>
      <c r="AE752" s="2"/>
      <c r="AF752" s="2">
        <f t="shared" si="276"/>
        <v>930605.9</v>
      </c>
      <c r="AG752" s="38" t="s">
        <v>857</v>
      </c>
      <c r="AH752" s="29" t="s">
        <v>1073</v>
      </c>
      <c r="AI752" s="30">
        <f>459559.75+93000+163179.08+18037.22</f>
        <v>733776.04999999993</v>
      </c>
      <c r="AJ752" s="30">
        <f>87640.32+31119.04+21175.37</f>
        <v>139934.73000000001</v>
      </c>
    </row>
    <row r="753" spans="1:109" s="179" customFormat="1" ht="141.75" x14ac:dyDescent="0.25">
      <c r="A753" s="6">
        <v>750</v>
      </c>
      <c r="B753" s="31">
        <v>112733</v>
      </c>
      <c r="C753" s="31">
        <v>146</v>
      </c>
      <c r="D753" s="68" t="s">
        <v>143</v>
      </c>
      <c r="E753" s="24" t="s">
        <v>270</v>
      </c>
      <c r="F753" s="67" t="s">
        <v>811</v>
      </c>
      <c r="G753" s="11" t="s">
        <v>812</v>
      </c>
      <c r="H753" s="11" t="s">
        <v>813</v>
      </c>
      <c r="I753" s="120" t="s">
        <v>814</v>
      </c>
      <c r="J753" s="25">
        <v>43349</v>
      </c>
      <c r="K753" s="25">
        <v>43836</v>
      </c>
      <c r="L753" s="26">
        <f t="shared" si="273"/>
        <v>82.53318349196968</v>
      </c>
      <c r="M753" s="11" t="s">
        <v>272</v>
      </c>
      <c r="N753" s="11" t="s">
        <v>261</v>
      </c>
      <c r="O753" s="11" t="s">
        <v>261</v>
      </c>
      <c r="P753" s="27" t="s">
        <v>274</v>
      </c>
      <c r="Q753" s="11" t="s">
        <v>34</v>
      </c>
      <c r="R753" s="2">
        <f t="shared" si="278"/>
        <v>819750.19</v>
      </c>
      <c r="S753" s="2">
        <v>661057.13</v>
      </c>
      <c r="T753" s="2">
        <v>158693.06</v>
      </c>
      <c r="U753" s="2">
        <f t="shared" si="277"/>
        <v>134642.41999999998</v>
      </c>
      <c r="V753" s="28">
        <v>100473.09</v>
      </c>
      <c r="W753" s="28">
        <v>34169.33</v>
      </c>
      <c r="X753" s="2">
        <f t="shared" si="274"/>
        <v>21688.010000000002</v>
      </c>
      <c r="Y753" s="2">
        <v>16184.04</v>
      </c>
      <c r="Z753" s="2">
        <v>5503.97</v>
      </c>
      <c r="AA753" s="2">
        <f t="shared" si="275"/>
        <v>17156.47</v>
      </c>
      <c r="AB753" s="2">
        <v>13669.8</v>
      </c>
      <c r="AC753" s="2">
        <v>3486.67</v>
      </c>
      <c r="AD753" s="16">
        <f t="shared" si="271"/>
        <v>993237.08999999985</v>
      </c>
      <c r="AE753" s="2"/>
      <c r="AF753" s="2">
        <f t="shared" si="276"/>
        <v>993237.08999999985</v>
      </c>
      <c r="AG753" s="38" t="s">
        <v>857</v>
      </c>
      <c r="AH753" s="29" t="s">
        <v>294</v>
      </c>
      <c r="AI753" s="30">
        <f>85782.36-3113.23+78199.1+6754.09+75351.32+67788.76+80934.28+47367.75+243835.23+7975.27+6575.1</f>
        <v>697450.03</v>
      </c>
      <c r="AJ753" s="30">
        <f>12524.47+12068.37+12962.55+11810.14+16080.76+46500.56+1520.93</f>
        <v>113467.78</v>
      </c>
    </row>
    <row r="754" spans="1:109" s="179" customFormat="1" ht="155.25" customHeight="1" x14ac:dyDescent="0.25">
      <c r="A754" s="6">
        <v>751</v>
      </c>
      <c r="B754" s="31">
        <v>111432</v>
      </c>
      <c r="C754" s="31">
        <v>277</v>
      </c>
      <c r="D754" s="68" t="s">
        <v>143</v>
      </c>
      <c r="E754" s="24" t="s">
        <v>270</v>
      </c>
      <c r="F754" s="27" t="s">
        <v>816</v>
      </c>
      <c r="G754" s="11" t="s">
        <v>815</v>
      </c>
      <c r="H754" s="11" t="s">
        <v>817</v>
      </c>
      <c r="I754" s="12" t="s">
        <v>2983</v>
      </c>
      <c r="J754" s="25">
        <v>43349</v>
      </c>
      <c r="K754" s="25">
        <v>43836</v>
      </c>
      <c r="L754" s="26">
        <f t="shared" si="273"/>
        <v>82.304186591731991</v>
      </c>
      <c r="M754" s="11" t="s">
        <v>272</v>
      </c>
      <c r="N754" s="11" t="s">
        <v>261</v>
      </c>
      <c r="O754" s="11" t="s">
        <v>261</v>
      </c>
      <c r="P754" s="27" t="s">
        <v>274</v>
      </c>
      <c r="Q754" s="11" t="s">
        <v>34</v>
      </c>
      <c r="R754" s="2">
        <f t="shared" si="278"/>
        <v>811369.98</v>
      </c>
      <c r="S754" s="2">
        <v>654299.23</v>
      </c>
      <c r="T754" s="2">
        <v>157070.75</v>
      </c>
      <c r="U754" s="2">
        <f t="shared" si="277"/>
        <v>154732.24</v>
      </c>
      <c r="V754" s="28">
        <v>115464.54</v>
      </c>
      <c r="W754" s="28">
        <v>39267.699999999997</v>
      </c>
      <c r="X754" s="2">
        <f t="shared" si="274"/>
        <v>0</v>
      </c>
      <c r="Y754" s="2">
        <v>0</v>
      </c>
      <c r="Z754" s="2">
        <v>0</v>
      </c>
      <c r="AA754" s="2">
        <f t="shared" si="275"/>
        <v>19716.38</v>
      </c>
      <c r="AB754" s="2">
        <v>15709.45</v>
      </c>
      <c r="AC754" s="2">
        <v>4006.93</v>
      </c>
      <c r="AD754" s="16">
        <f t="shared" si="271"/>
        <v>985818.6</v>
      </c>
      <c r="AE754" s="2">
        <v>0</v>
      </c>
      <c r="AF754" s="2">
        <f t="shared" si="276"/>
        <v>985818.6</v>
      </c>
      <c r="AG754" s="38" t="s">
        <v>857</v>
      </c>
      <c r="AH754" s="29" t="s">
        <v>1382</v>
      </c>
      <c r="AI754" s="30">
        <f>98500+28477.95+215174.75+92328.2+224990.6+149766.49-5027.14-10718.19</f>
        <v>793492.66</v>
      </c>
      <c r="AJ754" s="30">
        <f>23037.95+41034.92+43208.62+30634.3+13407.25</f>
        <v>151323.03999999998</v>
      </c>
    </row>
    <row r="755" spans="1:109" s="179" customFormat="1" ht="330.75" x14ac:dyDescent="0.25">
      <c r="A755" s="6">
        <v>752</v>
      </c>
      <c r="B755" s="31">
        <v>112592</v>
      </c>
      <c r="C755" s="31">
        <v>144</v>
      </c>
      <c r="D755" s="11" t="s">
        <v>143</v>
      </c>
      <c r="E755" s="24" t="s">
        <v>270</v>
      </c>
      <c r="F755" s="27" t="s">
        <v>818</v>
      </c>
      <c r="G755" s="11" t="s">
        <v>819</v>
      </c>
      <c r="H755" s="8" t="s">
        <v>151</v>
      </c>
      <c r="I755" s="120" t="s">
        <v>2984</v>
      </c>
      <c r="J755" s="25">
        <v>43349</v>
      </c>
      <c r="K755" s="25">
        <v>43836</v>
      </c>
      <c r="L755" s="26">
        <f t="shared" si="273"/>
        <v>82.304195666897996</v>
      </c>
      <c r="M755" s="11" t="s">
        <v>272</v>
      </c>
      <c r="N755" s="11" t="s">
        <v>261</v>
      </c>
      <c r="O755" s="11" t="s">
        <v>261</v>
      </c>
      <c r="P755" s="27" t="s">
        <v>274</v>
      </c>
      <c r="Q755" s="56" t="s">
        <v>34</v>
      </c>
      <c r="R755" s="2">
        <f t="shared" si="278"/>
        <v>809057.98</v>
      </c>
      <c r="S755" s="2">
        <v>652434.75</v>
      </c>
      <c r="T755" s="2">
        <v>156623.23000000001</v>
      </c>
      <c r="U755" s="2">
        <f t="shared" si="277"/>
        <v>154291.24</v>
      </c>
      <c r="V755" s="28">
        <v>115135.49</v>
      </c>
      <c r="W755" s="28">
        <v>39155.75</v>
      </c>
      <c r="X755" s="2">
        <f t="shared" si="274"/>
        <v>0</v>
      </c>
      <c r="Y755" s="2">
        <v>0</v>
      </c>
      <c r="Z755" s="2">
        <v>0</v>
      </c>
      <c r="AA755" s="2">
        <f t="shared" si="275"/>
        <v>19660.18</v>
      </c>
      <c r="AB755" s="2">
        <v>15664.68</v>
      </c>
      <c r="AC755" s="2">
        <v>3995.5</v>
      </c>
      <c r="AD755" s="16">
        <f t="shared" si="271"/>
        <v>983009.4</v>
      </c>
      <c r="AE755" s="2">
        <v>0</v>
      </c>
      <c r="AF755" s="2">
        <f t="shared" si="276"/>
        <v>983009.4</v>
      </c>
      <c r="AG755" s="38" t="s">
        <v>857</v>
      </c>
      <c r="AH755" s="29" t="s">
        <v>294</v>
      </c>
      <c r="AI755" s="30">
        <f>409932.52+98300+186513.93+69525</f>
        <v>764271.45</v>
      </c>
      <c r="AJ755" s="30">
        <f>78176.15+54315.44+13258.71</f>
        <v>145750.29999999999</v>
      </c>
    </row>
    <row r="756" spans="1:109" s="179" customFormat="1" ht="267.75" x14ac:dyDescent="0.25">
      <c r="A756" s="6">
        <v>753</v>
      </c>
      <c r="B756" s="31">
        <v>111141</v>
      </c>
      <c r="C756" s="31">
        <v>312</v>
      </c>
      <c r="D756" s="11" t="s">
        <v>143</v>
      </c>
      <c r="E756" s="24" t="s">
        <v>270</v>
      </c>
      <c r="F756" s="27" t="s">
        <v>826</v>
      </c>
      <c r="G756" s="11" t="s">
        <v>827</v>
      </c>
      <c r="H756" s="11" t="s">
        <v>828</v>
      </c>
      <c r="I756" s="120" t="s">
        <v>2985</v>
      </c>
      <c r="J756" s="25">
        <v>43349</v>
      </c>
      <c r="K756" s="25">
        <v>43836</v>
      </c>
      <c r="L756" s="26">
        <f t="shared" si="273"/>
        <v>82.8034002708998</v>
      </c>
      <c r="M756" s="11" t="s">
        <v>272</v>
      </c>
      <c r="N756" s="11" t="s">
        <v>261</v>
      </c>
      <c r="O756" s="11" t="s">
        <v>261</v>
      </c>
      <c r="P756" s="27" t="s">
        <v>274</v>
      </c>
      <c r="Q756" s="56" t="s">
        <v>34</v>
      </c>
      <c r="R756" s="2">
        <f t="shared" si="278"/>
        <v>826298.46000000008</v>
      </c>
      <c r="S756" s="2">
        <v>666337.68000000005</v>
      </c>
      <c r="T756" s="2">
        <v>159960.78</v>
      </c>
      <c r="U756" s="2">
        <f t="shared" si="277"/>
        <v>151647.47000000003</v>
      </c>
      <c r="V756" s="28">
        <v>112862.79000000001</v>
      </c>
      <c r="W756" s="28">
        <v>38784.680000000008</v>
      </c>
      <c r="X756" s="2">
        <f t="shared" si="274"/>
        <v>0</v>
      </c>
      <c r="Y756" s="2">
        <v>0</v>
      </c>
      <c r="Z756" s="2">
        <v>0</v>
      </c>
      <c r="AA756" s="2">
        <f t="shared" si="275"/>
        <v>19958.09</v>
      </c>
      <c r="AB756" s="2">
        <v>15902.08</v>
      </c>
      <c r="AC756" s="2">
        <v>4056.01</v>
      </c>
      <c r="AD756" s="16">
        <f t="shared" si="271"/>
        <v>997904.02000000014</v>
      </c>
      <c r="AE756" s="2">
        <v>0</v>
      </c>
      <c r="AF756" s="2">
        <f t="shared" si="276"/>
        <v>997904.02000000014</v>
      </c>
      <c r="AG756" s="38" t="s">
        <v>857</v>
      </c>
      <c r="AH756" s="29"/>
      <c r="AI756" s="30">
        <f>632254.35-10189.51+33087.89+85540.85+35748.72</f>
        <v>776442.29999999993</v>
      </c>
      <c r="AJ756" s="30">
        <f>11343.79+2719.14+19935.24+14501.99+9712.84+39877.8+10189.51+12230.9+14249.55+7931</f>
        <v>142691.75999999998</v>
      </c>
    </row>
    <row r="757" spans="1:109" s="179" customFormat="1" ht="330.75" x14ac:dyDescent="0.25">
      <c r="A757" s="6">
        <v>754</v>
      </c>
      <c r="B757" s="31">
        <v>110676</v>
      </c>
      <c r="C757" s="31">
        <v>129</v>
      </c>
      <c r="D757" s="11" t="s">
        <v>143</v>
      </c>
      <c r="E757" s="24" t="s">
        <v>270</v>
      </c>
      <c r="F757" s="11" t="s">
        <v>829</v>
      </c>
      <c r="G757" s="11" t="s">
        <v>830</v>
      </c>
      <c r="H757" s="11"/>
      <c r="I757" s="120" t="s">
        <v>2986</v>
      </c>
      <c r="J757" s="25">
        <v>43350</v>
      </c>
      <c r="K757" s="25">
        <v>43715</v>
      </c>
      <c r="L757" s="26">
        <f t="shared" si="273"/>
        <v>82.304181371109394</v>
      </c>
      <c r="M757" s="11" t="s">
        <v>272</v>
      </c>
      <c r="N757" s="11" t="s">
        <v>261</v>
      </c>
      <c r="O757" s="11" t="s">
        <v>261</v>
      </c>
      <c r="P757" s="27" t="s">
        <v>274</v>
      </c>
      <c r="Q757" s="56" t="s">
        <v>34</v>
      </c>
      <c r="R757" s="2">
        <f t="shared" si="278"/>
        <v>815129.60000000009</v>
      </c>
      <c r="S757" s="2">
        <v>657331.03</v>
      </c>
      <c r="T757" s="2">
        <v>157798.57</v>
      </c>
      <c r="U757" s="2">
        <f t="shared" si="277"/>
        <v>155449.32</v>
      </c>
      <c r="V757" s="28">
        <v>115999.63</v>
      </c>
      <c r="W757" s="28">
        <v>39449.69</v>
      </c>
      <c r="X757" s="2">
        <f t="shared" si="274"/>
        <v>0</v>
      </c>
      <c r="Y757" s="2">
        <v>0</v>
      </c>
      <c r="Z757" s="2">
        <v>0</v>
      </c>
      <c r="AA757" s="2">
        <f t="shared" si="275"/>
        <v>19807.7</v>
      </c>
      <c r="AB757" s="2">
        <v>15782.23</v>
      </c>
      <c r="AC757" s="2">
        <v>4025.47</v>
      </c>
      <c r="AD757" s="16">
        <f t="shared" si="271"/>
        <v>990386.62000000011</v>
      </c>
      <c r="AE757" s="2">
        <v>0</v>
      </c>
      <c r="AF757" s="2">
        <f t="shared" si="276"/>
        <v>990386.62000000011</v>
      </c>
      <c r="AG757" s="21" t="s">
        <v>857</v>
      </c>
      <c r="AH757" s="29" t="s">
        <v>978</v>
      </c>
      <c r="AI757" s="30">
        <f>743622.47+43643.44+7380.99</f>
        <v>794646.89999999991</v>
      </c>
      <c r="AJ757" s="30">
        <f>123314.06+26821.35+1407.6</f>
        <v>151543.01</v>
      </c>
    </row>
    <row r="758" spans="1:109" s="179" customFormat="1" ht="173.25" x14ac:dyDescent="0.25">
      <c r="A758" s="6">
        <v>755</v>
      </c>
      <c r="B758" s="31">
        <v>111475</v>
      </c>
      <c r="C758" s="31">
        <v>168</v>
      </c>
      <c r="D758" s="11" t="s">
        <v>143</v>
      </c>
      <c r="E758" s="24" t="s">
        <v>270</v>
      </c>
      <c r="F758" s="27" t="s">
        <v>834</v>
      </c>
      <c r="G758" s="11" t="s">
        <v>835</v>
      </c>
      <c r="H758" s="11"/>
      <c r="I758" s="120" t="s">
        <v>2987</v>
      </c>
      <c r="J758" s="25">
        <v>43353</v>
      </c>
      <c r="K758" s="25">
        <v>44022</v>
      </c>
      <c r="L758" s="26">
        <f t="shared" si="273"/>
        <v>82.304183420576962</v>
      </c>
      <c r="M758" s="11" t="s">
        <v>272</v>
      </c>
      <c r="N758" s="11" t="s">
        <v>261</v>
      </c>
      <c r="O758" s="11" t="s">
        <v>261</v>
      </c>
      <c r="P758" s="27" t="s">
        <v>274</v>
      </c>
      <c r="Q758" s="56" t="s">
        <v>34</v>
      </c>
      <c r="R758" s="2">
        <f t="shared" si="278"/>
        <v>771409.35000000009</v>
      </c>
      <c r="S758" s="2">
        <v>622074.41</v>
      </c>
      <c r="T758" s="2">
        <v>149334.94</v>
      </c>
      <c r="U758" s="2">
        <f t="shared" si="277"/>
        <v>147111.59</v>
      </c>
      <c r="V758" s="28">
        <v>109777.84</v>
      </c>
      <c r="W758" s="28">
        <v>37333.75</v>
      </c>
      <c r="X758" s="2">
        <f t="shared" si="274"/>
        <v>0</v>
      </c>
      <c r="Y758" s="2">
        <v>0</v>
      </c>
      <c r="Z758" s="2">
        <v>0</v>
      </c>
      <c r="AA758" s="2">
        <f t="shared" si="275"/>
        <v>18745.329999999998</v>
      </c>
      <c r="AB758" s="2">
        <v>14935.8</v>
      </c>
      <c r="AC758" s="2">
        <v>3809.53</v>
      </c>
      <c r="AD758" s="16">
        <f t="shared" si="271"/>
        <v>937266.27</v>
      </c>
      <c r="AE758" s="2">
        <v>0</v>
      </c>
      <c r="AF758" s="2">
        <f t="shared" si="276"/>
        <v>937266.27</v>
      </c>
      <c r="AG758" s="21" t="s">
        <v>857</v>
      </c>
      <c r="AH758" s="29" t="s">
        <v>1302</v>
      </c>
      <c r="AI758" s="30">
        <f>588678.78+85709.9-9801.35</f>
        <v>664587.33000000007</v>
      </c>
      <c r="AJ758" s="30">
        <f>94389.89+16345.34+16004.96</f>
        <v>126740.19</v>
      </c>
    </row>
    <row r="759" spans="1:109" s="179" customFormat="1" ht="173.25" x14ac:dyDescent="0.25">
      <c r="A759" s="6">
        <v>756</v>
      </c>
      <c r="B759" s="15">
        <v>118813</v>
      </c>
      <c r="C759" s="15">
        <v>449</v>
      </c>
      <c r="D759" s="32" t="s">
        <v>1640</v>
      </c>
      <c r="E759" s="24" t="s">
        <v>523</v>
      </c>
      <c r="F759" s="27" t="s">
        <v>832</v>
      </c>
      <c r="G759" s="11" t="s">
        <v>1718</v>
      </c>
      <c r="H759" s="27" t="s">
        <v>1930</v>
      </c>
      <c r="I759" s="161" t="s">
        <v>833</v>
      </c>
      <c r="J759" s="25">
        <v>43350</v>
      </c>
      <c r="K759" s="25">
        <v>45267</v>
      </c>
      <c r="L759" s="26">
        <f t="shared" si="273"/>
        <v>83.983860839237224</v>
      </c>
      <c r="M759" s="11" t="s">
        <v>272</v>
      </c>
      <c r="N759" s="11" t="s">
        <v>261</v>
      </c>
      <c r="O759" s="11" t="s">
        <v>261</v>
      </c>
      <c r="P759" s="27" t="s">
        <v>138</v>
      </c>
      <c r="Q759" s="56" t="s">
        <v>34</v>
      </c>
      <c r="R759" s="2">
        <f t="shared" si="278"/>
        <v>4176569.1</v>
      </c>
      <c r="S759" s="2">
        <v>3368039.08</v>
      </c>
      <c r="T759" s="2">
        <v>808530.02</v>
      </c>
      <c r="U759" s="2">
        <f t="shared" si="277"/>
        <v>0</v>
      </c>
      <c r="V759" s="28">
        <v>0</v>
      </c>
      <c r="W759" s="28">
        <v>0</v>
      </c>
      <c r="X759" s="2">
        <f t="shared" si="274"/>
        <v>796492.46</v>
      </c>
      <c r="Y759" s="2">
        <v>594359.94999999995</v>
      </c>
      <c r="Z759" s="2">
        <v>202132.51</v>
      </c>
      <c r="AA759" s="2">
        <f t="shared" si="275"/>
        <v>0</v>
      </c>
      <c r="AB759" s="2">
        <v>0</v>
      </c>
      <c r="AC759" s="2">
        <v>0</v>
      </c>
      <c r="AD759" s="16">
        <f t="shared" si="271"/>
        <v>4973061.5600000005</v>
      </c>
      <c r="AE759" s="2">
        <v>0</v>
      </c>
      <c r="AF759" s="2">
        <f t="shared" si="276"/>
        <v>4973061.5600000005</v>
      </c>
      <c r="AG759" s="38" t="s">
        <v>486</v>
      </c>
      <c r="AH759" s="160" t="s">
        <v>3283</v>
      </c>
      <c r="AI759" s="30">
        <f>15282.4+285261.79+452078.97</f>
        <v>752623.15999999992</v>
      </c>
      <c r="AJ759" s="30">
        <v>0</v>
      </c>
    </row>
    <row r="760" spans="1:109" s="179" customFormat="1" ht="236.25" x14ac:dyDescent="0.25">
      <c r="A760" s="6">
        <v>757</v>
      </c>
      <c r="B760" s="31">
        <v>126532</v>
      </c>
      <c r="C760" s="31">
        <v>500</v>
      </c>
      <c r="D760" s="98" t="s">
        <v>1641</v>
      </c>
      <c r="E760" s="32" t="s">
        <v>983</v>
      </c>
      <c r="F760" s="11" t="s">
        <v>986</v>
      </c>
      <c r="G760" s="11" t="s">
        <v>985</v>
      </c>
      <c r="H760" s="8" t="s">
        <v>151</v>
      </c>
      <c r="I760" s="46" t="s">
        <v>987</v>
      </c>
      <c r="J760" s="25">
        <v>43516</v>
      </c>
      <c r="K760" s="25">
        <v>44336</v>
      </c>
      <c r="L760" s="26">
        <f t="shared" si="273"/>
        <v>83.299999838210468</v>
      </c>
      <c r="M760" s="11" t="s">
        <v>988</v>
      </c>
      <c r="N760" s="11" t="s">
        <v>989</v>
      </c>
      <c r="O760" s="11" t="s">
        <v>989</v>
      </c>
      <c r="P760" s="11" t="s">
        <v>274</v>
      </c>
      <c r="Q760" s="11" t="s">
        <v>34</v>
      </c>
      <c r="R760" s="30">
        <f t="shared" si="278"/>
        <v>2059465.88</v>
      </c>
      <c r="S760" s="2">
        <v>2059465.88</v>
      </c>
      <c r="T760" s="2">
        <v>0</v>
      </c>
      <c r="U760" s="30">
        <f t="shared" si="277"/>
        <v>363435.16</v>
      </c>
      <c r="V760" s="28">
        <v>363435.16</v>
      </c>
      <c r="W760" s="28">
        <v>0</v>
      </c>
      <c r="X760" s="30">
        <f t="shared" si="274"/>
        <v>0</v>
      </c>
      <c r="Y760" s="2">
        <v>0</v>
      </c>
      <c r="Z760" s="2">
        <v>0</v>
      </c>
      <c r="AA760" s="2">
        <f t="shared" si="275"/>
        <v>49446.96</v>
      </c>
      <c r="AB760" s="2">
        <v>49446.96</v>
      </c>
      <c r="AC760" s="2">
        <v>0</v>
      </c>
      <c r="AD760" s="16">
        <f t="shared" si="271"/>
        <v>2472348</v>
      </c>
      <c r="AE760" s="2">
        <v>0</v>
      </c>
      <c r="AF760" s="2">
        <f t="shared" si="276"/>
        <v>2472348</v>
      </c>
      <c r="AG760" s="38" t="s">
        <v>857</v>
      </c>
      <c r="AH760" s="29" t="s">
        <v>1729</v>
      </c>
      <c r="AI760" s="30">
        <f>1040799.12+310822.29+233529.06-13700.94+290881.93</f>
        <v>1862331.46</v>
      </c>
      <c r="AJ760" s="30">
        <f>140041.6+54850.99+41211+41211+51332.11</f>
        <v>328646.69999999995</v>
      </c>
      <c r="AK760" s="43"/>
      <c r="AL760" s="43"/>
      <c r="AM760" s="43"/>
      <c r="AN760" s="43"/>
      <c r="AO760" s="43"/>
      <c r="AP760" s="43"/>
      <c r="AQ760" s="43"/>
      <c r="AR760" s="43"/>
      <c r="AS760" s="43"/>
      <c r="AT760" s="43"/>
      <c r="AU760" s="43"/>
      <c r="AV760" s="43"/>
      <c r="AW760" s="43"/>
      <c r="AX760" s="43"/>
      <c r="AY760" s="43"/>
      <c r="AZ760" s="43"/>
      <c r="BA760" s="43"/>
      <c r="BB760" s="43"/>
      <c r="BC760" s="43"/>
      <c r="BD760" s="43"/>
      <c r="BE760" s="43"/>
      <c r="BF760" s="43"/>
      <c r="BG760" s="43"/>
      <c r="BH760" s="43"/>
      <c r="BI760" s="43"/>
      <c r="BJ760" s="43"/>
      <c r="BK760" s="43"/>
      <c r="BL760" s="43"/>
      <c r="BM760" s="43"/>
      <c r="BN760" s="43"/>
      <c r="BO760" s="43"/>
      <c r="BP760" s="43"/>
      <c r="BQ760" s="43"/>
      <c r="BR760" s="43"/>
      <c r="BS760" s="43"/>
      <c r="BT760" s="43"/>
      <c r="BU760" s="43"/>
      <c r="BV760" s="43"/>
      <c r="BW760" s="43"/>
      <c r="BX760" s="43"/>
      <c r="BY760" s="43"/>
      <c r="BZ760" s="43"/>
      <c r="CA760" s="43"/>
      <c r="CB760" s="43"/>
      <c r="CC760" s="43"/>
      <c r="CD760" s="43"/>
      <c r="CE760" s="43"/>
      <c r="CF760" s="43"/>
      <c r="CG760" s="43"/>
      <c r="CH760" s="43"/>
      <c r="CI760" s="43"/>
      <c r="CJ760" s="43"/>
      <c r="CK760" s="43"/>
      <c r="CL760" s="43"/>
      <c r="CM760" s="43"/>
      <c r="CN760" s="43"/>
      <c r="CO760" s="43"/>
      <c r="CP760" s="43"/>
      <c r="CQ760" s="43"/>
      <c r="CR760" s="43"/>
      <c r="CS760" s="43"/>
      <c r="CT760" s="43"/>
      <c r="CU760" s="43"/>
      <c r="CV760" s="43"/>
      <c r="CW760" s="43"/>
      <c r="CX760" s="43"/>
      <c r="CY760" s="43"/>
      <c r="CZ760" s="43"/>
      <c r="DA760" s="43"/>
      <c r="DB760" s="43"/>
      <c r="DC760" s="43"/>
      <c r="DD760" s="43"/>
      <c r="DE760" s="43"/>
    </row>
    <row r="761" spans="1:109" s="179" customFormat="1" ht="189" x14ac:dyDescent="0.25">
      <c r="A761" s="6">
        <v>758</v>
      </c>
      <c r="B761" s="31">
        <v>112820</v>
      </c>
      <c r="C761" s="31">
        <v>158</v>
      </c>
      <c r="D761" s="11" t="s">
        <v>143</v>
      </c>
      <c r="E761" s="24" t="s">
        <v>270</v>
      </c>
      <c r="F761" s="27" t="s">
        <v>840</v>
      </c>
      <c r="G761" s="27" t="s">
        <v>841</v>
      </c>
      <c r="H761" s="8" t="s">
        <v>151</v>
      </c>
      <c r="I761" s="120" t="s">
        <v>2988</v>
      </c>
      <c r="J761" s="25">
        <v>43361</v>
      </c>
      <c r="K761" s="25">
        <v>43848</v>
      </c>
      <c r="L761" s="26">
        <f t="shared" si="273"/>
        <v>82.304187792803134</v>
      </c>
      <c r="M761" s="11" t="s">
        <v>272</v>
      </c>
      <c r="N761" s="11" t="s">
        <v>189</v>
      </c>
      <c r="O761" s="11" t="s">
        <v>842</v>
      </c>
      <c r="P761" s="27" t="s">
        <v>274</v>
      </c>
      <c r="Q761" s="56" t="s">
        <v>34</v>
      </c>
      <c r="R761" s="2">
        <f t="shared" si="278"/>
        <v>812316.49</v>
      </c>
      <c r="S761" s="2">
        <v>655062.44999999995</v>
      </c>
      <c r="T761" s="2">
        <v>157254.04</v>
      </c>
      <c r="U761" s="2">
        <f t="shared" si="277"/>
        <v>154912.73000000001</v>
      </c>
      <c r="V761" s="28">
        <v>115599.25</v>
      </c>
      <c r="W761" s="28">
        <v>39313.480000000003</v>
      </c>
      <c r="X761" s="2">
        <f t="shared" si="274"/>
        <v>0</v>
      </c>
      <c r="Y761" s="2">
        <v>0</v>
      </c>
      <c r="Z761" s="2">
        <v>0</v>
      </c>
      <c r="AA761" s="2">
        <f t="shared" si="275"/>
        <v>19739.38</v>
      </c>
      <c r="AB761" s="2">
        <v>15727.81</v>
      </c>
      <c r="AC761" s="2">
        <v>4011.57</v>
      </c>
      <c r="AD761" s="16">
        <f t="shared" si="271"/>
        <v>986968.6</v>
      </c>
      <c r="AE761" s="2"/>
      <c r="AF761" s="2">
        <f t="shared" si="276"/>
        <v>986968.6</v>
      </c>
      <c r="AG761" s="38" t="s">
        <v>857</v>
      </c>
      <c r="AH761" s="29"/>
      <c r="AI761" s="30">
        <f>385890.19+98696.6+156767.33+71161.76+44833.4</f>
        <v>757349.28</v>
      </c>
      <c r="AJ761" s="30">
        <f>73591.17+48718.2+13570.88+8549.93</f>
        <v>144430.18</v>
      </c>
    </row>
    <row r="762" spans="1:109" s="179" customFormat="1" ht="204.75" x14ac:dyDescent="0.25">
      <c r="A762" s="6">
        <v>759</v>
      </c>
      <c r="B762" s="31">
        <v>111916</v>
      </c>
      <c r="C762" s="31">
        <v>145</v>
      </c>
      <c r="D762" s="11" t="s">
        <v>143</v>
      </c>
      <c r="E762" s="24" t="s">
        <v>270</v>
      </c>
      <c r="F762" s="27" t="s">
        <v>843</v>
      </c>
      <c r="G762" s="27" t="s">
        <v>844</v>
      </c>
      <c r="H762" s="8" t="s">
        <v>151</v>
      </c>
      <c r="I762" s="120" t="s">
        <v>2989</v>
      </c>
      <c r="J762" s="25">
        <v>43361</v>
      </c>
      <c r="K762" s="25">
        <v>43848</v>
      </c>
      <c r="L762" s="26">
        <f t="shared" si="273"/>
        <v>82.304185955094169</v>
      </c>
      <c r="M762" s="11" t="s">
        <v>272</v>
      </c>
      <c r="N762" s="11" t="s">
        <v>763</v>
      </c>
      <c r="O762" s="11" t="s">
        <v>763</v>
      </c>
      <c r="P762" s="27" t="s">
        <v>274</v>
      </c>
      <c r="Q762" s="56" t="s">
        <v>34</v>
      </c>
      <c r="R762" s="2">
        <f t="shared" si="278"/>
        <v>810699.03</v>
      </c>
      <c r="S762" s="2">
        <v>653758.11</v>
      </c>
      <c r="T762" s="2">
        <v>156940.92000000001</v>
      </c>
      <c r="U762" s="2">
        <f t="shared" si="277"/>
        <v>154604.29</v>
      </c>
      <c r="V762" s="28">
        <v>115369.07</v>
      </c>
      <c r="W762" s="28">
        <v>39235.22</v>
      </c>
      <c r="X762" s="2">
        <f t="shared" si="274"/>
        <v>0</v>
      </c>
      <c r="Y762" s="2">
        <v>0</v>
      </c>
      <c r="Z762" s="2">
        <v>0</v>
      </c>
      <c r="AA762" s="2">
        <f t="shared" si="275"/>
        <v>19700.080000000002</v>
      </c>
      <c r="AB762" s="2">
        <v>15696.51</v>
      </c>
      <c r="AC762" s="2">
        <v>4003.57</v>
      </c>
      <c r="AD762" s="16">
        <f t="shared" si="271"/>
        <v>985003.4</v>
      </c>
      <c r="AE762" s="2"/>
      <c r="AF762" s="2">
        <f t="shared" si="276"/>
        <v>985003.4</v>
      </c>
      <c r="AG762" s="38" t="s">
        <v>857</v>
      </c>
      <c r="AH762" s="29"/>
      <c r="AI762" s="30">
        <f>98000+15936.3+98000+14229.11+98000+184958.55+34915.59+218662.58+34786.69</f>
        <v>797488.81999999983</v>
      </c>
      <c r="AJ762" s="30">
        <f>21728.22+21402.65+35272.51+25347.65+41700.04+6633.99</f>
        <v>152085.06</v>
      </c>
    </row>
    <row r="763" spans="1:109" s="179" customFormat="1" ht="96" customHeight="1" x14ac:dyDescent="0.25">
      <c r="A763" s="6">
        <v>760</v>
      </c>
      <c r="B763" s="31">
        <v>116156</v>
      </c>
      <c r="C763" s="31">
        <v>392</v>
      </c>
      <c r="D763" s="11" t="s">
        <v>143</v>
      </c>
      <c r="E763" s="24" t="s">
        <v>373</v>
      </c>
      <c r="F763" s="67" t="s">
        <v>845</v>
      </c>
      <c r="G763" s="11" t="s">
        <v>1954</v>
      </c>
      <c r="H763" s="11" t="s">
        <v>846</v>
      </c>
      <c r="I763" s="32" t="s">
        <v>1592</v>
      </c>
      <c r="J763" s="25">
        <v>43356</v>
      </c>
      <c r="K763" s="25">
        <v>44908</v>
      </c>
      <c r="L763" s="26">
        <f t="shared" si="273"/>
        <v>83.983861962743134</v>
      </c>
      <c r="M763" s="11" t="s">
        <v>272</v>
      </c>
      <c r="N763" s="11" t="s">
        <v>261</v>
      </c>
      <c r="O763" s="11" t="s">
        <v>261</v>
      </c>
      <c r="P763" s="27" t="s">
        <v>138</v>
      </c>
      <c r="Q763" s="11" t="s">
        <v>34</v>
      </c>
      <c r="R763" s="2">
        <f t="shared" si="278"/>
        <v>2299022.9900000002</v>
      </c>
      <c r="S763" s="2">
        <v>1853961.73</v>
      </c>
      <c r="T763" s="2">
        <v>445061.26</v>
      </c>
      <c r="U763" s="2">
        <f t="shared" si="277"/>
        <v>0</v>
      </c>
      <c r="V763" s="28">
        <v>0</v>
      </c>
      <c r="W763" s="28">
        <v>0</v>
      </c>
      <c r="X763" s="2">
        <f t="shared" ref="X763:X779" si="279">Y763+Z763</f>
        <v>438435.06</v>
      </c>
      <c r="Y763" s="2">
        <v>327169.75</v>
      </c>
      <c r="Z763" s="2">
        <v>111265.31</v>
      </c>
      <c r="AA763" s="2">
        <f t="shared" ref="AA763:AA786" si="280">AB763+AC763</f>
        <v>0</v>
      </c>
      <c r="AB763" s="2">
        <v>0</v>
      </c>
      <c r="AC763" s="2">
        <v>0</v>
      </c>
      <c r="AD763" s="16">
        <f t="shared" si="271"/>
        <v>2737458.0500000003</v>
      </c>
      <c r="AE763" s="2"/>
      <c r="AF763" s="2">
        <f t="shared" ref="AF763:AF792" si="281">AD763+AE763</f>
        <v>2737458.0500000003</v>
      </c>
      <c r="AG763" s="38" t="s">
        <v>1412</v>
      </c>
      <c r="AH763" s="29" t="s">
        <v>1806</v>
      </c>
      <c r="AI763" s="30">
        <f>194922.68+48813.95+146150.63+39090.27+127031.01+26684.2+32010.45+45499.94+192459.09+29074.37+123869.59</f>
        <v>1005606.1799999998</v>
      </c>
      <c r="AJ763" s="30">
        <v>0</v>
      </c>
    </row>
    <row r="764" spans="1:109" s="179" customFormat="1" ht="141.75" x14ac:dyDescent="0.25">
      <c r="A764" s="6">
        <v>761</v>
      </c>
      <c r="B764" s="31">
        <v>109770</v>
      </c>
      <c r="C764" s="31">
        <v>300</v>
      </c>
      <c r="D764" s="11" t="s">
        <v>143</v>
      </c>
      <c r="E764" s="24" t="s">
        <v>270</v>
      </c>
      <c r="F764" s="67" t="s">
        <v>1420</v>
      </c>
      <c r="G764" s="11" t="s">
        <v>847</v>
      </c>
      <c r="H764" s="8" t="s">
        <v>151</v>
      </c>
      <c r="I764" s="120" t="s">
        <v>848</v>
      </c>
      <c r="J764" s="25">
        <v>43362</v>
      </c>
      <c r="K764" s="25">
        <v>43849</v>
      </c>
      <c r="L764" s="26">
        <f t="shared" si="273"/>
        <v>82.304184197970017</v>
      </c>
      <c r="M764" s="11" t="s">
        <v>272</v>
      </c>
      <c r="N764" s="11" t="s">
        <v>261</v>
      </c>
      <c r="O764" s="11" t="s">
        <v>261</v>
      </c>
      <c r="P764" s="27" t="s">
        <v>274</v>
      </c>
      <c r="Q764" s="11" t="s">
        <v>34</v>
      </c>
      <c r="R764" s="2">
        <f t="shared" si="278"/>
        <v>786369.83000000007</v>
      </c>
      <c r="S764" s="2">
        <v>634138.80000000005</v>
      </c>
      <c r="T764" s="2">
        <v>152231.03</v>
      </c>
      <c r="U764" s="2">
        <f t="shared" si="277"/>
        <v>149964.62</v>
      </c>
      <c r="V764" s="28">
        <v>111906.86</v>
      </c>
      <c r="W764" s="28">
        <v>38057.760000000002</v>
      </c>
      <c r="X764" s="2">
        <f t="shared" si="279"/>
        <v>0</v>
      </c>
      <c r="Y764" s="2">
        <v>0</v>
      </c>
      <c r="Z764" s="2">
        <v>0</v>
      </c>
      <c r="AA764" s="2">
        <f t="shared" si="280"/>
        <v>19108.870000000003</v>
      </c>
      <c r="AB764" s="2">
        <v>15225.37</v>
      </c>
      <c r="AC764" s="2">
        <v>3883.5</v>
      </c>
      <c r="AD764" s="16">
        <f t="shared" si="271"/>
        <v>955443.32000000007</v>
      </c>
      <c r="AE764" s="2"/>
      <c r="AF764" s="2">
        <f t="shared" si="281"/>
        <v>955443.32000000007</v>
      </c>
      <c r="AG764" s="38" t="s">
        <v>857</v>
      </c>
      <c r="AH764" s="29"/>
      <c r="AI764" s="30">
        <f>495588.73+36434.18+37098.36+130866.04+63944.95-22724.91</f>
        <v>741207.35</v>
      </c>
      <c r="AJ764" s="30">
        <f>13512.19+19201.01+11646.04+10486.67+21444.53+15302.78+16400.64+17142.5+2328.48+13886.98</f>
        <v>141351.82</v>
      </c>
    </row>
    <row r="765" spans="1:109" s="179" customFormat="1" ht="141.75" x14ac:dyDescent="0.25">
      <c r="A765" s="6">
        <v>762</v>
      </c>
      <c r="B765" s="31">
        <v>112155</v>
      </c>
      <c r="C765" s="31">
        <v>224</v>
      </c>
      <c r="D765" s="11" t="s">
        <v>143</v>
      </c>
      <c r="E765" s="24" t="s">
        <v>270</v>
      </c>
      <c r="F765" s="67" t="s">
        <v>849</v>
      </c>
      <c r="G765" s="11" t="s">
        <v>1331</v>
      </c>
      <c r="H765" s="11" t="s">
        <v>850</v>
      </c>
      <c r="I765" s="120" t="s">
        <v>2990</v>
      </c>
      <c r="J765" s="25">
        <v>43362</v>
      </c>
      <c r="K765" s="25">
        <v>44031</v>
      </c>
      <c r="L765" s="26">
        <f t="shared" si="273"/>
        <v>82.838167350644355</v>
      </c>
      <c r="M765" s="11" t="s">
        <v>272</v>
      </c>
      <c r="N765" s="11" t="s">
        <v>763</v>
      </c>
      <c r="O765" s="11" t="s">
        <v>763</v>
      </c>
      <c r="P765" s="27" t="s">
        <v>274</v>
      </c>
      <c r="Q765" s="11" t="s">
        <v>34</v>
      </c>
      <c r="R765" s="2">
        <f t="shared" si="278"/>
        <v>821979.65</v>
      </c>
      <c r="S765" s="2">
        <v>662854.93000000005</v>
      </c>
      <c r="T765" s="2">
        <v>159124.72</v>
      </c>
      <c r="U765" s="2">
        <f t="shared" si="277"/>
        <v>150446.54</v>
      </c>
      <c r="V765" s="28">
        <v>111947.56</v>
      </c>
      <c r="W765" s="28">
        <v>38498.980000000003</v>
      </c>
      <c r="X765" s="2">
        <f t="shared" si="279"/>
        <v>6308.99</v>
      </c>
      <c r="Y765" s="2">
        <v>5026.84</v>
      </c>
      <c r="Z765" s="2">
        <v>1282.1500000000001</v>
      </c>
      <c r="AA765" s="2">
        <f t="shared" si="280"/>
        <v>13536.47</v>
      </c>
      <c r="AB765" s="2">
        <v>10785.49</v>
      </c>
      <c r="AC765" s="2">
        <v>2750.98</v>
      </c>
      <c r="AD765" s="16">
        <f t="shared" si="271"/>
        <v>992271.65</v>
      </c>
      <c r="AE765" s="2"/>
      <c r="AF765" s="2">
        <f t="shared" si="281"/>
        <v>992271.65</v>
      </c>
      <c r="AG765" s="38" t="s">
        <v>857</v>
      </c>
      <c r="AH765" s="29" t="s">
        <v>1588</v>
      </c>
      <c r="AI765" s="30">
        <f>680682.08+95992.86</f>
        <v>776674.94</v>
      </c>
      <c r="AJ765" s="30">
        <f>124682.16+17920.66</f>
        <v>142602.82</v>
      </c>
    </row>
    <row r="766" spans="1:109" s="179" customFormat="1" ht="267.75" x14ac:dyDescent="0.25">
      <c r="A766" s="6">
        <v>763</v>
      </c>
      <c r="B766" s="31">
        <v>111612</v>
      </c>
      <c r="C766" s="31">
        <v>153</v>
      </c>
      <c r="D766" s="11" t="s">
        <v>143</v>
      </c>
      <c r="E766" s="24" t="s">
        <v>270</v>
      </c>
      <c r="F766" s="11" t="s">
        <v>854</v>
      </c>
      <c r="G766" s="11" t="s">
        <v>855</v>
      </c>
      <c r="H766" s="11" t="s">
        <v>856</v>
      </c>
      <c r="I766" s="120" t="s">
        <v>2991</v>
      </c>
      <c r="J766" s="25">
        <v>43371</v>
      </c>
      <c r="K766" s="25">
        <v>43889</v>
      </c>
      <c r="L766" s="26">
        <f t="shared" si="273"/>
        <v>82.304183068176116</v>
      </c>
      <c r="M766" s="11" t="s">
        <v>272</v>
      </c>
      <c r="N766" s="11" t="s">
        <v>261</v>
      </c>
      <c r="O766" s="11" t="s">
        <v>261</v>
      </c>
      <c r="P766" s="27" t="s">
        <v>274</v>
      </c>
      <c r="Q766" s="11" t="s">
        <v>34</v>
      </c>
      <c r="R766" s="2">
        <f t="shared" si="278"/>
        <v>719578.88</v>
      </c>
      <c r="S766" s="2">
        <v>580277.67000000004</v>
      </c>
      <c r="T766" s="2">
        <v>139301.21</v>
      </c>
      <c r="U766" s="2">
        <f t="shared" si="277"/>
        <v>137227.27000000002</v>
      </c>
      <c r="V766" s="28">
        <v>102401.97</v>
      </c>
      <c r="W766" s="28">
        <v>34825.300000000003</v>
      </c>
      <c r="X766" s="2">
        <f t="shared" si="279"/>
        <v>0</v>
      </c>
      <c r="Y766" s="2">
        <v>0</v>
      </c>
      <c r="Z766" s="2">
        <v>0</v>
      </c>
      <c r="AA766" s="2">
        <f t="shared" si="280"/>
        <v>17485.84</v>
      </c>
      <c r="AB766" s="2">
        <v>13932.24</v>
      </c>
      <c r="AC766" s="2">
        <v>3553.6</v>
      </c>
      <c r="AD766" s="16">
        <f t="shared" si="271"/>
        <v>874291.99</v>
      </c>
      <c r="AE766" s="2"/>
      <c r="AF766" s="2">
        <f t="shared" si="281"/>
        <v>874291.99</v>
      </c>
      <c r="AG766" s="38" t="s">
        <v>1427</v>
      </c>
      <c r="AH766" s="29"/>
      <c r="AI766" s="30">
        <v>557994.05000000005</v>
      </c>
      <c r="AJ766" s="30">
        <v>106412.25</v>
      </c>
    </row>
    <row r="767" spans="1:109" s="179" customFormat="1" ht="390" customHeight="1" x14ac:dyDescent="0.25">
      <c r="A767" s="6">
        <v>764</v>
      </c>
      <c r="B767" s="31">
        <v>110058</v>
      </c>
      <c r="C767" s="31">
        <v>302</v>
      </c>
      <c r="D767" s="11" t="s">
        <v>143</v>
      </c>
      <c r="E767" s="24" t="s">
        <v>270</v>
      </c>
      <c r="F767" s="67" t="s">
        <v>858</v>
      </c>
      <c r="G767" s="11" t="s">
        <v>859</v>
      </c>
      <c r="H767" s="11" t="s">
        <v>860</v>
      </c>
      <c r="I767" s="12" t="s">
        <v>2992</v>
      </c>
      <c r="J767" s="25">
        <v>43370</v>
      </c>
      <c r="K767" s="25">
        <v>43857</v>
      </c>
      <c r="L767" s="26">
        <f t="shared" si="273"/>
        <v>82.767157561916832</v>
      </c>
      <c r="M767" s="11" t="s">
        <v>272</v>
      </c>
      <c r="N767" s="11" t="s">
        <v>261</v>
      </c>
      <c r="O767" s="11" t="s">
        <v>261</v>
      </c>
      <c r="P767" s="27" t="s">
        <v>274</v>
      </c>
      <c r="Q767" s="11" t="s">
        <v>34</v>
      </c>
      <c r="R767" s="2">
        <f t="shared" si="278"/>
        <v>803873.75</v>
      </c>
      <c r="S767" s="2">
        <v>648254.14</v>
      </c>
      <c r="T767" s="2">
        <v>155619.60999999999</v>
      </c>
      <c r="U767" s="2">
        <f t="shared" si="277"/>
        <v>147948.57</v>
      </c>
      <c r="V767" s="28">
        <v>110131.78</v>
      </c>
      <c r="W767" s="28">
        <v>37816.79</v>
      </c>
      <c r="X767" s="2">
        <f t="shared" si="279"/>
        <v>0</v>
      </c>
      <c r="Y767" s="2">
        <v>0</v>
      </c>
      <c r="Z767" s="2">
        <v>0</v>
      </c>
      <c r="AA767" s="2">
        <f t="shared" si="280"/>
        <v>19424.939999999999</v>
      </c>
      <c r="AB767" s="2">
        <v>15477.26</v>
      </c>
      <c r="AC767" s="2">
        <v>3947.68</v>
      </c>
      <c r="AD767" s="16">
        <f t="shared" si="271"/>
        <v>971247.26</v>
      </c>
      <c r="AE767" s="37"/>
      <c r="AF767" s="2">
        <f t="shared" si="281"/>
        <v>971247.26</v>
      </c>
      <c r="AG767" s="38" t="s">
        <v>857</v>
      </c>
      <c r="AH767" s="29"/>
      <c r="AI767" s="30">
        <v>445374.68</v>
      </c>
      <c r="AJ767" s="30">
        <v>64020.07</v>
      </c>
    </row>
    <row r="768" spans="1:109" s="179" customFormat="1" ht="390" customHeight="1" x14ac:dyDescent="0.25">
      <c r="A768" s="6">
        <v>765</v>
      </c>
      <c r="B768" s="31">
        <v>111482</v>
      </c>
      <c r="C768" s="31">
        <v>133</v>
      </c>
      <c r="D768" s="11" t="s">
        <v>143</v>
      </c>
      <c r="E768" s="24" t="s">
        <v>270</v>
      </c>
      <c r="F768" s="11" t="s">
        <v>1921</v>
      </c>
      <c r="G768" s="11" t="s">
        <v>863</v>
      </c>
      <c r="H768" s="11" t="s">
        <v>864</v>
      </c>
      <c r="I768" s="12" t="s">
        <v>2993</v>
      </c>
      <c r="J768" s="25">
        <v>43376</v>
      </c>
      <c r="K768" s="25">
        <v>43864</v>
      </c>
      <c r="L768" s="26">
        <f t="shared" si="273"/>
        <v>82.928005929547282</v>
      </c>
      <c r="M768" s="11" t="s">
        <v>272</v>
      </c>
      <c r="N768" s="11" t="s">
        <v>254</v>
      </c>
      <c r="O768" s="11" t="s">
        <v>865</v>
      </c>
      <c r="P768" s="27" t="s">
        <v>274</v>
      </c>
      <c r="Q768" s="11" t="s">
        <v>34</v>
      </c>
      <c r="R768" s="2">
        <f t="shared" si="278"/>
        <v>795878.74</v>
      </c>
      <c r="S768" s="2">
        <v>641806.86</v>
      </c>
      <c r="T768" s="2">
        <v>154071.88</v>
      </c>
      <c r="U768" s="2">
        <f t="shared" si="277"/>
        <v>144649.33000000002</v>
      </c>
      <c r="V768" s="28">
        <v>107580.1</v>
      </c>
      <c r="W768" s="28">
        <v>37069.230000000003</v>
      </c>
      <c r="X768" s="2">
        <f t="shared" si="279"/>
        <v>0</v>
      </c>
      <c r="Y768" s="2">
        <v>0</v>
      </c>
      <c r="Z768" s="2">
        <v>0</v>
      </c>
      <c r="AA768" s="2">
        <f t="shared" si="280"/>
        <v>19194.440000000002</v>
      </c>
      <c r="AB768" s="2">
        <v>15293.61</v>
      </c>
      <c r="AC768" s="2">
        <v>3900.83</v>
      </c>
      <c r="AD768" s="16">
        <f t="shared" si="271"/>
        <v>959722.51</v>
      </c>
      <c r="AE768" s="37"/>
      <c r="AF768" s="2">
        <f t="shared" si="281"/>
        <v>959722.51</v>
      </c>
      <c r="AG768" s="38" t="s">
        <v>1427</v>
      </c>
      <c r="AH768" s="29"/>
      <c r="AI768" s="30">
        <f>452366.02+99602.01+111344.12+21724.75+63905.55-5611.91+3477.02</f>
        <v>746807.56</v>
      </c>
      <c r="AJ768" s="30">
        <f>80055.29+4398.75+19458.27+15146.77+4830.12+12009.98</f>
        <v>135899.18</v>
      </c>
    </row>
    <row r="769" spans="1:36" s="179" customFormat="1" ht="390" customHeight="1" x14ac:dyDescent="0.25">
      <c r="A769" s="6">
        <v>766</v>
      </c>
      <c r="B769" s="31">
        <v>112266</v>
      </c>
      <c r="C769" s="31">
        <v>310</v>
      </c>
      <c r="D769" s="11" t="s">
        <v>143</v>
      </c>
      <c r="E769" s="24" t="s">
        <v>270</v>
      </c>
      <c r="F769" s="11" t="s">
        <v>866</v>
      </c>
      <c r="G769" s="11" t="s">
        <v>867</v>
      </c>
      <c r="H769" s="11" t="s">
        <v>868</v>
      </c>
      <c r="I769" s="12" t="s">
        <v>2994</v>
      </c>
      <c r="J769" s="25">
        <v>43376</v>
      </c>
      <c r="K769" s="25">
        <v>43802</v>
      </c>
      <c r="L769" s="26">
        <f t="shared" si="273"/>
        <v>83.010839519489394</v>
      </c>
      <c r="M769" s="11" t="s">
        <v>272</v>
      </c>
      <c r="N769" s="11" t="s">
        <v>261</v>
      </c>
      <c r="O769" s="11" t="s">
        <v>261</v>
      </c>
      <c r="P769" s="27" t="s">
        <v>138</v>
      </c>
      <c r="Q769" s="11" t="s">
        <v>34</v>
      </c>
      <c r="R769" s="2">
        <f t="shared" si="278"/>
        <v>830076.27</v>
      </c>
      <c r="S769" s="2">
        <v>669384.21</v>
      </c>
      <c r="T769" s="2">
        <v>160692.06</v>
      </c>
      <c r="U769" s="2">
        <f t="shared" si="277"/>
        <v>149885.79999999999</v>
      </c>
      <c r="V769" s="28">
        <v>111422.7</v>
      </c>
      <c r="W769" s="28">
        <v>38463.1</v>
      </c>
      <c r="X769" s="2">
        <f t="shared" si="279"/>
        <v>0</v>
      </c>
      <c r="Y769" s="2">
        <v>0</v>
      </c>
      <c r="Z769" s="2">
        <v>0</v>
      </c>
      <c r="AA769" s="2">
        <f t="shared" si="280"/>
        <v>19999.23</v>
      </c>
      <c r="AB769" s="2">
        <v>15934.82</v>
      </c>
      <c r="AC769" s="2">
        <v>4064.41</v>
      </c>
      <c r="AD769" s="16">
        <f t="shared" si="271"/>
        <v>999961.3</v>
      </c>
      <c r="AE769" s="37"/>
      <c r="AF769" s="2">
        <f t="shared" si="281"/>
        <v>999961.3</v>
      </c>
      <c r="AG769" s="21" t="s">
        <v>857</v>
      </c>
      <c r="AH769" s="29"/>
      <c r="AI769" s="30">
        <f>469376.77+159988.61+70050.81+33529.44+16757.29</f>
        <v>749702.91999999993</v>
      </c>
      <c r="AJ769" s="30">
        <f>66498.13+28816.19+19174.69+12319.23+7898.78</f>
        <v>134707.02000000002</v>
      </c>
    </row>
    <row r="770" spans="1:36" s="179" customFormat="1" ht="390" customHeight="1" x14ac:dyDescent="0.25">
      <c r="A770" s="6">
        <v>767</v>
      </c>
      <c r="B770" s="31">
        <v>118704</v>
      </c>
      <c r="C770" s="31">
        <v>434</v>
      </c>
      <c r="D770" s="32" t="s">
        <v>1640</v>
      </c>
      <c r="E770" s="24" t="s">
        <v>523</v>
      </c>
      <c r="F770" s="67" t="s">
        <v>869</v>
      </c>
      <c r="G770" s="11" t="s">
        <v>870</v>
      </c>
      <c r="H770" s="8" t="s">
        <v>151</v>
      </c>
      <c r="I770" s="12" t="s">
        <v>871</v>
      </c>
      <c r="J770" s="25">
        <v>43389</v>
      </c>
      <c r="K770" s="25">
        <v>43906</v>
      </c>
      <c r="L770" s="26">
        <f t="shared" si="273"/>
        <v>83.983864465105967</v>
      </c>
      <c r="M770" s="11" t="s">
        <v>272</v>
      </c>
      <c r="N770" s="11" t="s">
        <v>261</v>
      </c>
      <c r="O770" s="11" t="s">
        <v>261</v>
      </c>
      <c r="P770" s="27" t="s">
        <v>138</v>
      </c>
      <c r="Q770" s="56" t="s">
        <v>34</v>
      </c>
      <c r="R770" s="2">
        <f t="shared" si="278"/>
        <v>1448623.93</v>
      </c>
      <c r="S770" s="2">
        <v>1168188.98</v>
      </c>
      <c r="T770" s="2">
        <v>280434.95</v>
      </c>
      <c r="U770" s="2">
        <f t="shared" si="277"/>
        <v>0</v>
      </c>
      <c r="V770" s="28">
        <v>0</v>
      </c>
      <c r="W770" s="28">
        <v>0</v>
      </c>
      <c r="X770" s="2">
        <f t="shared" si="279"/>
        <v>0</v>
      </c>
      <c r="Y770" s="2">
        <v>0</v>
      </c>
      <c r="Z770" s="2">
        <v>0</v>
      </c>
      <c r="AA770" s="2">
        <f t="shared" si="280"/>
        <v>276259.7</v>
      </c>
      <c r="AB770" s="2">
        <v>206150.98</v>
      </c>
      <c r="AC770" s="2">
        <v>70108.72</v>
      </c>
      <c r="AD770" s="16">
        <f t="shared" si="271"/>
        <v>1724883.63</v>
      </c>
      <c r="AE770" s="37">
        <v>442846.63</v>
      </c>
      <c r="AF770" s="2">
        <f t="shared" si="281"/>
        <v>2167730.2599999998</v>
      </c>
      <c r="AG770" s="38" t="s">
        <v>857</v>
      </c>
      <c r="AH770" s="29" t="s">
        <v>1391</v>
      </c>
      <c r="AI770" s="30">
        <v>1389240.11</v>
      </c>
      <c r="AJ770" s="30">
        <v>0</v>
      </c>
    </row>
    <row r="771" spans="1:36" s="179" customFormat="1" ht="288.75" customHeight="1" x14ac:dyDescent="0.25">
      <c r="A771" s="6">
        <v>768</v>
      </c>
      <c r="B771" s="31">
        <v>111265</v>
      </c>
      <c r="C771" s="31">
        <v>156</v>
      </c>
      <c r="D771" s="11" t="s">
        <v>143</v>
      </c>
      <c r="E771" s="24" t="s">
        <v>270</v>
      </c>
      <c r="F771" s="67" t="s">
        <v>874</v>
      </c>
      <c r="G771" s="11" t="s">
        <v>895</v>
      </c>
      <c r="H771" s="11" t="s">
        <v>875</v>
      </c>
      <c r="I771" s="12" t="s">
        <v>2995</v>
      </c>
      <c r="J771" s="25">
        <v>43390</v>
      </c>
      <c r="K771" s="25">
        <v>44029</v>
      </c>
      <c r="L771" s="26">
        <f t="shared" si="273"/>
        <v>82.304182001288282</v>
      </c>
      <c r="M771" s="11" t="s">
        <v>272</v>
      </c>
      <c r="N771" s="11" t="s">
        <v>226</v>
      </c>
      <c r="O771" s="11" t="s">
        <v>226</v>
      </c>
      <c r="P771" s="27" t="s">
        <v>274</v>
      </c>
      <c r="Q771" s="11" t="s">
        <v>34</v>
      </c>
      <c r="R771" s="2">
        <f t="shared" si="278"/>
        <v>800497.47</v>
      </c>
      <c r="S771" s="2">
        <v>645531.5</v>
      </c>
      <c r="T771" s="2">
        <v>154965.97</v>
      </c>
      <c r="U771" s="2">
        <f>V771+W771</f>
        <v>152658.85</v>
      </c>
      <c r="V771" s="28">
        <v>113917.34</v>
      </c>
      <c r="W771" s="28">
        <v>38741.51</v>
      </c>
      <c r="X771" s="2">
        <f t="shared" si="279"/>
        <v>0</v>
      </c>
      <c r="Y771" s="2">
        <v>0</v>
      </c>
      <c r="Z771" s="2">
        <v>0</v>
      </c>
      <c r="AA771" s="2">
        <f t="shared" si="280"/>
        <v>19452.18</v>
      </c>
      <c r="AB771" s="2">
        <v>15498.93</v>
      </c>
      <c r="AC771" s="2">
        <v>3953.25</v>
      </c>
      <c r="AD771" s="16">
        <f t="shared" si="271"/>
        <v>972608.5</v>
      </c>
      <c r="AE771" s="37"/>
      <c r="AF771" s="2">
        <f t="shared" si="281"/>
        <v>972608.5</v>
      </c>
      <c r="AG771" s="38" t="s">
        <v>857</v>
      </c>
      <c r="AH771" s="29" t="s">
        <v>1589</v>
      </c>
      <c r="AI771" s="30">
        <f>699788.34+65000-20399.56</f>
        <v>744388.77999999991</v>
      </c>
      <c r="AJ771" s="30">
        <f>130435.52+11523.1</f>
        <v>141958.62</v>
      </c>
    </row>
    <row r="772" spans="1:36" s="179" customFormat="1" ht="390" customHeight="1" x14ac:dyDescent="0.25">
      <c r="A772" s="6">
        <v>769</v>
      </c>
      <c r="B772" s="31">
        <v>112719</v>
      </c>
      <c r="C772" s="31">
        <v>287</v>
      </c>
      <c r="D772" s="11" t="s">
        <v>143</v>
      </c>
      <c r="E772" s="24" t="s">
        <v>270</v>
      </c>
      <c r="F772" s="67" t="s">
        <v>882</v>
      </c>
      <c r="G772" s="11" t="s">
        <v>883</v>
      </c>
      <c r="H772" s="11" t="s">
        <v>884</v>
      </c>
      <c r="I772" s="12" t="s">
        <v>885</v>
      </c>
      <c r="J772" s="25">
        <v>43399</v>
      </c>
      <c r="K772" s="25">
        <v>43887</v>
      </c>
      <c r="L772" s="26">
        <f t="shared" si="273"/>
        <v>82.304184463081299</v>
      </c>
      <c r="M772" s="11" t="s">
        <v>272</v>
      </c>
      <c r="N772" s="11" t="s">
        <v>261</v>
      </c>
      <c r="O772" s="11" t="s">
        <v>261</v>
      </c>
      <c r="P772" s="27" t="s">
        <v>274</v>
      </c>
      <c r="Q772" s="11" t="s">
        <v>34</v>
      </c>
      <c r="R772" s="2">
        <f t="shared" si="278"/>
        <v>780735</v>
      </c>
      <c r="S772" s="2">
        <v>629594.75</v>
      </c>
      <c r="T772" s="2">
        <v>151140.25</v>
      </c>
      <c r="U772" s="2">
        <f t="shared" ref="U772:U798" si="282">V772+W772</f>
        <v>148890.03999999998</v>
      </c>
      <c r="V772" s="28">
        <v>111105.01</v>
      </c>
      <c r="W772" s="28">
        <v>37785.03</v>
      </c>
      <c r="X772" s="2">
        <f t="shared" si="279"/>
        <v>0</v>
      </c>
      <c r="Y772" s="2">
        <v>0</v>
      </c>
      <c r="Z772" s="2">
        <v>0</v>
      </c>
      <c r="AA772" s="2">
        <f t="shared" si="280"/>
        <v>18971.93</v>
      </c>
      <c r="AB772" s="2">
        <v>15116.28</v>
      </c>
      <c r="AC772" s="2">
        <v>3855.65</v>
      </c>
      <c r="AD772" s="16">
        <f t="shared" si="271"/>
        <v>948596.97000000009</v>
      </c>
      <c r="AE772" s="37"/>
      <c r="AF772" s="2">
        <f t="shared" si="281"/>
        <v>948596.97000000009</v>
      </c>
      <c r="AG772" s="38" t="s">
        <v>857</v>
      </c>
      <c r="AH772" s="29"/>
      <c r="AI772" s="30">
        <v>771851.04999999993</v>
      </c>
      <c r="AJ772" s="30">
        <v>147195.82</v>
      </c>
    </row>
    <row r="773" spans="1:36" s="179" customFormat="1" ht="390" customHeight="1" x14ac:dyDescent="0.25">
      <c r="A773" s="6">
        <v>770</v>
      </c>
      <c r="B773" s="31">
        <v>112591</v>
      </c>
      <c r="C773" s="31">
        <v>205</v>
      </c>
      <c r="D773" s="11" t="s">
        <v>143</v>
      </c>
      <c r="E773" s="24" t="s">
        <v>270</v>
      </c>
      <c r="F773" s="67" t="s">
        <v>886</v>
      </c>
      <c r="G773" s="11" t="s">
        <v>887</v>
      </c>
      <c r="H773" s="11" t="s">
        <v>889</v>
      </c>
      <c r="I773" s="12" t="s">
        <v>888</v>
      </c>
      <c r="J773" s="25">
        <v>43404</v>
      </c>
      <c r="K773" s="25">
        <v>44043</v>
      </c>
      <c r="L773" s="26">
        <f t="shared" si="273"/>
        <v>82.304185509371194</v>
      </c>
      <c r="M773" s="11" t="s">
        <v>272</v>
      </c>
      <c r="N773" s="11" t="s">
        <v>261</v>
      </c>
      <c r="O773" s="11" t="s">
        <v>261</v>
      </c>
      <c r="P773" s="27" t="s">
        <v>274</v>
      </c>
      <c r="Q773" s="11" t="s">
        <v>34</v>
      </c>
      <c r="R773" s="2">
        <f t="shared" si="278"/>
        <v>767059.33000000007</v>
      </c>
      <c r="S773" s="2">
        <v>618566.54</v>
      </c>
      <c r="T773" s="2">
        <v>148492.79</v>
      </c>
      <c r="U773" s="2">
        <f t="shared" si="282"/>
        <v>146282</v>
      </c>
      <c r="V773" s="28">
        <v>109158.78</v>
      </c>
      <c r="W773" s="28">
        <v>37123.22</v>
      </c>
      <c r="X773" s="2">
        <f t="shared" si="279"/>
        <v>0</v>
      </c>
      <c r="Y773" s="2">
        <v>0</v>
      </c>
      <c r="Z773" s="2">
        <v>0</v>
      </c>
      <c r="AA773" s="2">
        <f t="shared" si="280"/>
        <v>18639.620000000003</v>
      </c>
      <c r="AB773" s="2">
        <v>14851.53</v>
      </c>
      <c r="AC773" s="2">
        <v>3788.09</v>
      </c>
      <c r="AD773" s="16">
        <f t="shared" ref="AD773:AD836" si="283">R773+U773+X773+AA773</f>
        <v>931980.95000000007</v>
      </c>
      <c r="AE773" s="37"/>
      <c r="AF773" s="2">
        <f t="shared" si="281"/>
        <v>931980.95000000007</v>
      </c>
      <c r="AG773" s="38" t="s">
        <v>857</v>
      </c>
      <c r="AH773" s="29" t="s">
        <v>1432</v>
      </c>
      <c r="AI773" s="30">
        <f>666492.64+22146.42-19754.94</f>
        <v>668884.12000000011</v>
      </c>
      <c r="AJ773" s="30">
        <f>109685.73+4223.42+13650.28</f>
        <v>127559.43</v>
      </c>
    </row>
    <row r="774" spans="1:36" s="179" customFormat="1" ht="390" customHeight="1" x14ac:dyDescent="0.25">
      <c r="A774" s="6">
        <v>771</v>
      </c>
      <c r="B774" s="31">
        <v>109897</v>
      </c>
      <c r="C774" s="31">
        <v>159</v>
      </c>
      <c r="D774" s="11" t="s">
        <v>143</v>
      </c>
      <c r="E774" s="24" t="s">
        <v>270</v>
      </c>
      <c r="F774" s="67" t="s">
        <v>893</v>
      </c>
      <c r="G774" s="11" t="s">
        <v>894</v>
      </c>
      <c r="H774" s="8" t="s">
        <v>151</v>
      </c>
      <c r="I774" s="12" t="s">
        <v>2996</v>
      </c>
      <c r="J774" s="25">
        <v>43418</v>
      </c>
      <c r="K774" s="25">
        <v>44179</v>
      </c>
      <c r="L774" s="26">
        <f t="shared" si="273"/>
        <v>82.304185631079861</v>
      </c>
      <c r="M774" s="11" t="s">
        <v>272</v>
      </c>
      <c r="N774" s="11" t="s">
        <v>261</v>
      </c>
      <c r="O774" s="11" t="s">
        <v>137</v>
      </c>
      <c r="P774" s="27" t="s">
        <v>274</v>
      </c>
      <c r="Q774" s="11" t="s">
        <v>34</v>
      </c>
      <c r="R774" s="2">
        <f t="shared" si="278"/>
        <v>763718.81</v>
      </c>
      <c r="S774" s="2">
        <v>615872.68000000005</v>
      </c>
      <c r="T774" s="2">
        <v>147846.13</v>
      </c>
      <c r="U774" s="2">
        <f t="shared" si="282"/>
        <v>145644.94</v>
      </c>
      <c r="V774" s="28">
        <v>108683.39</v>
      </c>
      <c r="W774" s="28">
        <v>36961.550000000003</v>
      </c>
      <c r="X774" s="2">
        <f t="shared" si="279"/>
        <v>0</v>
      </c>
      <c r="Y774" s="2">
        <v>0</v>
      </c>
      <c r="Z774" s="2">
        <v>0</v>
      </c>
      <c r="AA774" s="2">
        <f t="shared" si="280"/>
        <v>18558.45</v>
      </c>
      <c r="AB774" s="2">
        <v>14786.89</v>
      </c>
      <c r="AC774" s="2">
        <v>3771.56</v>
      </c>
      <c r="AD774" s="16">
        <f t="shared" si="283"/>
        <v>927922.2</v>
      </c>
      <c r="AE774" s="37"/>
      <c r="AF774" s="2">
        <f t="shared" si="281"/>
        <v>927922.2</v>
      </c>
      <c r="AG774" s="38" t="s">
        <v>857</v>
      </c>
      <c r="AH774" s="29" t="s">
        <v>1664</v>
      </c>
      <c r="AI774" s="30">
        <f>574601.53+25027.07+25599.89+28316.77+19320.08</f>
        <v>672865.34</v>
      </c>
      <c r="AJ774" s="30">
        <f>109579.31+4772.77+4882.03+5400.13+3684.44</f>
        <v>128318.68000000001</v>
      </c>
    </row>
    <row r="775" spans="1:36" s="179" customFormat="1" ht="141.75" x14ac:dyDescent="0.25">
      <c r="A775" s="6">
        <v>772</v>
      </c>
      <c r="B775" s="31">
        <v>127778</v>
      </c>
      <c r="C775" s="31">
        <v>580</v>
      </c>
      <c r="D775" s="11" t="s">
        <v>143</v>
      </c>
      <c r="E775" s="24" t="s">
        <v>979</v>
      </c>
      <c r="F775" s="67" t="s">
        <v>931</v>
      </c>
      <c r="G775" s="27" t="s">
        <v>1740</v>
      </c>
      <c r="H775" s="8" t="s">
        <v>151</v>
      </c>
      <c r="I775" s="12" t="s">
        <v>2997</v>
      </c>
      <c r="J775" s="25">
        <v>43447</v>
      </c>
      <c r="K775" s="25">
        <v>45273</v>
      </c>
      <c r="L775" s="26">
        <f t="shared" si="273"/>
        <v>83.983863025604222</v>
      </c>
      <c r="M775" s="11" t="s">
        <v>272</v>
      </c>
      <c r="N775" s="11" t="s">
        <v>261</v>
      </c>
      <c r="O775" s="11" t="s">
        <v>261</v>
      </c>
      <c r="P775" s="27" t="s">
        <v>138</v>
      </c>
      <c r="Q775" s="11" t="s">
        <v>34</v>
      </c>
      <c r="R775" s="2">
        <f t="shared" si="278"/>
        <v>10837735.800000001</v>
      </c>
      <c r="S775" s="2">
        <v>8739689.6600000001</v>
      </c>
      <c r="T775" s="2">
        <v>2098046.14</v>
      </c>
      <c r="U775" s="2">
        <f t="shared" si="282"/>
        <v>0</v>
      </c>
      <c r="V775" s="28">
        <v>0</v>
      </c>
      <c r="W775" s="28">
        <v>0</v>
      </c>
      <c r="X775" s="2">
        <f t="shared" si="279"/>
        <v>2066809.68</v>
      </c>
      <c r="Y775" s="2">
        <v>1542298.18</v>
      </c>
      <c r="Z775" s="2">
        <v>524511.5</v>
      </c>
      <c r="AA775" s="2">
        <f t="shared" si="280"/>
        <v>0</v>
      </c>
      <c r="AB775" s="2">
        <v>0</v>
      </c>
      <c r="AC775" s="2">
        <v>0</v>
      </c>
      <c r="AD775" s="16">
        <f t="shared" si="283"/>
        <v>12904545.48</v>
      </c>
      <c r="AE775" s="37">
        <v>0</v>
      </c>
      <c r="AF775" s="2">
        <f t="shared" si="281"/>
        <v>12904545.48</v>
      </c>
      <c r="AG775" s="38" t="s">
        <v>486</v>
      </c>
      <c r="AH775" s="29" t="s">
        <v>1941</v>
      </c>
      <c r="AI775" s="30">
        <f>4431509.92+140328.64+1052131.93</f>
        <v>5623970.4899999993</v>
      </c>
      <c r="AJ775" s="30">
        <v>0</v>
      </c>
    </row>
    <row r="776" spans="1:36" s="179" customFormat="1" ht="173.25" x14ac:dyDescent="0.25">
      <c r="A776" s="6">
        <v>773</v>
      </c>
      <c r="B776" s="31">
        <v>127575</v>
      </c>
      <c r="C776" s="31">
        <v>604</v>
      </c>
      <c r="D776" s="11" t="s">
        <v>143</v>
      </c>
      <c r="E776" s="24" t="s">
        <v>979</v>
      </c>
      <c r="F776" s="67" t="s">
        <v>941</v>
      </c>
      <c r="G776" s="11" t="s">
        <v>83</v>
      </c>
      <c r="H776" s="8" t="s">
        <v>151</v>
      </c>
      <c r="I776" s="12" t="s">
        <v>2998</v>
      </c>
      <c r="J776" s="25">
        <v>43448</v>
      </c>
      <c r="K776" s="25">
        <v>44787</v>
      </c>
      <c r="L776" s="26">
        <f t="shared" si="273"/>
        <v>83.983862818828996</v>
      </c>
      <c r="M776" s="11" t="s">
        <v>272</v>
      </c>
      <c r="N776" s="11" t="s">
        <v>261</v>
      </c>
      <c r="O776" s="11" t="s">
        <v>261</v>
      </c>
      <c r="P776" s="27" t="s">
        <v>138</v>
      </c>
      <c r="Q776" s="11" t="s">
        <v>34</v>
      </c>
      <c r="R776" s="2">
        <f t="shared" si="278"/>
        <v>71134346.109999999</v>
      </c>
      <c r="S776" s="2">
        <v>57363652.549999997</v>
      </c>
      <c r="T776" s="2">
        <v>13770693.560000001</v>
      </c>
      <c r="U776" s="2">
        <f t="shared" si="282"/>
        <v>0</v>
      </c>
      <c r="V776" s="28">
        <v>0</v>
      </c>
      <c r="W776" s="28">
        <v>0</v>
      </c>
      <c r="X776" s="2">
        <f t="shared" si="279"/>
        <v>13565670.92</v>
      </c>
      <c r="Y776" s="2">
        <v>10122997.52</v>
      </c>
      <c r="Z776" s="2">
        <v>3442673.4</v>
      </c>
      <c r="AA776" s="2">
        <f t="shared" si="280"/>
        <v>0</v>
      </c>
      <c r="AB776" s="2">
        <v>0</v>
      </c>
      <c r="AC776" s="2">
        <v>0</v>
      </c>
      <c r="AD776" s="16">
        <f t="shared" si="283"/>
        <v>84700017.030000001</v>
      </c>
      <c r="AE776" s="37">
        <v>0</v>
      </c>
      <c r="AF776" s="2">
        <f t="shared" si="281"/>
        <v>84700017.030000001</v>
      </c>
      <c r="AG776" s="38" t="s">
        <v>857</v>
      </c>
      <c r="AH776" s="29" t="s">
        <v>1817</v>
      </c>
      <c r="AI776" s="30">
        <f>64822540.56+76490.69+412755.49+1062706.95+631076.16</f>
        <v>67005569.850000001</v>
      </c>
      <c r="AJ776" s="30">
        <v>0</v>
      </c>
    </row>
    <row r="777" spans="1:36" s="179" customFormat="1" ht="141.75" x14ac:dyDescent="0.25">
      <c r="A777" s="6">
        <v>774</v>
      </c>
      <c r="B777" s="31">
        <v>116834</v>
      </c>
      <c r="C777" s="31">
        <v>397</v>
      </c>
      <c r="D777" s="11" t="s">
        <v>143</v>
      </c>
      <c r="E777" s="24" t="s">
        <v>373</v>
      </c>
      <c r="F777" s="67" t="s">
        <v>951</v>
      </c>
      <c r="G777" s="11" t="s">
        <v>1774</v>
      </c>
      <c r="H777" s="11" t="s">
        <v>1792</v>
      </c>
      <c r="I777" s="33" t="s">
        <v>953</v>
      </c>
      <c r="J777" s="25">
        <v>43462</v>
      </c>
      <c r="K777" s="25">
        <v>44832</v>
      </c>
      <c r="L777" s="26">
        <f t="shared" si="273"/>
        <v>83.923407076315016</v>
      </c>
      <c r="M777" s="11" t="s">
        <v>272</v>
      </c>
      <c r="N777" s="11" t="s">
        <v>261</v>
      </c>
      <c r="O777" s="11" t="s">
        <v>261</v>
      </c>
      <c r="P777" s="27" t="s">
        <v>138</v>
      </c>
      <c r="Q777" s="11" t="s">
        <v>34</v>
      </c>
      <c r="R777" s="2">
        <f t="shared" si="278"/>
        <v>2024489.7200000002</v>
      </c>
      <c r="S777" s="2">
        <v>1632574.6</v>
      </c>
      <c r="T777" s="2">
        <v>391915.12</v>
      </c>
      <c r="U777" s="2">
        <f t="shared" si="282"/>
        <v>13627.730000000001</v>
      </c>
      <c r="V777" s="28">
        <v>10169.310000000001</v>
      </c>
      <c r="W777" s="28">
        <v>3458.4199999999996</v>
      </c>
      <c r="X777" s="2">
        <f t="shared" si="279"/>
        <v>372452.47000000003</v>
      </c>
      <c r="Y777" s="2">
        <v>277932.08</v>
      </c>
      <c r="Z777" s="2">
        <v>94520.39</v>
      </c>
      <c r="AA777" s="2">
        <f t="shared" si="280"/>
        <v>1736.48</v>
      </c>
      <c r="AB777" s="2">
        <v>1383.58</v>
      </c>
      <c r="AC777" s="2">
        <v>352.9</v>
      </c>
      <c r="AD777" s="16">
        <f t="shared" si="283"/>
        <v>2412306.4000000004</v>
      </c>
      <c r="AE777" s="37">
        <v>0</v>
      </c>
      <c r="AF777" s="2">
        <f t="shared" si="281"/>
        <v>2412306.4000000004</v>
      </c>
      <c r="AG777" s="38" t="s">
        <v>486</v>
      </c>
      <c r="AH777" s="29" t="s">
        <v>2159</v>
      </c>
      <c r="AI777" s="30">
        <f>300519.38+28866.82+79839.52+134620.7+189329.14+94392.77+126250.23</f>
        <v>953818.56</v>
      </c>
      <c r="AJ777" s="30">
        <v>13627.73</v>
      </c>
    </row>
    <row r="778" spans="1:36" s="179" customFormat="1" ht="204.75" x14ac:dyDescent="0.25">
      <c r="A778" s="6">
        <v>775</v>
      </c>
      <c r="B778" s="31">
        <v>116793</v>
      </c>
      <c r="C778" s="31">
        <v>398</v>
      </c>
      <c r="D778" s="11" t="s">
        <v>143</v>
      </c>
      <c r="E778" s="24" t="s">
        <v>373</v>
      </c>
      <c r="F778" s="67" t="s">
        <v>954</v>
      </c>
      <c r="G778" s="11" t="s">
        <v>1774</v>
      </c>
      <c r="H778" s="32" t="s">
        <v>1773</v>
      </c>
      <c r="I778" s="33" t="s">
        <v>2999</v>
      </c>
      <c r="J778" s="25">
        <v>43462</v>
      </c>
      <c r="K778" s="25">
        <v>44801</v>
      </c>
      <c r="L778" s="26">
        <f t="shared" si="273"/>
        <v>83.876278600754787</v>
      </c>
      <c r="M778" s="11" t="s">
        <v>272</v>
      </c>
      <c r="N778" s="11" t="s">
        <v>261</v>
      </c>
      <c r="O778" s="11" t="s">
        <v>261</v>
      </c>
      <c r="P778" s="27" t="s">
        <v>138</v>
      </c>
      <c r="Q778" s="11" t="s">
        <v>34</v>
      </c>
      <c r="R778" s="2">
        <f>S778+T778</f>
        <v>2294555.41</v>
      </c>
      <c r="S778" s="2">
        <v>1850359.01</v>
      </c>
      <c r="T778" s="2">
        <v>444196.40000000008</v>
      </c>
      <c r="U778" s="2">
        <f>V778+W778</f>
        <v>121410.03</v>
      </c>
      <c r="V778" s="28">
        <v>89921.42</v>
      </c>
      <c r="W778" s="28">
        <v>31488.610000000008</v>
      </c>
      <c r="X778" s="2">
        <f>Y778+Z778</f>
        <v>319677.40000000002</v>
      </c>
      <c r="Y778" s="2">
        <v>239404.74</v>
      </c>
      <c r="Z778" s="2">
        <v>80272.66</v>
      </c>
      <c r="AA778" s="2">
        <f>AB778+AC778</f>
        <v>0</v>
      </c>
      <c r="AB778" s="2">
        <v>0</v>
      </c>
      <c r="AC778" s="2">
        <v>0</v>
      </c>
      <c r="AD778" s="16">
        <f t="shared" si="283"/>
        <v>2735642.84</v>
      </c>
      <c r="AE778" s="37"/>
      <c r="AF778" s="2">
        <f>AD778+AE778</f>
        <v>2735642.84</v>
      </c>
      <c r="AG778" s="38" t="s">
        <v>857</v>
      </c>
      <c r="AH778" s="29" t="s">
        <v>2315</v>
      </c>
      <c r="AI778" s="30">
        <f>747588.05+119267.92+123350.9+38783.99+46531.38+20689.06+20035.23+31690.07+70570.67+11219.61</f>
        <v>1229726.8800000001</v>
      </c>
      <c r="AJ778" s="30">
        <f>58485.17+21100.17+23112.49+11901.81+748.32</f>
        <v>115347.96</v>
      </c>
    </row>
    <row r="779" spans="1:36" s="179" customFormat="1" ht="172.5" customHeight="1" x14ac:dyDescent="0.25">
      <c r="A779" s="6">
        <v>776</v>
      </c>
      <c r="B779" s="31">
        <v>127534</v>
      </c>
      <c r="C779" s="31">
        <v>619</v>
      </c>
      <c r="D779" s="11" t="s">
        <v>143</v>
      </c>
      <c r="E779" s="24" t="s">
        <v>979</v>
      </c>
      <c r="F779" s="67" t="s">
        <v>964</v>
      </c>
      <c r="G779" s="27" t="s">
        <v>1770</v>
      </c>
      <c r="H779" s="8" t="s">
        <v>151</v>
      </c>
      <c r="I779" s="12" t="s">
        <v>3000</v>
      </c>
      <c r="J779" s="25">
        <v>43490</v>
      </c>
      <c r="K779" s="25">
        <v>44525</v>
      </c>
      <c r="L779" s="26">
        <f t="shared" si="273"/>
        <v>83.983862982309589</v>
      </c>
      <c r="M779" s="11" t="s">
        <v>272</v>
      </c>
      <c r="N779" s="11" t="s">
        <v>261</v>
      </c>
      <c r="O779" s="11" t="s">
        <v>261</v>
      </c>
      <c r="P779" s="27" t="s">
        <v>138</v>
      </c>
      <c r="Q779" s="11" t="s">
        <v>34</v>
      </c>
      <c r="R779" s="2">
        <f t="shared" si="278"/>
        <v>8137225.4000000022</v>
      </c>
      <c r="S779" s="2">
        <v>6561963.3800000027</v>
      </c>
      <c r="T779" s="2">
        <v>1575262.0199999993</v>
      </c>
      <c r="U779" s="2">
        <f t="shared" si="282"/>
        <v>0</v>
      </c>
      <c r="V779" s="28">
        <v>0</v>
      </c>
      <c r="W779" s="28">
        <v>0</v>
      </c>
      <c r="X779" s="2">
        <f t="shared" si="279"/>
        <v>1551809.03</v>
      </c>
      <c r="Y779" s="2">
        <v>1157993.46</v>
      </c>
      <c r="Z779" s="2">
        <v>393815.57</v>
      </c>
      <c r="AA779" s="2">
        <f t="shared" si="280"/>
        <v>0</v>
      </c>
      <c r="AB779" s="2">
        <v>0</v>
      </c>
      <c r="AC779" s="2">
        <v>0</v>
      </c>
      <c r="AD779" s="16">
        <f t="shared" si="283"/>
        <v>9689034.4300000016</v>
      </c>
      <c r="AE779" s="37">
        <v>0</v>
      </c>
      <c r="AF779" s="2">
        <f t="shared" si="281"/>
        <v>9689034.4300000016</v>
      </c>
      <c r="AG779" s="38" t="s">
        <v>857</v>
      </c>
      <c r="AH779" s="29" t="s">
        <v>1771</v>
      </c>
      <c r="AI779" s="30">
        <f>1463301.67+53394.41+40843.87+3495745.94+550641.88+46927.65+715246.04+1403826.39</f>
        <v>7769927.8499999996</v>
      </c>
      <c r="AJ779" s="30">
        <v>0</v>
      </c>
    </row>
    <row r="780" spans="1:36" s="179" customFormat="1" ht="189" x14ac:dyDescent="0.25">
      <c r="A780" s="6">
        <v>777</v>
      </c>
      <c r="B780" s="31">
        <v>111384</v>
      </c>
      <c r="C780" s="31">
        <v>166</v>
      </c>
      <c r="D780" s="11" t="s">
        <v>143</v>
      </c>
      <c r="E780" s="24" t="s">
        <v>270</v>
      </c>
      <c r="F780" s="67" t="s">
        <v>969</v>
      </c>
      <c r="G780" s="11" t="s">
        <v>970</v>
      </c>
      <c r="H780" s="8" t="s">
        <v>151</v>
      </c>
      <c r="I780" s="12" t="s">
        <v>971</v>
      </c>
      <c r="J780" s="25">
        <v>43497</v>
      </c>
      <c r="K780" s="25">
        <v>43983</v>
      </c>
      <c r="L780" s="26">
        <f t="shared" si="273"/>
        <v>82.304190607330156</v>
      </c>
      <c r="M780" s="11" t="s">
        <v>272</v>
      </c>
      <c r="N780" s="11" t="s">
        <v>186</v>
      </c>
      <c r="O780" s="11" t="s">
        <v>186</v>
      </c>
      <c r="P780" s="27" t="s">
        <v>274</v>
      </c>
      <c r="Q780" s="11" t="s">
        <v>34</v>
      </c>
      <c r="R780" s="2">
        <f t="shared" si="278"/>
        <v>765704.55999999994</v>
      </c>
      <c r="S780" s="2">
        <v>617473.98</v>
      </c>
      <c r="T780" s="2">
        <v>148230.57999999999</v>
      </c>
      <c r="U780" s="2">
        <f t="shared" si="282"/>
        <v>146023.57999999999</v>
      </c>
      <c r="V780" s="28">
        <v>108965.98</v>
      </c>
      <c r="W780" s="28">
        <v>37057.599999999999</v>
      </c>
      <c r="X780" s="2">
        <v>0</v>
      </c>
      <c r="Y780" s="2">
        <v>0</v>
      </c>
      <c r="Z780" s="2">
        <v>0</v>
      </c>
      <c r="AA780" s="2">
        <f t="shared" si="280"/>
        <v>18606.7</v>
      </c>
      <c r="AB780" s="2">
        <v>14825.33</v>
      </c>
      <c r="AC780" s="2">
        <v>3781.37</v>
      </c>
      <c r="AD780" s="16">
        <f t="shared" si="283"/>
        <v>930334.83999999985</v>
      </c>
      <c r="AE780" s="37">
        <v>0</v>
      </c>
      <c r="AF780" s="2">
        <f t="shared" si="281"/>
        <v>930334.83999999985</v>
      </c>
      <c r="AG780" s="38" t="s">
        <v>857</v>
      </c>
      <c r="AH780" s="29"/>
      <c r="AI780" s="30">
        <v>407560.11</v>
      </c>
      <c r="AJ780" s="30">
        <v>76478.45</v>
      </c>
    </row>
    <row r="781" spans="1:36" s="179" customFormat="1" ht="159.75" customHeight="1" x14ac:dyDescent="0.25">
      <c r="A781" s="6">
        <v>778</v>
      </c>
      <c r="B781" s="31">
        <v>118765</v>
      </c>
      <c r="C781" s="31">
        <v>454</v>
      </c>
      <c r="D781" s="98" t="s">
        <v>1641</v>
      </c>
      <c r="E781" s="24" t="s">
        <v>425</v>
      </c>
      <c r="F781" s="67" t="s">
        <v>809</v>
      </c>
      <c r="G781" s="11" t="s">
        <v>810</v>
      </c>
      <c r="H781" s="11" t="s">
        <v>977</v>
      </c>
      <c r="I781" s="46" t="s">
        <v>3001</v>
      </c>
      <c r="J781" s="25">
        <v>43348</v>
      </c>
      <c r="K781" s="25">
        <v>45112</v>
      </c>
      <c r="L781" s="26">
        <f t="shared" si="273"/>
        <v>83.983863009939782</v>
      </c>
      <c r="M781" s="27" t="s">
        <v>136</v>
      </c>
      <c r="N781" s="11" t="s">
        <v>261</v>
      </c>
      <c r="O781" s="11" t="s">
        <v>137</v>
      </c>
      <c r="P781" s="15" t="s">
        <v>138</v>
      </c>
      <c r="Q781" s="27" t="s">
        <v>34</v>
      </c>
      <c r="R781" s="2">
        <f t="shared" si="278"/>
        <v>21008573.409999996</v>
      </c>
      <c r="S781" s="2">
        <v>16941584.049999997</v>
      </c>
      <c r="T781" s="2">
        <v>4066989.3599999989</v>
      </c>
      <c r="U781" s="2">
        <f t="shared" si="282"/>
        <v>0</v>
      </c>
      <c r="V781" s="28">
        <v>0</v>
      </c>
      <c r="W781" s="28">
        <v>0</v>
      </c>
      <c r="X781" s="2">
        <f t="shared" ref="X781:X799" si="284">Y781+Z781</f>
        <v>4006438.5900000008</v>
      </c>
      <c r="Y781" s="2">
        <v>2989691.2972893151</v>
      </c>
      <c r="Z781" s="2">
        <v>1016747.2927106855</v>
      </c>
      <c r="AA781" s="2">
        <f t="shared" si="280"/>
        <v>0</v>
      </c>
      <c r="AB781" s="2">
        <v>0</v>
      </c>
      <c r="AC781" s="2">
        <v>0</v>
      </c>
      <c r="AD781" s="16">
        <f t="shared" si="283"/>
        <v>25015011.999999996</v>
      </c>
      <c r="AE781" s="2">
        <v>0</v>
      </c>
      <c r="AF781" s="2">
        <f t="shared" si="281"/>
        <v>25015011.999999996</v>
      </c>
      <c r="AG781" s="38" t="s">
        <v>486</v>
      </c>
      <c r="AH781" s="29" t="s">
        <v>1980</v>
      </c>
      <c r="AI781" s="30">
        <f>3855719.79+323646.48+206724.77+676013.29+150344.07+353057.82+338497.46+399142.86+1052168.01+21579.05+1505737.13+23990.2+100884</f>
        <v>9007504.9299999997</v>
      </c>
      <c r="AJ781" s="30">
        <v>0</v>
      </c>
    </row>
    <row r="782" spans="1:36" s="179" customFormat="1" ht="161.25" customHeight="1" x14ac:dyDescent="0.25">
      <c r="A782" s="6">
        <v>779</v>
      </c>
      <c r="B782" s="31">
        <v>127403</v>
      </c>
      <c r="C782" s="31">
        <v>579</v>
      </c>
      <c r="D782" s="11" t="s">
        <v>143</v>
      </c>
      <c r="E782" s="24" t="s">
        <v>979</v>
      </c>
      <c r="F782" s="67" t="s">
        <v>980</v>
      </c>
      <c r="G782" s="27" t="s">
        <v>1352</v>
      </c>
      <c r="H782" s="8" t="s">
        <v>151</v>
      </c>
      <c r="I782" s="12" t="s">
        <v>3002</v>
      </c>
      <c r="J782" s="25">
        <v>43514</v>
      </c>
      <c r="K782" s="25">
        <v>45125</v>
      </c>
      <c r="L782" s="26">
        <f t="shared" si="273"/>
        <v>83.983863067164137</v>
      </c>
      <c r="M782" s="27" t="s">
        <v>136</v>
      </c>
      <c r="N782" s="11" t="s">
        <v>261</v>
      </c>
      <c r="O782" s="11" t="s">
        <v>261</v>
      </c>
      <c r="P782" s="15" t="s">
        <v>138</v>
      </c>
      <c r="Q782" s="27" t="s">
        <v>34</v>
      </c>
      <c r="R782" s="2">
        <f t="shared" ref="R782:R799" si="285">S782+T782</f>
        <v>5070433.51</v>
      </c>
      <c r="S782" s="2">
        <v>4088862.86</v>
      </c>
      <c r="T782" s="2">
        <v>981570.65</v>
      </c>
      <c r="U782" s="2">
        <f t="shared" si="282"/>
        <v>0</v>
      </c>
      <c r="V782" s="28">
        <v>0</v>
      </c>
      <c r="W782" s="28">
        <v>0</v>
      </c>
      <c r="X782" s="2">
        <f t="shared" si="284"/>
        <v>966956.68</v>
      </c>
      <c r="Y782" s="2">
        <v>721564.03</v>
      </c>
      <c r="Z782" s="2">
        <v>245392.65</v>
      </c>
      <c r="AA782" s="2">
        <f t="shared" si="280"/>
        <v>0</v>
      </c>
      <c r="AB782" s="2">
        <v>0</v>
      </c>
      <c r="AC782" s="2">
        <v>0</v>
      </c>
      <c r="AD782" s="16">
        <f t="shared" si="283"/>
        <v>6037390.1899999995</v>
      </c>
      <c r="AE782" s="37">
        <v>0</v>
      </c>
      <c r="AF782" s="2">
        <f t="shared" si="281"/>
        <v>6037390.1899999995</v>
      </c>
      <c r="AG782" s="38" t="s">
        <v>486</v>
      </c>
      <c r="AH782" s="29" t="s">
        <v>1981</v>
      </c>
      <c r="AI782" s="30">
        <f>24576.2+66456.97+20464.35+37833.89+35353.01+43044.25+57443.28+50103.09+84893.41+48852.57</f>
        <v>469021.01999999996</v>
      </c>
      <c r="AJ782" s="30">
        <v>0</v>
      </c>
    </row>
    <row r="783" spans="1:36" s="179" customFormat="1" ht="141.75" x14ac:dyDescent="0.25">
      <c r="A783" s="6">
        <v>780</v>
      </c>
      <c r="B783" s="31">
        <v>127820</v>
      </c>
      <c r="C783" s="31">
        <v>605</v>
      </c>
      <c r="D783" s="11" t="s">
        <v>143</v>
      </c>
      <c r="E783" s="24" t="s">
        <v>979</v>
      </c>
      <c r="F783" s="67" t="s">
        <v>998</v>
      </c>
      <c r="G783" s="11" t="s">
        <v>2157</v>
      </c>
      <c r="H783" s="8" t="s">
        <v>151</v>
      </c>
      <c r="I783" s="12" t="s">
        <v>3003</v>
      </c>
      <c r="J783" s="25">
        <v>43528</v>
      </c>
      <c r="K783" s="25">
        <v>44899</v>
      </c>
      <c r="L783" s="26">
        <f t="shared" si="273"/>
        <v>83.983863119750325</v>
      </c>
      <c r="M783" s="27" t="s">
        <v>136</v>
      </c>
      <c r="N783" s="11" t="s">
        <v>261</v>
      </c>
      <c r="O783" s="11" t="s">
        <v>261</v>
      </c>
      <c r="P783" s="15" t="s">
        <v>138</v>
      </c>
      <c r="Q783" s="27" t="s">
        <v>34</v>
      </c>
      <c r="R783" s="2">
        <f t="shared" si="285"/>
        <v>8804544.8800000008</v>
      </c>
      <c r="S783" s="2">
        <v>7100098.3400000008</v>
      </c>
      <c r="T783" s="2">
        <v>1704446.54</v>
      </c>
      <c r="U783" s="2">
        <f t="shared" si="282"/>
        <v>0</v>
      </c>
      <c r="V783" s="28">
        <v>0</v>
      </c>
      <c r="W783" s="28">
        <v>0</v>
      </c>
      <c r="X783" s="2">
        <f t="shared" si="284"/>
        <v>1679070.13</v>
      </c>
      <c r="Y783" s="2">
        <v>1252958.5123926841</v>
      </c>
      <c r="Z783" s="2">
        <v>426111.61760731583</v>
      </c>
      <c r="AA783" s="2">
        <f t="shared" si="280"/>
        <v>0</v>
      </c>
      <c r="AB783" s="2">
        <v>0</v>
      </c>
      <c r="AC783" s="2">
        <v>0</v>
      </c>
      <c r="AD783" s="16">
        <f t="shared" si="283"/>
        <v>10483615.010000002</v>
      </c>
      <c r="AE783" s="37">
        <v>0</v>
      </c>
      <c r="AF783" s="2">
        <f t="shared" si="281"/>
        <v>10483615.010000002</v>
      </c>
      <c r="AG783" s="38" t="s">
        <v>1412</v>
      </c>
      <c r="AH783" s="29" t="s">
        <v>2158</v>
      </c>
      <c r="AI783" s="30">
        <f>142773.41+459978.96+262581.43+430600.38+386148.56+275006+710932.99+402603.59+379948.85+570548.17+383601.33+340308.49</f>
        <v>4745032.16</v>
      </c>
      <c r="AJ783" s="30">
        <v>0</v>
      </c>
    </row>
    <row r="784" spans="1:36" s="179" customFormat="1" ht="283.5" customHeight="1" x14ac:dyDescent="0.25">
      <c r="A784" s="6">
        <v>781</v>
      </c>
      <c r="B784" s="31">
        <v>129157</v>
      </c>
      <c r="C784" s="31">
        <v>653</v>
      </c>
      <c r="D784" s="11" t="s">
        <v>143</v>
      </c>
      <c r="E784" s="32" t="s">
        <v>1056</v>
      </c>
      <c r="F784" s="67" t="s">
        <v>1057</v>
      </c>
      <c r="G784" s="11" t="s">
        <v>1353</v>
      </c>
      <c r="H784" s="11" t="s">
        <v>1058</v>
      </c>
      <c r="I784" s="12" t="s">
        <v>3004</v>
      </c>
      <c r="J784" s="25">
        <v>43595</v>
      </c>
      <c r="K784" s="25">
        <v>44145</v>
      </c>
      <c r="L784" s="26">
        <f t="shared" si="273"/>
        <v>83.983862046457801</v>
      </c>
      <c r="M784" s="27" t="s">
        <v>136</v>
      </c>
      <c r="N784" s="11" t="s">
        <v>261</v>
      </c>
      <c r="O784" s="11" t="s">
        <v>261</v>
      </c>
      <c r="P784" s="15" t="s">
        <v>138</v>
      </c>
      <c r="Q784" s="11" t="s">
        <v>34</v>
      </c>
      <c r="R784" s="2">
        <v>5246671.92</v>
      </c>
      <c r="S784" s="2">
        <v>4230983.82</v>
      </c>
      <c r="T784" s="2">
        <v>1015688.1</v>
      </c>
      <c r="U784" s="2">
        <v>397060.76</v>
      </c>
      <c r="V784" s="28">
        <v>293431.24</v>
      </c>
      <c r="W784" s="28">
        <v>103629.52</v>
      </c>
      <c r="X784" s="2">
        <v>603505.53</v>
      </c>
      <c r="Y784" s="2">
        <v>453212.97</v>
      </c>
      <c r="Z784" s="2">
        <v>150292.56</v>
      </c>
      <c r="AA784" s="2">
        <v>0</v>
      </c>
      <c r="AB784" s="2">
        <v>0</v>
      </c>
      <c r="AC784" s="2">
        <v>0</v>
      </c>
      <c r="AD784" s="16">
        <f t="shared" si="283"/>
        <v>6247238.21</v>
      </c>
      <c r="AE784" s="37">
        <v>0</v>
      </c>
      <c r="AF784" s="2">
        <v>6247238.21</v>
      </c>
      <c r="AG784" s="38" t="s">
        <v>857</v>
      </c>
      <c r="AH784" s="29" t="s">
        <v>1608</v>
      </c>
      <c r="AI784" s="30">
        <f>27634.05+1119190.49+181709.16+701126.29+552728.56+77727.08+197693.87</f>
        <v>2857809.5</v>
      </c>
      <c r="AJ784" s="30">
        <f>145846.01+27046.1+84892.7+61886.01+3864.1+5366.64</f>
        <v>328901.56</v>
      </c>
    </row>
    <row r="785" spans="1:36" s="179" customFormat="1" ht="226.5" customHeight="1" x14ac:dyDescent="0.25">
      <c r="A785" s="6">
        <v>782</v>
      </c>
      <c r="B785" s="31">
        <v>127557</v>
      </c>
      <c r="C785" s="31">
        <v>592</v>
      </c>
      <c r="D785" s="11" t="s">
        <v>143</v>
      </c>
      <c r="E785" s="24" t="s">
        <v>979</v>
      </c>
      <c r="F785" s="67" t="s">
        <v>1763</v>
      </c>
      <c r="G785" s="11" t="s">
        <v>1754</v>
      </c>
      <c r="H785" s="11" t="s">
        <v>1063</v>
      </c>
      <c r="I785" s="12" t="s">
        <v>3005</v>
      </c>
      <c r="J785" s="25">
        <v>43601</v>
      </c>
      <c r="K785" s="25">
        <v>45001</v>
      </c>
      <c r="L785" s="26">
        <f t="shared" si="273"/>
        <v>83.983862903167676</v>
      </c>
      <c r="M785" s="27" t="s">
        <v>136</v>
      </c>
      <c r="N785" s="11" t="s">
        <v>261</v>
      </c>
      <c r="O785" s="11" t="s">
        <v>261</v>
      </c>
      <c r="P785" s="15" t="s">
        <v>138</v>
      </c>
      <c r="Q785" s="11" t="s">
        <v>34</v>
      </c>
      <c r="R785" s="2">
        <f t="shared" si="285"/>
        <v>21869408.230000008</v>
      </c>
      <c r="S785" s="2">
        <v>17635772.340000007</v>
      </c>
      <c r="T785" s="2">
        <v>4233635.8900000006</v>
      </c>
      <c r="U785" s="2">
        <f t="shared" si="282"/>
        <v>2835302.4500000007</v>
      </c>
      <c r="V785" s="28">
        <v>2095312.3900000004</v>
      </c>
      <c r="W785" s="28">
        <v>739990.06000000017</v>
      </c>
      <c r="X785" s="2">
        <f t="shared" si="284"/>
        <v>1335301.6200000001</v>
      </c>
      <c r="Y785" s="2">
        <v>1016882.74</v>
      </c>
      <c r="Z785" s="2">
        <v>318418.88</v>
      </c>
      <c r="AA785" s="2">
        <f t="shared" si="280"/>
        <v>0</v>
      </c>
      <c r="AB785" s="2">
        <v>0</v>
      </c>
      <c r="AC785" s="2">
        <v>0</v>
      </c>
      <c r="AD785" s="16">
        <f t="shared" si="283"/>
        <v>26040012.300000008</v>
      </c>
      <c r="AE785" s="37">
        <v>0</v>
      </c>
      <c r="AF785" s="2">
        <f t="shared" si="281"/>
        <v>26040012.300000008</v>
      </c>
      <c r="AG785" s="38" t="s">
        <v>486</v>
      </c>
      <c r="AH785" s="29" t="s">
        <v>1789</v>
      </c>
      <c r="AI785" s="30">
        <f>2000000-199893.91+842707.08+2000000-206973.2+1447144.25+1042685.44-170393.68+1315690.57+1512447.46+1178535.32-163734.87+1442951.1+2129883.35+850732.12+1312699.79</f>
        <v>16334480.82</v>
      </c>
      <c r="AJ785" s="30">
        <f>213844.09+224889.04+206973.2+174014.68+188172.46+250323.39+191023.95+206373.48+203572.86+187744.72</f>
        <v>2046931.8699999999</v>
      </c>
    </row>
    <row r="786" spans="1:36" s="179" customFormat="1" ht="239.25" customHeight="1" x14ac:dyDescent="0.25">
      <c r="A786" s="6">
        <v>783</v>
      </c>
      <c r="B786" s="162">
        <v>127562</v>
      </c>
      <c r="C786" s="162">
        <v>606</v>
      </c>
      <c r="D786" s="163" t="s">
        <v>143</v>
      </c>
      <c r="E786" s="164" t="s">
        <v>979</v>
      </c>
      <c r="F786" s="165" t="s">
        <v>1074</v>
      </c>
      <c r="G786" s="27" t="s">
        <v>1719</v>
      </c>
      <c r="H786" s="163" t="s">
        <v>1075</v>
      </c>
      <c r="I786" s="166" t="s">
        <v>3006</v>
      </c>
      <c r="J786" s="167">
        <v>43608</v>
      </c>
      <c r="K786" s="167">
        <v>44857</v>
      </c>
      <c r="L786" s="26">
        <f t="shared" si="273"/>
        <v>83.983863366468114</v>
      </c>
      <c r="M786" s="168" t="s">
        <v>136</v>
      </c>
      <c r="N786" s="163" t="s">
        <v>261</v>
      </c>
      <c r="O786" s="163" t="s">
        <v>137</v>
      </c>
      <c r="P786" s="169" t="s">
        <v>138</v>
      </c>
      <c r="Q786" s="163" t="s">
        <v>34</v>
      </c>
      <c r="R786" s="103">
        <f t="shared" si="285"/>
        <v>8877559.8300000001</v>
      </c>
      <c r="S786" s="103">
        <v>7158978.5700000003</v>
      </c>
      <c r="T786" s="103">
        <v>1718581.26</v>
      </c>
      <c r="U786" s="103">
        <f t="shared" si="282"/>
        <v>156211.62</v>
      </c>
      <c r="V786" s="53">
        <v>115441.7</v>
      </c>
      <c r="W786" s="53">
        <v>40769.919999999998</v>
      </c>
      <c r="X786" s="103">
        <f t="shared" si="284"/>
        <v>1536782.7899999998</v>
      </c>
      <c r="Y786" s="103">
        <v>1147907.3799999999</v>
      </c>
      <c r="Z786" s="103">
        <v>388875.41</v>
      </c>
      <c r="AA786" s="103">
        <f t="shared" si="280"/>
        <v>0</v>
      </c>
      <c r="AB786" s="103">
        <v>0</v>
      </c>
      <c r="AC786" s="103">
        <v>0</v>
      </c>
      <c r="AD786" s="16">
        <f t="shared" si="283"/>
        <v>10570554.239999998</v>
      </c>
      <c r="AE786" s="170">
        <v>0</v>
      </c>
      <c r="AF786" s="103">
        <f t="shared" si="281"/>
        <v>10570554.239999998</v>
      </c>
      <c r="AG786" s="38" t="s">
        <v>486</v>
      </c>
      <c r="AH786" s="171" t="s">
        <v>2196</v>
      </c>
      <c r="AI786" s="114">
        <f>100000+43931.12+109486.41+2111676.42+175527.94+180671.57+100000+68073.24+1333861.53+2004317.29+18100.2+20914.5+18483.6+100000+15623.52+34340.16+24250.34-11567.51+80879.4+600665.05+26246.78+82320+947830.52</f>
        <v>8185632.0800000001</v>
      </c>
      <c r="AJ786" s="114">
        <f>12721.6+24511.71+28611.12+19252.57+19773.82+11567.51+11773.56</f>
        <v>128211.89</v>
      </c>
    </row>
    <row r="787" spans="1:36" s="179" customFormat="1" ht="315.75" customHeight="1" x14ac:dyDescent="0.25">
      <c r="A787" s="6">
        <v>784</v>
      </c>
      <c r="B787" s="11">
        <v>116178</v>
      </c>
      <c r="C787" s="11">
        <v>403</v>
      </c>
      <c r="D787" s="11" t="s">
        <v>143</v>
      </c>
      <c r="E787" s="24" t="s">
        <v>373</v>
      </c>
      <c r="F787" s="27" t="s">
        <v>1124</v>
      </c>
      <c r="G787" s="11" t="s">
        <v>55</v>
      </c>
      <c r="H787" s="8" t="s">
        <v>151</v>
      </c>
      <c r="I787" s="12" t="s">
        <v>3007</v>
      </c>
      <c r="J787" s="25">
        <v>43640</v>
      </c>
      <c r="K787" s="25">
        <v>45162</v>
      </c>
      <c r="L787" s="26">
        <f t="shared" si="273"/>
        <v>83.983862989767033</v>
      </c>
      <c r="M787" s="27" t="s">
        <v>136</v>
      </c>
      <c r="N787" s="11" t="s">
        <v>261</v>
      </c>
      <c r="O787" s="11" t="s">
        <v>137</v>
      </c>
      <c r="P787" s="15" t="s">
        <v>138</v>
      </c>
      <c r="Q787" s="11" t="s">
        <v>34</v>
      </c>
      <c r="R787" s="2">
        <f t="shared" si="285"/>
        <v>2394035.5999999996</v>
      </c>
      <c r="S787" s="2">
        <v>1930581.13</v>
      </c>
      <c r="T787" s="2">
        <v>463454.47</v>
      </c>
      <c r="U787" s="2">
        <f t="shared" si="282"/>
        <v>0</v>
      </c>
      <c r="V787" s="28">
        <v>0</v>
      </c>
      <c r="W787" s="28">
        <v>0</v>
      </c>
      <c r="X787" s="2">
        <f t="shared" si="284"/>
        <v>456554.4</v>
      </c>
      <c r="Y787" s="2">
        <v>340690.78</v>
      </c>
      <c r="Z787" s="2">
        <v>115863.62</v>
      </c>
      <c r="AA787" s="2"/>
      <c r="AB787" s="2">
        <v>0</v>
      </c>
      <c r="AC787" s="2">
        <v>0</v>
      </c>
      <c r="AD787" s="16">
        <f t="shared" si="283"/>
        <v>2850589.9999999995</v>
      </c>
      <c r="AE787" s="37">
        <v>0</v>
      </c>
      <c r="AF787" s="2">
        <f t="shared" si="281"/>
        <v>2850589.9999999995</v>
      </c>
      <c r="AG787" s="38" t="s">
        <v>486</v>
      </c>
      <c r="AH787" s="29" t="s">
        <v>1797</v>
      </c>
      <c r="AI787" s="30">
        <v>0</v>
      </c>
      <c r="AJ787" s="30">
        <v>0</v>
      </c>
    </row>
    <row r="788" spans="1:36" s="179" customFormat="1" ht="315.75" customHeight="1" x14ac:dyDescent="0.25">
      <c r="A788" s="6">
        <v>785</v>
      </c>
      <c r="B788" s="11">
        <v>126949</v>
      </c>
      <c r="C788" s="11">
        <v>625</v>
      </c>
      <c r="D788" s="11" t="s">
        <v>144</v>
      </c>
      <c r="E788" s="24" t="s">
        <v>1151</v>
      </c>
      <c r="F788" s="27" t="s">
        <v>1152</v>
      </c>
      <c r="G788" s="11" t="s">
        <v>104</v>
      </c>
      <c r="H788" s="11" t="s">
        <v>1362</v>
      </c>
      <c r="I788" s="32" t="s">
        <v>1154</v>
      </c>
      <c r="J788" s="25">
        <v>43656</v>
      </c>
      <c r="K788" s="25">
        <v>45270</v>
      </c>
      <c r="L788" s="26">
        <f t="shared" si="273"/>
        <v>83.983862833823082</v>
      </c>
      <c r="M788" s="27" t="s">
        <v>136</v>
      </c>
      <c r="N788" s="11" t="s">
        <v>261</v>
      </c>
      <c r="O788" s="11" t="s">
        <v>137</v>
      </c>
      <c r="P788" s="15" t="s">
        <v>138</v>
      </c>
      <c r="Q788" s="11" t="s">
        <v>34</v>
      </c>
      <c r="R788" s="2">
        <f t="shared" si="285"/>
        <v>82900494.250000015</v>
      </c>
      <c r="S788" s="2">
        <v>66852025.910000011</v>
      </c>
      <c r="T788" s="2">
        <v>16048468.340000004</v>
      </c>
      <c r="U788" s="2">
        <f t="shared" si="282"/>
        <v>325867.2</v>
      </c>
      <c r="V788" s="28">
        <v>240818.61000000002</v>
      </c>
      <c r="W788" s="28">
        <v>85048.59</v>
      </c>
      <c r="X788" s="2">
        <f t="shared" si="284"/>
        <v>15483666.23</v>
      </c>
      <c r="Y788" s="2">
        <v>11556597.710000001</v>
      </c>
      <c r="Z788" s="2">
        <v>3927068.52</v>
      </c>
      <c r="AA788" s="2">
        <f t="shared" ref="AA788:AA798" si="286">AB788+AC788</f>
        <v>0</v>
      </c>
      <c r="AB788" s="2">
        <v>0</v>
      </c>
      <c r="AC788" s="2">
        <v>0</v>
      </c>
      <c r="AD788" s="16">
        <f t="shared" si="283"/>
        <v>98710027.680000022</v>
      </c>
      <c r="AE788" s="37">
        <v>93474.39</v>
      </c>
      <c r="AF788" s="2">
        <f t="shared" si="281"/>
        <v>98803502.070000023</v>
      </c>
      <c r="AG788" s="38" t="s">
        <v>486</v>
      </c>
      <c r="AH788" s="29" t="s">
        <v>3189</v>
      </c>
      <c r="AI788" s="30">
        <f>6062646.43+1213960.56+10776298+1604453.75+3219083.32+9956448.42+3077.08</f>
        <v>32835967.560000002</v>
      </c>
      <c r="AJ788" s="30">
        <f>1813.69+1983.14+8177.86+893.39+2319.81</f>
        <v>15187.889999999998</v>
      </c>
    </row>
    <row r="789" spans="1:36" s="179" customFormat="1" ht="141.75" x14ac:dyDescent="0.25">
      <c r="A789" s="6">
        <v>786</v>
      </c>
      <c r="B789" s="11">
        <v>127610</v>
      </c>
      <c r="C789" s="11">
        <v>583</v>
      </c>
      <c r="D789" s="11" t="s">
        <v>143</v>
      </c>
      <c r="E789" s="24" t="s">
        <v>979</v>
      </c>
      <c r="F789" s="27" t="s">
        <v>1160</v>
      </c>
      <c r="G789" s="11" t="s">
        <v>1161</v>
      </c>
      <c r="H789" s="27" t="s">
        <v>1351</v>
      </c>
      <c r="I789" s="32" t="s">
        <v>3008</v>
      </c>
      <c r="J789" s="25">
        <v>43658</v>
      </c>
      <c r="K789" s="25">
        <v>45272</v>
      </c>
      <c r="L789" s="26">
        <f t="shared" si="273"/>
        <v>83.983862997027984</v>
      </c>
      <c r="M789" s="27" t="s">
        <v>136</v>
      </c>
      <c r="N789" s="11" t="s">
        <v>261</v>
      </c>
      <c r="O789" s="11" t="s">
        <v>137</v>
      </c>
      <c r="P789" s="15" t="s">
        <v>138</v>
      </c>
      <c r="Q789" s="11" t="s">
        <v>34</v>
      </c>
      <c r="R789" s="2">
        <f t="shared" si="285"/>
        <v>7876805.3499999996</v>
      </c>
      <c r="S789" s="2">
        <v>6351957.2399999993</v>
      </c>
      <c r="T789" s="2">
        <v>1524848.1099999999</v>
      </c>
      <c r="U789" s="2">
        <f t="shared" si="282"/>
        <v>1304201.51</v>
      </c>
      <c r="V789" s="28">
        <v>963815.87999999989</v>
      </c>
      <c r="W789" s="28">
        <v>340385.63000000006</v>
      </c>
      <c r="X789" s="2">
        <f t="shared" si="284"/>
        <v>197944.13</v>
      </c>
      <c r="Y789" s="2">
        <v>157117.74</v>
      </c>
      <c r="Z789" s="2">
        <v>40826.39</v>
      </c>
      <c r="AA789" s="2">
        <f t="shared" si="286"/>
        <v>0</v>
      </c>
      <c r="AB789" s="2">
        <v>0</v>
      </c>
      <c r="AC789" s="2">
        <v>0</v>
      </c>
      <c r="AD789" s="16">
        <f t="shared" si="283"/>
        <v>9378950.9900000002</v>
      </c>
      <c r="AE789" s="37">
        <v>0</v>
      </c>
      <c r="AF789" s="2">
        <f t="shared" si="281"/>
        <v>9378950.9900000002</v>
      </c>
      <c r="AG789" s="38" t="s">
        <v>486</v>
      </c>
      <c r="AH789" s="29" t="s">
        <v>3275</v>
      </c>
      <c r="AI789" s="30">
        <f>393577.05+357286.8+354740.03+553936.93+315710.18+383572.03+370302.01+1222029.37+1228222.47</f>
        <v>5179376.87</v>
      </c>
      <c r="AJ789" s="30">
        <f>65684.38+59627.88+57903.71+90282.23+52034.76+61939.89+61800.01+202836.81+204979.08</f>
        <v>857088.75</v>
      </c>
    </row>
    <row r="790" spans="1:36" s="179" customFormat="1" ht="204.75" x14ac:dyDescent="0.25">
      <c r="A790" s="6">
        <v>787</v>
      </c>
      <c r="B790" s="11">
        <v>127961</v>
      </c>
      <c r="C790" s="11">
        <v>609</v>
      </c>
      <c r="D790" s="11" t="s">
        <v>143</v>
      </c>
      <c r="E790" s="24" t="s">
        <v>979</v>
      </c>
      <c r="F790" s="27" t="s">
        <v>1162</v>
      </c>
      <c r="G790" s="11" t="s">
        <v>117</v>
      </c>
      <c r="H790" s="11" t="s">
        <v>1163</v>
      </c>
      <c r="I790" s="32" t="s">
        <v>1164</v>
      </c>
      <c r="J790" s="25">
        <v>43662</v>
      </c>
      <c r="K790" s="25">
        <v>44911</v>
      </c>
      <c r="L790" s="26">
        <f t="shared" si="273"/>
        <v>83.659541944831759</v>
      </c>
      <c r="M790" s="27" t="s">
        <v>136</v>
      </c>
      <c r="N790" s="11" t="s">
        <v>261</v>
      </c>
      <c r="O790" s="11" t="s">
        <v>137</v>
      </c>
      <c r="P790" s="15" t="s">
        <v>138</v>
      </c>
      <c r="Q790" s="11" t="s">
        <v>34</v>
      </c>
      <c r="R790" s="2">
        <f t="shared" si="285"/>
        <v>19839980.340000004</v>
      </c>
      <c r="S790" s="2">
        <v>15999215.570000004</v>
      </c>
      <c r="T790" s="2">
        <v>3840764.7699999996</v>
      </c>
      <c r="U790" s="2">
        <f t="shared" si="282"/>
        <v>1684738.4299999997</v>
      </c>
      <c r="V790" s="28">
        <v>1250220.1999999997</v>
      </c>
      <c r="W790" s="28">
        <v>434518.22999999986</v>
      </c>
      <c r="X790" s="2">
        <f t="shared" si="284"/>
        <v>2098843.63</v>
      </c>
      <c r="Y790" s="2">
        <v>1573170.7</v>
      </c>
      <c r="Z790" s="2">
        <v>525672.93000000005</v>
      </c>
      <c r="AA790" s="2">
        <f t="shared" si="286"/>
        <v>91581</v>
      </c>
      <c r="AB790" s="2">
        <v>72969.23</v>
      </c>
      <c r="AC790" s="2">
        <v>18611.77</v>
      </c>
      <c r="AD790" s="16">
        <f t="shared" si="283"/>
        <v>23715143.400000002</v>
      </c>
      <c r="AE790" s="37">
        <v>144456</v>
      </c>
      <c r="AF790" s="2">
        <f t="shared" si="281"/>
        <v>23859599.400000002</v>
      </c>
      <c r="AG790" s="38" t="s">
        <v>486</v>
      </c>
      <c r="AH790" s="29" t="s">
        <v>3296</v>
      </c>
      <c r="AI790" s="30">
        <f>3893336.98+600000+670747.21+1225083.24+1175586.01+1095417.62+478619.58+208703.31+92292.05+157820.77</f>
        <v>9597606.7700000014</v>
      </c>
      <c r="AJ790" s="30">
        <f>600505.24+218404.22+200005.37+195152.46+66047.42+78592.57+25176.13+7419.41+19047.18</f>
        <v>1410349.9999999998</v>
      </c>
    </row>
    <row r="791" spans="1:36" s="179" customFormat="1" ht="141.75" x14ac:dyDescent="0.25">
      <c r="A791" s="6">
        <v>788</v>
      </c>
      <c r="B791" s="11">
        <v>129745</v>
      </c>
      <c r="C791" s="11">
        <v>745</v>
      </c>
      <c r="D791" s="11" t="s">
        <v>146</v>
      </c>
      <c r="E791" s="24" t="s">
        <v>1168</v>
      </c>
      <c r="F791" s="27" t="s">
        <v>1170</v>
      </c>
      <c r="G791" s="11" t="s">
        <v>1169</v>
      </c>
      <c r="H791" s="8" t="s">
        <v>151</v>
      </c>
      <c r="I791" s="32" t="s">
        <v>1171</v>
      </c>
      <c r="J791" s="25">
        <v>43663</v>
      </c>
      <c r="K791" s="25">
        <v>44943</v>
      </c>
      <c r="L791" s="26">
        <f t="shared" si="273"/>
        <v>83.983862931897576</v>
      </c>
      <c r="M791" s="27" t="s">
        <v>136</v>
      </c>
      <c r="N791" s="11" t="s">
        <v>261</v>
      </c>
      <c r="O791" s="11" t="s">
        <v>137</v>
      </c>
      <c r="P791" s="15" t="s">
        <v>138</v>
      </c>
      <c r="Q791" s="11" t="s">
        <v>34</v>
      </c>
      <c r="R791" s="2">
        <f t="shared" si="285"/>
        <v>20432953.940000001</v>
      </c>
      <c r="S791" s="2">
        <v>16477397.160000002</v>
      </c>
      <c r="T791" s="2">
        <v>3955556.7800000007</v>
      </c>
      <c r="U791" s="2">
        <f t="shared" si="282"/>
        <v>0</v>
      </c>
      <c r="V791" s="28">
        <v>0</v>
      </c>
      <c r="W791" s="28">
        <v>0</v>
      </c>
      <c r="X791" s="2">
        <f t="shared" si="284"/>
        <v>3896665.14</v>
      </c>
      <c r="Y791" s="2">
        <v>2907775.91</v>
      </c>
      <c r="Z791" s="2">
        <v>988889.23</v>
      </c>
      <c r="AA791" s="2">
        <f t="shared" si="286"/>
        <v>0</v>
      </c>
      <c r="AB791" s="2">
        <v>0</v>
      </c>
      <c r="AC791" s="2">
        <v>0</v>
      </c>
      <c r="AD791" s="16">
        <f t="shared" si="283"/>
        <v>24329619.080000002</v>
      </c>
      <c r="AE791" s="37">
        <v>1520052.49</v>
      </c>
      <c r="AF791" s="2">
        <f t="shared" si="281"/>
        <v>25849671.57</v>
      </c>
      <c r="AG791" s="38" t="s">
        <v>486</v>
      </c>
      <c r="AH791" s="29" t="s">
        <v>2241</v>
      </c>
      <c r="AI791" s="30">
        <f>199741.38+44946.79+2168542.7+2942194.64+5111233.94+2463319.11</f>
        <v>12929978.559999999</v>
      </c>
      <c r="AJ791" s="30">
        <v>0</v>
      </c>
    </row>
    <row r="792" spans="1:36" s="179" customFormat="1" ht="141.75" x14ac:dyDescent="0.25">
      <c r="A792" s="6">
        <v>789</v>
      </c>
      <c r="B792" s="11">
        <v>127604</v>
      </c>
      <c r="C792" s="11">
        <v>587</v>
      </c>
      <c r="D792" s="11" t="s">
        <v>1172</v>
      </c>
      <c r="E792" s="56" t="s">
        <v>979</v>
      </c>
      <c r="F792" s="27" t="s">
        <v>1173</v>
      </c>
      <c r="G792" s="11" t="s">
        <v>1174</v>
      </c>
      <c r="H792" s="8" t="s">
        <v>151</v>
      </c>
      <c r="I792" s="32" t="s">
        <v>3009</v>
      </c>
      <c r="J792" s="25">
        <v>43663</v>
      </c>
      <c r="K792" s="25">
        <v>45124</v>
      </c>
      <c r="L792" s="26">
        <f t="shared" si="273"/>
        <v>83.983862948661653</v>
      </c>
      <c r="M792" s="27" t="s">
        <v>136</v>
      </c>
      <c r="N792" s="11" t="s">
        <v>261</v>
      </c>
      <c r="O792" s="11" t="s">
        <v>137</v>
      </c>
      <c r="P792" s="15" t="s">
        <v>138</v>
      </c>
      <c r="Q792" s="11" t="s">
        <v>34</v>
      </c>
      <c r="R792" s="2">
        <f t="shared" si="285"/>
        <v>8022963.2600000007</v>
      </c>
      <c r="S792" s="2">
        <v>6469820.9200000009</v>
      </c>
      <c r="T792" s="2">
        <v>1553142.3399999999</v>
      </c>
      <c r="U792" s="2">
        <f t="shared" si="282"/>
        <v>1338959.0399999996</v>
      </c>
      <c r="V792" s="28">
        <v>989501.9099999998</v>
      </c>
      <c r="W792" s="28">
        <v>349457.12999999989</v>
      </c>
      <c r="X792" s="2">
        <f t="shared" si="284"/>
        <v>191059.63999999998</v>
      </c>
      <c r="Y792" s="2">
        <v>152231.12</v>
      </c>
      <c r="Z792" s="2">
        <v>38828.519999999997</v>
      </c>
      <c r="AA792" s="2">
        <f t="shared" si="286"/>
        <v>0</v>
      </c>
      <c r="AB792" s="2">
        <v>0</v>
      </c>
      <c r="AC792" s="2">
        <v>0</v>
      </c>
      <c r="AD792" s="16">
        <f t="shared" si="283"/>
        <v>9552981.9400000013</v>
      </c>
      <c r="AE792" s="37">
        <v>0</v>
      </c>
      <c r="AF792" s="2">
        <f t="shared" si="281"/>
        <v>9552981.9400000013</v>
      </c>
      <c r="AG792" s="38" t="s">
        <v>486</v>
      </c>
      <c r="AH792" s="29" t="s">
        <v>3186</v>
      </c>
      <c r="AI792" s="30">
        <f>729184.89+95917.97+120762.01+115641.58+1026419.93+305742.66+206945.91+1054673.91+771038.97+866974.12</f>
        <v>5293301.95</v>
      </c>
      <c r="AJ792" s="30">
        <f>121694.28+16007.83+20154.08+19299.52+171300.07+51025.63+34537.39+176015.41+128679.33+144690.07</f>
        <v>883403.6100000001</v>
      </c>
    </row>
    <row r="793" spans="1:36" s="179" customFormat="1" ht="141.75" x14ac:dyDescent="0.25">
      <c r="A793" s="6">
        <v>790</v>
      </c>
      <c r="B793" s="11">
        <v>127638</v>
      </c>
      <c r="C793" s="11">
        <v>607</v>
      </c>
      <c r="D793" s="11" t="s">
        <v>1172</v>
      </c>
      <c r="E793" s="56" t="s">
        <v>979</v>
      </c>
      <c r="F793" s="27" t="s">
        <v>1178</v>
      </c>
      <c r="G793" s="27" t="s">
        <v>1346</v>
      </c>
      <c r="H793" s="11" t="s">
        <v>1224</v>
      </c>
      <c r="I793" s="32" t="s">
        <v>3010</v>
      </c>
      <c r="J793" s="25">
        <v>43670</v>
      </c>
      <c r="K793" s="25">
        <v>44766</v>
      </c>
      <c r="L793" s="26">
        <f t="shared" ref="L793:L845" si="287">R793/AD793*100</f>
        <v>83.983862864065983</v>
      </c>
      <c r="M793" s="27" t="s">
        <v>136</v>
      </c>
      <c r="N793" s="11" t="s">
        <v>261</v>
      </c>
      <c r="O793" s="11" t="s">
        <v>137</v>
      </c>
      <c r="P793" s="15" t="s">
        <v>138</v>
      </c>
      <c r="Q793" s="11" t="s">
        <v>34</v>
      </c>
      <c r="R793" s="2">
        <f t="shared" si="285"/>
        <v>17926249.02</v>
      </c>
      <c r="S793" s="2">
        <v>14455958</v>
      </c>
      <c r="T793" s="2">
        <v>3470291.02</v>
      </c>
      <c r="U793" s="2">
        <f t="shared" si="282"/>
        <v>1799975.77</v>
      </c>
      <c r="V793" s="28">
        <v>1330197.26</v>
      </c>
      <c r="W793" s="28">
        <v>469778.51</v>
      </c>
      <c r="X793" s="2">
        <f t="shared" si="284"/>
        <v>1618648.39</v>
      </c>
      <c r="Y793" s="2">
        <v>1220854.1599999999</v>
      </c>
      <c r="Z793" s="2">
        <v>397794.23</v>
      </c>
      <c r="AA793" s="2">
        <f t="shared" si="286"/>
        <v>0</v>
      </c>
      <c r="AB793" s="2">
        <v>0</v>
      </c>
      <c r="AC793" s="2">
        <v>0</v>
      </c>
      <c r="AD793" s="16">
        <f t="shared" si="283"/>
        <v>21344873.18</v>
      </c>
      <c r="AE793" s="37">
        <v>0</v>
      </c>
      <c r="AF793" s="2">
        <f t="shared" ref="AF793:AF798" si="288">AD793+AE793</f>
        <v>21344873.18</v>
      </c>
      <c r="AG793" s="38" t="s">
        <v>857</v>
      </c>
      <c r="AH793" s="29" t="s">
        <v>151</v>
      </c>
      <c r="AI793" s="30">
        <f>1253535.02+958175.23+986010.03+1413603.49+1541889.98+1203331.37+2085605.8+2041528.28+1082195.91+1042056.65</f>
        <v>13607931.76</v>
      </c>
      <c r="AJ793" s="30">
        <f>16365.18+65426.77+64307.58+61461.32+88364.69+105947.71+83736.75+222388.59+257281.88+106996.1+102790.43</f>
        <v>1175067</v>
      </c>
    </row>
    <row r="794" spans="1:36" s="179" customFormat="1" ht="154.5" customHeight="1" x14ac:dyDescent="0.25">
      <c r="A794" s="6">
        <v>791</v>
      </c>
      <c r="B794" s="11">
        <v>126229</v>
      </c>
      <c r="C794" s="11">
        <v>639</v>
      </c>
      <c r="D794" s="11" t="s">
        <v>145</v>
      </c>
      <c r="E794" s="56" t="s">
        <v>1179</v>
      </c>
      <c r="F794" s="27" t="s">
        <v>1180</v>
      </c>
      <c r="G794" s="11" t="s">
        <v>99</v>
      </c>
      <c r="H794" s="11" t="s">
        <v>1181</v>
      </c>
      <c r="I794" s="32" t="s">
        <v>1182</v>
      </c>
      <c r="J794" s="25">
        <v>43670</v>
      </c>
      <c r="K794" s="25">
        <v>45131</v>
      </c>
      <c r="L794" s="26">
        <f t="shared" si="287"/>
        <v>83.98386251323501</v>
      </c>
      <c r="M794" s="27" t="s">
        <v>136</v>
      </c>
      <c r="N794" s="11" t="s">
        <v>261</v>
      </c>
      <c r="O794" s="11" t="s">
        <v>137</v>
      </c>
      <c r="P794" s="15" t="s">
        <v>138</v>
      </c>
      <c r="Q794" s="11" t="s">
        <v>34</v>
      </c>
      <c r="R794" s="2">
        <f t="shared" si="285"/>
        <v>4825816.88</v>
      </c>
      <c r="S794" s="2">
        <v>3891600.89</v>
      </c>
      <c r="T794" s="2">
        <v>934215.99</v>
      </c>
      <c r="U794" s="2">
        <f t="shared" si="282"/>
        <v>0</v>
      </c>
      <c r="V794" s="28">
        <v>0</v>
      </c>
      <c r="W794" s="28">
        <v>0</v>
      </c>
      <c r="X794" s="2">
        <f t="shared" si="284"/>
        <v>920307.12</v>
      </c>
      <c r="Y794" s="2">
        <v>686753.08</v>
      </c>
      <c r="Z794" s="2">
        <v>233554.04</v>
      </c>
      <c r="AA794" s="2">
        <f t="shared" si="286"/>
        <v>0</v>
      </c>
      <c r="AB794" s="2">
        <v>0</v>
      </c>
      <c r="AC794" s="2">
        <v>0</v>
      </c>
      <c r="AD794" s="16">
        <f t="shared" si="283"/>
        <v>5746124</v>
      </c>
      <c r="AE794" s="37">
        <v>0</v>
      </c>
      <c r="AF794" s="37">
        <f t="shared" si="288"/>
        <v>5746124</v>
      </c>
      <c r="AG794" s="38" t="s">
        <v>486</v>
      </c>
      <c r="AH794" s="29" t="s">
        <v>2476</v>
      </c>
      <c r="AI794" s="172">
        <f>145280.83+37694.12+28968.97+15635.27+94474.87+29236.46+15273.3+12464.88+61117.57+28298.36+8035.58</f>
        <v>476480.20999999996</v>
      </c>
      <c r="AJ794" s="172">
        <v>0</v>
      </c>
    </row>
    <row r="795" spans="1:36" s="179" customFormat="1" ht="154.5" customHeight="1" x14ac:dyDescent="0.25">
      <c r="A795" s="6">
        <v>792</v>
      </c>
      <c r="B795" s="11">
        <v>127545</v>
      </c>
      <c r="C795" s="11">
        <v>613</v>
      </c>
      <c r="D795" s="11" t="s">
        <v>143</v>
      </c>
      <c r="E795" s="56" t="s">
        <v>979</v>
      </c>
      <c r="F795" s="27" t="s">
        <v>1190</v>
      </c>
      <c r="G795" s="27" t="s">
        <v>74</v>
      </c>
      <c r="H795" s="11" t="s">
        <v>1191</v>
      </c>
      <c r="I795" s="32" t="s">
        <v>3011</v>
      </c>
      <c r="J795" s="25">
        <v>43677</v>
      </c>
      <c r="K795" s="25">
        <v>45138</v>
      </c>
      <c r="L795" s="26">
        <f t="shared" si="287"/>
        <v>83.484031375794231</v>
      </c>
      <c r="M795" s="27" t="s">
        <v>136</v>
      </c>
      <c r="N795" s="11" t="s">
        <v>261</v>
      </c>
      <c r="O795" s="11" t="s">
        <v>137</v>
      </c>
      <c r="P795" s="15" t="s">
        <v>138</v>
      </c>
      <c r="Q795" s="11" t="s">
        <v>34</v>
      </c>
      <c r="R795" s="2">
        <f t="shared" si="285"/>
        <v>20871001.039999999</v>
      </c>
      <c r="S795" s="2">
        <v>16830644</v>
      </c>
      <c r="T795" s="2">
        <v>4040357.04</v>
      </c>
      <c r="U795" s="2">
        <f t="shared" si="282"/>
        <v>1167673.8599999999</v>
      </c>
      <c r="V795" s="28">
        <v>871343.51</v>
      </c>
      <c r="W795" s="28">
        <v>296330.34999999998</v>
      </c>
      <c r="X795" s="2">
        <f t="shared" si="284"/>
        <v>2812529.02</v>
      </c>
      <c r="Y795" s="2">
        <v>2098770.06</v>
      </c>
      <c r="Z795" s="2">
        <v>713758.96</v>
      </c>
      <c r="AA795" s="2">
        <f t="shared" si="286"/>
        <v>148787.93</v>
      </c>
      <c r="AB795" s="2">
        <v>118550.13</v>
      </c>
      <c r="AC795" s="2">
        <v>30237.8</v>
      </c>
      <c r="AD795" s="16">
        <f t="shared" si="283"/>
        <v>24999991.849999998</v>
      </c>
      <c r="AE795" s="37">
        <v>0</v>
      </c>
      <c r="AF795" s="37">
        <f t="shared" si="288"/>
        <v>24999991.849999998</v>
      </c>
      <c r="AG795" s="38" t="s">
        <v>486</v>
      </c>
      <c r="AH795" s="29" t="s">
        <v>1872</v>
      </c>
      <c r="AI795" s="30">
        <f>2441026.11+1058725.31+1022971.17+454217.09+657211.52-100086.86+1278335.91+1000077.5+633864.98+505124.39+446848.64-97241.55+2032691.16-97752.91+1364370.77+610340.08-77956.18+1305164.34</f>
        <v>14437931.469999999</v>
      </c>
      <c r="AJ795" s="30">
        <f>75306.49+85584.09+86633.56+94084.22+105259.9+100086.86+101520.68+71567.89+97241.55+97752.91+77956.18</f>
        <v>992994.33000000007</v>
      </c>
    </row>
    <row r="796" spans="1:36" s="179" customFormat="1" ht="154.5" customHeight="1" x14ac:dyDescent="0.25">
      <c r="A796" s="6">
        <v>793</v>
      </c>
      <c r="B796" s="31">
        <v>127380</v>
      </c>
      <c r="C796" s="31">
        <v>577</v>
      </c>
      <c r="D796" s="11" t="s">
        <v>143</v>
      </c>
      <c r="E796" s="56" t="s">
        <v>979</v>
      </c>
      <c r="F796" s="67" t="s">
        <v>1193</v>
      </c>
      <c r="G796" s="27" t="s">
        <v>1348</v>
      </c>
      <c r="H796" s="8" t="s">
        <v>151</v>
      </c>
      <c r="I796" s="32" t="s">
        <v>3012</v>
      </c>
      <c r="J796" s="25">
        <v>43679</v>
      </c>
      <c r="K796" s="25">
        <v>44836</v>
      </c>
      <c r="L796" s="26">
        <f t="shared" si="287"/>
        <v>83.983862948260466</v>
      </c>
      <c r="M796" s="27" t="s">
        <v>136</v>
      </c>
      <c r="N796" s="11" t="s">
        <v>261</v>
      </c>
      <c r="O796" s="11" t="s">
        <v>137</v>
      </c>
      <c r="P796" s="15" t="s">
        <v>138</v>
      </c>
      <c r="Q796" s="11" t="s">
        <v>34</v>
      </c>
      <c r="R796" s="2">
        <f t="shared" si="285"/>
        <v>7020649.5500000007</v>
      </c>
      <c r="S796" s="2">
        <v>5661542.1600000001</v>
      </c>
      <c r="T796" s="2">
        <v>1359107.3900000004</v>
      </c>
      <c r="U796" s="2">
        <f t="shared" si="282"/>
        <v>0</v>
      </c>
      <c r="V796" s="28">
        <v>0</v>
      </c>
      <c r="W796" s="28">
        <v>0</v>
      </c>
      <c r="X796" s="2">
        <f t="shared" si="284"/>
        <v>1338872.51</v>
      </c>
      <c r="Y796" s="2">
        <v>999095.7</v>
      </c>
      <c r="Z796" s="2">
        <v>339776.81</v>
      </c>
      <c r="AA796" s="2">
        <f t="shared" si="286"/>
        <v>0</v>
      </c>
      <c r="AB796" s="2">
        <v>0</v>
      </c>
      <c r="AC796" s="2">
        <v>0</v>
      </c>
      <c r="AD796" s="16">
        <f t="shared" si="283"/>
        <v>8359522.0600000005</v>
      </c>
      <c r="AE796" s="37">
        <v>0</v>
      </c>
      <c r="AF796" s="37">
        <f t="shared" si="288"/>
        <v>8359522.0600000005</v>
      </c>
      <c r="AG796" s="38" t="s">
        <v>486</v>
      </c>
      <c r="AH796" s="29" t="s">
        <v>2075</v>
      </c>
      <c r="AI796" s="173">
        <f>763188.96+122256.99+52534.43+742881.78+974677.25+895732.41+52534.43+813428.22+52534.43+773502.3</f>
        <v>5243271.2</v>
      </c>
      <c r="AJ796" s="173">
        <v>0</v>
      </c>
    </row>
    <row r="797" spans="1:36" s="179" customFormat="1" ht="154.5" customHeight="1" x14ac:dyDescent="0.25">
      <c r="A797" s="6">
        <v>794</v>
      </c>
      <c r="B797" s="31">
        <v>127401</v>
      </c>
      <c r="C797" s="31">
        <v>599</v>
      </c>
      <c r="D797" s="174" t="s">
        <v>143</v>
      </c>
      <c r="E797" s="174" t="s">
        <v>979</v>
      </c>
      <c r="F797" s="67" t="s">
        <v>1194</v>
      </c>
      <c r="G797" s="27" t="s">
        <v>2015</v>
      </c>
      <c r="H797" s="8" t="s">
        <v>151</v>
      </c>
      <c r="I797" s="32" t="s">
        <v>3013</v>
      </c>
      <c r="J797" s="25">
        <v>43677</v>
      </c>
      <c r="K797" s="25">
        <v>45291</v>
      </c>
      <c r="L797" s="26">
        <f t="shared" si="287"/>
        <v>83.983862769687562</v>
      </c>
      <c r="M797" s="27" t="s">
        <v>136</v>
      </c>
      <c r="N797" s="11" t="s">
        <v>261</v>
      </c>
      <c r="O797" s="11" t="s">
        <v>137</v>
      </c>
      <c r="P797" s="15" t="s">
        <v>138</v>
      </c>
      <c r="Q797" s="11" t="s">
        <v>34</v>
      </c>
      <c r="R797" s="2">
        <f t="shared" si="285"/>
        <v>3643193.6799999992</v>
      </c>
      <c r="S797" s="2">
        <v>2937918.2999999993</v>
      </c>
      <c r="T797" s="2">
        <v>705275.38</v>
      </c>
      <c r="U797" s="2">
        <f t="shared" si="282"/>
        <v>0</v>
      </c>
      <c r="V797" s="28">
        <v>0</v>
      </c>
      <c r="W797" s="28">
        <v>0</v>
      </c>
      <c r="X797" s="2">
        <f t="shared" si="284"/>
        <v>694775.02</v>
      </c>
      <c r="Y797" s="2">
        <v>518456.16</v>
      </c>
      <c r="Z797" s="2">
        <v>176318.86</v>
      </c>
      <c r="AA797" s="2">
        <f t="shared" si="286"/>
        <v>0</v>
      </c>
      <c r="AB797" s="2">
        <v>0</v>
      </c>
      <c r="AC797" s="2">
        <v>0</v>
      </c>
      <c r="AD797" s="16">
        <f t="shared" si="283"/>
        <v>4337968.6999999993</v>
      </c>
      <c r="AE797" s="37">
        <v>0</v>
      </c>
      <c r="AF797" s="37">
        <f t="shared" si="288"/>
        <v>4337968.6999999993</v>
      </c>
      <c r="AG797" s="38" t="s">
        <v>486</v>
      </c>
      <c r="AH797" s="29" t="s">
        <v>2065</v>
      </c>
      <c r="AI797" s="173">
        <f>69137.6+3347.53+168654.25</f>
        <v>241139.38</v>
      </c>
      <c r="AJ797" s="173">
        <v>0</v>
      </c>
    </row>
    <row r="798" spans="1:36" s="179" customFormat="1" ht="267.75" x14ac:dyDescent="0.25">
      <c r="A798" s="6">
        <v>795</v>
      </c>
      <c r="B798" s="31">
        <v>126656</v>
      </c>
      <c r="C798" s="31">
        <v>588</v>
      </c>
      <c r="D798" s="11" t="s">
        <v>143</v>
      </c>
      <c r="E798" s="174" t="s">
        <v>979</v>
      </c>
      <c r="F798" s="67" t="s">
        <v>1198</v>
      </c>
      <c r="G798" s="11" t="s">
        <v>1397</v>
      </c>
      <c r="H798" s="11" t="s">
        <v>1199</v>
      </c>
      <c r="I798" s="32" t="s">
        <v>3014</v>
      </c>
      <c r="J798" s="25">
        <v>43679</v>
      </c>
      <c r="K798" s="25">
        <v>44897</v>
      </c>
      <c r="L798" s="26">
        <f t="shared" si="287"/>
        <v>83.983863236326329</v>
      </c>
      <c r="M798" s="27" t="s">
        <v>136</v>
      </c>
      <c r="N798" s="11" t="s">
        <v>261</v>
      </c>
      <c r="O798" s="11" t="s">
        <v>137</v>
      </c>
      <c r="P798" s="15" t="s">
        <v>138</v>
      </c>
      <c r="Q798" s="11" t="s">
        <v>34</v>
      </c>
      <c r="R798" s="2">
        <f t="shared" si="285"/>
        <v>15554651.309999999</v>
      </c>
      <c r="S798" s="2">
        <v>12543471.059999999</v>
      </c>
      <c r="T798" s="2">
        <v>3011180.2500000009</v>
      </c>
      <c r="U798" s="2">
        <f t="shared" si="282"/>
        <v>350403.41000000003</v>
      </c>
      <c r="V798" s="28">
        <v>258951.08000000002</v>
      </c>
      <c r="W798" s="28">
        <v>91452.33</v>
      </c>
      <c r="X798" s="2">
        <f t="shared" si="284"/>
        <v>2615945.2800000003</v>
      </c>
      <c r="Y798" s="2">
        <v>1954602.59</v>
      </c>
      <c r="Z798" s="2">
        <v>661342.68999999994</v>
      </c>
      <c r="AA798" s="2">
        <f t="shared" si="286"/>
        <v>0</v>
      </c>
      <c r="AB798" s="2">
        <v>0</v>
      </c>
      <c r="AC798" s="2">
        <v>0</v>
      </c>
      <c r="AD798" s="16">
        <f t="shared" si="283"/>
        <v>18521000</v>
      </c>
      <c r="AE798" s="37">
        <v>0</v>
      </c>
      <c r="AF798" s="37">
        <f t="shared" si="288"/>
        <v>18521000</v>
      </c>
      <c r="AG798" s="38" t="s">
        <v>486</v>
      </c>
      <c r="AH798" s="175" t="s">
        <v>2477</v>
      </c>
      <c r="AI798" s="176">
        <f>2878878.12+420598.37+575376.98+8321784.61+46957.9+206199.7+301714.27</f>
        <v>12751509.949999999</v>
      </c>
      <c r="AJ798" s="176">
        <f>23069.09+56020.34+56397.11+34412.84+50353.34</f>
        <v>220252.71999999997</v>
      </c>
    </row>
    <row r="799" spans="1:36" s="179" customFormat="1" ht="141.75" x14ac:dyDescent="0.25">
      <c r="A799" s="6">
        <v>796</v>
      </c>
      <c r="B799" s="31">
        <v>127529</v>
      </c>
      <c r="C799" s="31">
        <v>618</v>
      </c>
      <c r="D799" s="11" t="s">
        <v>143</v>
      </c>
      <c r="E799" s="174" t="s">
        <v>979</v>
      </c>
      <c r="F799" s="67" t="s">
        <v>1209</v>
      </c>
      <c r="G799" s="27" t="s">
        <v>1348</v>
      </c>
      <c r="H799" s="8" t="s">
        <v>151</v>
      </c>
      <c r="I799" s="32" t="s">
        <v>1210</v>
      </c>
      <c r="J799" s="25">
        <v>43683</v>
      </c>
      <c r="K799" s="25">
        <v>45022</v>
      </c>
      <c r="L799" s="26">
        <f t="shared" si="287"/>
        <v>83.983862894119284</v>
      </c>
      <c r="M799" s="27" t="s">
        <v>136</v>
      </c>
      <c r="N799" s="11" t="s">
        <v>261</v>
      </c>
      <c r="O799" s="11" t="s">
        <v>137</v>
      </c>
      <c r="P799" s="15" t="s">
        <v>138</v>
      </c>
      <c r="Q799" s="11" t="s">
        <v>34</v>
      </c>
      <c r="R799" s="2">
        <f t="shared" si="285"/>
        <v>12609023.470000001</v>
      </c>
      <c r="S799" s="2">
        <v>10168078.890000001</v>
      </c>
      <c r="T799" s="2">
        <v>2440944.58</v>
      </c>
      <c r="U799" s="2">
        <v>0</v>
      </c>
      <c r="V799" s="28">
        <v>0</v>
      </c>
      <c r="W799" s="28">
        <v>0</v>
      </c>
      <c r="X799" s="2">
        <f t="shared" si="284"/>
        <v>2404603</v>
      </c>
      <c r="Y799" s="2">
        <v>1794366.83</v>
      </c>
      <c r="Z799" s="2">
        <v>610236.17000000004</v>
      </c>
      <c r="AA799" s="2">
        <v>0</v>
      </c>
      <c r="AB799" s="2">
        <v>0</v>
      </c>
      <c r="AC799" s="2">
        <v>0</v>
      </c>
      <c r="AD799" s="16">
        <f t="shared" si="283"/>
        <v>15013626.470000001</v>
      </c>
      <c r="AE799" s="37">
        <v>0</v>
      </c>
      <c r="AF799" s="37">
        <v>15013626.470000001</v>
      </c>
      <c r="AG799" s="38" t="s">
        <v>486</v>
      </c>
      <c r="AH799" s="175" t="s">
        <v>1964</v>
      </c>
      <c r="AI799" s="173">
        <f>1290323.25+62422.68+65015.25+128450.8+49284.26+52463.06+552743.17+1588802.51+52675.52+52450.46</f>
        <v>3894630.9600000004</v>
      </c>
      <c r="AJ799" s="173">
        <v>0</v>
      </c>
    </row>
    <row r="800" spans="1:36" s="179" customFormat="1" ht="162" customHeight="1" x14ac:dyDescent="0.25">
      <c r="A800" s="6">
        <v>797</v>
      </c>
      <c r="B800" s="31">
        <v>127558</v>
      </c>
      <c r="C800" s="31">
        <v>617</v>
      </c>
      <c r="D800" s="11" t="s">
        <v>143</v>
      </c>
      <c r="E800" s="174" t="s">
        <v>979</v>
      </c>
      <c r="F800" s="67" t="s">
        <v>1216</v>
      </c>
      <c r="G800" s="27" t="s">
        <v>1153</v>
      </c>
      <c r="H800" s="11" t="s">
        <v>1217</v>
      </c>
      <c r="I800" s="32" t="s">
        <v>3015</v>
      </c>
      <c r="J800" s="25">
        <v>43690</v>
      </c>
      <c r="K800" s="25">
        <v>44970</v>
      </c>
      <c r="L800" s="26">
        <f t="shared" si="287"/>
        <v>83.983863362709897</v>
      </c>
      <c r="M800" s="27" t="s">
        <v>136</v>
      </c>
      <c r="N800" s="11" t="s">
        <v>261</v>
      </c>
      <c r="O800" s="11" t="s">
        <v>137</v>
      </c>
      <c r="P800" s="15" t="s">
        <v>138</v>
      </c>
      <c r="Q800" s="11" t="s">
        <v>34</v>
      </c>
      <c r="R800" s="2">
        <f t="shared" ref="R800:R845" si="289">S800+T800</f>
        <v>5192279.45</v>
      </c>
      <c r="S800" s="2">
        <v>4187120.98</v>
      </c>
      <c r="T800" s="2">
        <v>1005158.4699999999</v>
      </c>
      <c r="U800" s="2">
        <f t="shared" ref="U800:U845" si="290">V800+W800</f>
        <v>582523.55999999994</v>
      </c>
      <c r="V800" s="28">
        <v>430489.84999999992</v>
      </c>
      <c r="W800" s="28">
        <v>152033.71</v>
      </c>
      <c r="X800" s="2">
        <f t="shared" ref="X800:X845" si="291">Y800+Z800</f>
        <v>407669.72000000003</v>
      </c>
      <c r="Y800" s="2">
        <v>308413.84000000003</v>
      </c>
      <c r="Z800" s="2">
        <v>99255.88</v>
      </c>
      <c r="AA800" s="2">
        <f t="shared" ref="AA800:AA835" si="292">AB800+AC800</f>
        <v>0</v>
      </c>
      <c r="AB800" s="2">
        <v>0</v>
      </c>
      <c r="AC800" s="2">
        <v>0</v>
      </c>
      <c r="AD800" s="16">
        <f t="shared" si="283"/>
        <v>6182472.7299999995</v>
      </c>
      <c r="AE800" s="37">
        <v>0</v>
      </c>
      <c r="AF800" s="37">
        <f t="shared" ref="AF800:AF845" si="293">AD800+AE800</f>
        <v>6182472.7299999995</v>
      </c>
      <c r="AG800" s="38" t="s">
        <v>486</v>
      </c>
      <c r="AH800" s="175" t="s">
        <v>2388</v>
      </c>
      <c r="AI800" s="30">
        <f>188227.39+57274.01+67960.59-9998.28+9998.28+301092.15+71242.01+126125.29+1594439.52</f>
        <v>2406360.96</v>
      </c>
      <c r="AJ800" s="30">
        <f>3394.43+5680.37+5952.09+43552.5+4161.57+11329.8+199477.23</f>
        <v>273547.99</v>
      </c>
    </row>
    <row r="801" spans="1:36" s="179" customFormat="1" ht="236.25" x14ac:dyDescent="0.25">
      <c r="A801" s="6">
        <v>798</v>
      </c>
      <c r="B801" s="31">
        <v>125764</v>
      </c>
      <c r="C801" s="31">
        <v>586</v>
      </c>
      <c r="D801" s="11" t="s">
        <v>143</v>
      </c>
      <c r="E801" s="174" t="s">
        <v>979</v>
      </c>
      <c r="F801" s="67" t="s">
        <v>1218</v>
      </c>
      <c r="G801" s="27" t="s">
        <v>1353</v>
      </c>
      <c r="H801" s="8" t="s">
        <v>151</v>
      </c>
      <c r="I801" s="32" t="s">
        <v>3016</v>
      </c>
      <c r="J801" s="25">
        <v>43690</v>
      </c>
      <c r="K801" s="25">
        <v>44847</v>
      </c>
      <c r="L801" s="26">
        <f t="shared" si="287"/>
        <v>83.983863083303191</v>
      </c>
      <c r="M801" s="27" t="s">
        <v>136</v>
      </c>
      <c r="N801" s="11" t="s">
        <v>261</v>
      </c>
      <c r="O801" s="11" t="s">
        <v>137</v>
      </c>
      <c r="P801" s="15" t="s">
        <v>138</v>
      </c>
      <c r="Q801" s="11" t="s">
        <v>34</v>
      </c>
      <c r="R801" s="2">
        <f t="shared" si="289"/>
        <v>13100178.379999995</v>
      </c>
      <c r="S801" s="2">
        <v>10564152.539999997</v>
      </c>
      <c r="T801" s="2">
        <v>2536025.8399999989</v>
      </c>
      <c r="U801" s="2">
        <f t="shared" si="290"/>
        <v>0</v>
      </c>
      <c r="V801" s="28">
        <v>0</v>
      </c>
      <c r="W801" s="28">
        <v>0</v>
      </c>
      <c r="X801" s="2">
        <f t="shared" si="291"/>
        <v>2498268.63</v>
      </c>
      <c r="Y801" s="2">
        <v>1864262.14</v>
      </c>
      <c r="Z801" s="2">
        <v>634006.49</v>
      </c>
      <c r="AA801" s="2">
        <f t="shared" si="292"/>
        <v>0</v>
      </c>
      <c r="AB801" s="2">
        <v>0</v>
      </c>
      <c r="AC801" s="2">
        <v>0</v>
      </c>
      <c r="AD801" s="16">
        <f t="shared" si="283"/>
        <v>15598447.009999994</v>
      </c>
      <c r="AE801" s="37">
        <v>0</v>
      </c>
      <c r="AF801" s="37">
        <f t="shared" si="293"/>
        <v>15598447.009999994</v>
      </c>
      <c r="AG801" s="38" t="s">
        <v>486</v>
      </c>
      <c r="AH801" s="175" t="s">
        <v>1775</v>
      </c>
      <c r="AI801" s="30">
        <f>407379.82+60533.9+49990.55+46307.86+30894.3+41391.45+52715.83+137747.67+32200.26</f>
        <v>859161.64</v>
      </c>
      <c r="AJ801" s="30">
        <v>0</v>
      </c>
    </row>
    <row r="802" spans="1:36" s="179" customFormat="1" ht="173.25" x14ac:dyDescent="0.25">
      <c r="A802" s="6">
        <v>799</v>
      </c>
      <c r="B802" s="31">
        <v>127462</v>
      </c>
      <c r="C802" s="31">
        <v>581</v>
      </c>
      <c r="D802" s="11" t="s">
        <v>143</v>
      </c>
      <c r="E802" s="174" t="s">
        <v>979</v>
      </c>
      <c r="F802" s="67" t="s">
        <v>1219</v>
      </c>
      <c r="G802" s="27" t="s">
        <v>1220</v>
      </c>
      <c r="H802" s="11" t="s">
        <v>1221</v>
      </c>
      <c r="I802" s="32" t="s">
        <v>3017</v>
      </c>
      <c r="J802" s="25">
        <v>43690</v>
      </c>
      <c r="K802" s="25">
        <v>44908</v>
      </c>
      <c r="L802" s="26">
        <f t="shared" si="287"/>
        <v>83.81974496254557</v>
      </c>
      <c r="M802" s="27" t="s">
        <v>136</v>
      </c>
      <c r="N802" s="11" t="s">
        <v>261</v>
      </c>
      <c r="O802" s="11" t="s">
        <v>137</v>
      </c>
      <c r="P802" s="15" t="s">
        <v>138</v>
      </c>
      <c r="Q802" s="11" t="s">
        <v>34</v>
      </c>
      <c r="R802" s="2">
        <f t="shared" si="289"/>
        <v>16722840.989999998</v>
      </c>
      <c r="S802" s="2">
        <v>13485514.289999999</v>
      </c>
      <c r="T802" s="2">
        <v>3237326.7</v>
      </c>
      <c r="U802" s="2">
        <f t="shared" si="290"/>
        <v>2829096.54</v>
      </c>
      <c r="V802" s="28">
        <v>2092933.21</v>
      </c>
      <c r="W802" s="28">
        <v>736163.33</v>
      </c>
      <c r="X802" s="2">
        <f t="shared" si="291"/>
        <v>360031.77</v>
      </c>
      <c r="Y802" s="2">
        <v>286863.42</v>
      </c>
      <c r="Z802" s="2">
        <v>73168.350000000006</v>
      </c>
      <c r="AA802" s="2">
        <f t="shared" si="292"/>
        <v>38987.360000000001</v>
      </c>
      <c r="AB802" s="2">
        <v>31064.05</v>
      </c>
      <c r="AC802" s="2">
        <v>7923.31</v>
      </c>
      <c r="AD802" s="16">
        <f t="shared" si="283"/>
        <v>19950956.659999996</v>
      </c>
      <c r="AE802" s="37">
        <v>0</v>
      </c>
      <c r="AF802" s="37">
        <f t="shared" si="293"/>
        <v>19950956.659999996</v>
      </c>
      <c r="AG802" s="38" t="s">
        <v>486</v>
      </c>
      <c r="AH802" s="175" t="s">
        <v>2318</v>
      </c>
      <c r="AI802" s="30">
        <f>645008.07+192434.46+27134.16+264408.25-23366.2+347653.73+109053.81+1470378.13-8332.91+27357.74+12742.03+1108124.28+487120.33+725203.81+1365051.86+84120.76+1223637.22+176630+14907.14+41860.16+439070.31+54522.99+1900124.08</f>
        <v>10684844.209999999</v>
      </c>
      <c r="AJ802" s="30">
        <f>101913.04+12417.88+42350.03+11594.15+23366.2+33672.25+44388.96+222006.36+8332.91+4565.76+2126.53+213660.41+67560.12+121029.87+227814.65+33717.36+204213.84+30323.06+2487.86+6986.08+73276.82+9099.39+317113.3</f>
        <v>1814016.8300000003</v>
      </c>
    </row>
    <row r="803" spans="1:36" s="179" customFormat="1" ht="189" x14ac:dyDescent="0.25">
      <c r="A803" s="6">
        <v>800</v>
      </c>
      <c r="B803" s="11">
        <v>129502</v>
      </c>
      <c r="C803" s="11">
        <v>746</v>
      </c>
      <c r="D803" s="32" t="s">
        <v>146</v>
      </c>
      <c r="E803" s="24" t="s">
        <v>1168</v>
      </c>
      <c r="F803" s="11" t="s">
        <v>1234</v>
      </c>
      <c r="G803" s="11" t="s">
        <v>1233</v>
      </c>
      <c r="H803" s="11" t="s">
        <v>1232</v>
      </c>
      <c r="I803" s="12" t="s">
        <v>1231</v>
      </c>
      <c r="J803" s="25">
        <v>43697</v>
      </c>
      <c r="K803" s="25">
        <v>45219</v>
      </c>
      <c r="L803" s="26">
        <f t="shared" si="287"/>
        <v>83.983862795774542</v>
      </c>
      <c r="M803" s="27" t="s">
        <v>136</v>
      </c>
      <c r="N803" s="11" t="s">
        <v>261</v>
      </c>
      <c r="O803" s="11" t="s">
        <v>137</v>
      </c>
      <c r="P803" s="15" t="s">
        <v>138</v>
      </c>
      <c r="Q803" s="11" t="s">
        <v>34</v>
      </c>
      <c r="R803" s="1">
        <f t="shared" si="289"/>
        <v>16341565.460000003</v>
      </c>
      <c r="S803" s="2">
        <v>13178048.740000002</v>
      </c>
      <c r="T803" s="2">
        <v>3163516.7200000011</v>
      </c>
      <c r="U803" s="1">
        <f t="shared" si="290"/>
        <v>612798.06999999983</v>
      </c>
      <c r="V803" s="28">
        <v>452862.94999999984</v>
      </c>
      <c r="W803" s="28">
        <v>159935.11999999994</v>
      </c>
      <c r="X803" s="1">
        <f t="shared" si="291"/>
        <v>2503619.13</v>
      </c>
      <c r="Y803" s="2">
        <v>1872675.12</v>
      </c>
      <c r="Z803" s="2">
        <v>630944.01</v>
      </c>
      <c r="AA803" s="2">
        <f t="shared" si="292"/>
        <v>0</v>
      </c>
      <c r="AB803" s="2">
        <v>0</v>
      </c>
      <c r="AC803" s="2">
        <v>0</v>
      </c>
      <c r="AD803" s="16">
        <f t="shared" si="283"/>
        <v>19457982.66</v>
      </c>
      <c r="AE803" s="2">
        <v>0</v>
      </c>
      <c r="AF803" s="2">
        <f t="shared" si="293"/>
        <v>19457982.66</v>
      </c>
      <c r="AG803" s="38" t="s">
        <v>486</v>
      </c>
      <c r="AH803" s="29" t="s">
        <v>1993</v>
      </c>
      <c r="AI803" s="30">
        <f>238670.27+559386.55+364853.32+124488.29+243919.75+161861.05+344034.22+790470.77-2972.65+184320+582190.52+350831.72</f>
        <v>3942053.8100000005</v>
      </c>
      <c r="AJ803" s="30">
        <f>2450.84+7846.76+45505.93+412.07+9977.53+11413.05+2096.82+74080.04+2844.14+52901.11+20493.69</f>
        <v>230021.98000000004</v>
      </c>
    </row>
    <row r="804" spans="1:36" s="179" customFormat="1" ht="189" x14ac:dyDescent="0.25">
      <c r="A804" s="6">
        <v>801</v>
      </c>
      <c r="B804" s="11">
        <v>129865</v>
      </c>
      <c r="C804" s="11">
        <v>747</v>
      </c>
      <c r="D804" s="32" t="s">
        <v>146</v>
      </c>
      <c r="E804" s="24" t="s">
        <v>1168</v>
      </c>
      <c r="F804" s="11" t="s">
        <v>1230</v>
      </c>
      <c r="G804" s="11" t="s">
        <v>1229</v>
      </c>
      <c r="H804" s="11" t="s">
        <v>1228</v>
      </c>
      <c r="I804" s="12" t="s">
        <v>1227</v>
      </c>
      <c r="J804" s="25">
        <v>43697</v>
      </c>
      <c r="K804" s="25">
        <v>45158</v>
      </c>
      <c r="L804" s="26">
        <f t="shared" si="287"/>
        <v>83.983862919999993</v>
      </c>
      <c r="M804" s="27" t="s">
        <v>136</v>
      </c>
      <c r="N804" s="11" t="s">
        <v>261</v>
      </c>
      <c r="O804" s="11" t="s">
        <v>137</v>
      </c>
      <c r="P804" s="15" t="s">
        <v>138</v>
      </c>
      <c r="Q804" s="11" t="s">
        <v>34</v>
      </c>
      <c r="R804" s="1">
        <f t="shared" si="289"/>
        <v>20995965.73</v>
      </c>
      <c r="S804" s="2">
        <v>16931417.09</v>
      </c>
      <c r="T804" s="2">
        <v>4064548.6400000006</v>
      </c>
      <c r="U804" s="1">
        <f t="shared" si="290"/>
        <v>517002.47</v>
      </c>
      <c r="V804" s="28">
        <v>382069.14999999997</v>
      </c>
      <c r="W804" s="28">
        <v>134933.31999999998</v>
      </c>
      <c r="X804" s="1">
        <f t="shared" si="291"/>
        <v>3487031.8</v>
      </c>
      <c r="Y804" s="2">
        <v>2605827.96</v>
      </c>
      <c r="Z804" s="2">
        <v>881203.84</v>
      </c>
      <c r="AA804" s="2">
        <f t="shared" si="292"/>
        <v>0</v>
      </c>
      <c r="AB804" s="2">
        <v>0</v>
      </c>
      <c r="AC804" s="2">
        <v>0</v>
      </c>
      <c r="AD804" s="16">
        <f t="shared" si="283"/>
        <v>25000000</v>
      </c>
      <c r="AE804" s="2">
        <v>4000</v>
      </c>
      <c r="AF804" s="2">
        <f t="shared" si="293"/>
        <v>25004000</v>
      </c>
      <c r="AG804" s="38" t="s">
        <v>486</v>
      </c>
      <c r="AH804" s="29" t="s">
        <v>1714</v>
      </c>
      <c r="AI804" s="30">
        <f>1811209.04+268056.34+1451454.88+60000+554008.73-2145.79+464628.89+299999.99+1795362.04+287907.95+2433016.77+1304783.92+1119205.34</f>
        <v>11847488.1</v>
      </c>
      <c r="AJ804" s="30">
        <f>65104.21+2145.79+25930.46+34480.26+16235.2+24201.1+28505.74</f>
        <v>196602.76</v>
      </c>
    </row>
    <row r="805" spans="1:36" s="179" customFormat="1" ht="147" customHeight="1" x14ac:dyDescent="0.25">
      <c r="A805" s="6">
        <v>802</v>
      </c>
      <c r="B805" s="31">
        <v>127554</v>
      </c>
      <c r="C805" s="31">
        <v>596</v>
      </c>
      <c r="D805" s="177" t="s">
        <v>1172</v>
      </c>
      <c r="E805" s="83" t="s">
        <v>979</v>
      </c>
      <c r="F805" s="31" t="s">
        <v>1241</v>
      </c>
      <c r="G805" s="11" t="s">
        <v>1397</v>
      </c>
      <c r="H805" s="11" t="s">
        <v>1242</v>
      </c>
      <c r="I805" s="12" t="s">
        <v>3018</v>
      </c>
      <c r="J805" s="25">
        <v>43698</v>
      </c>
      <c r="K805" s="25">
        <v>45220</v>
      </c>
      <c r="L805" s="26">
        <f t="shared" si="287"/>
        <v>83.98386258328982</v>
      </c>
      <c r="M805" s="11" t="s">
        <v>136</v>
      </c>
      <c r="N805" s="11" t="s">
        <v>261</v>
      </c>
      <c r="O805" s="11" t="str">
        <f t="shared" ref="O805:Q807" si="294">O804</f>
        <v>Bucuresti</v>
      </c>
      <c r="P805" s="27" t="str">
        <f t="shared" si="294"/>
        <v>APC</v>
      </c>
      <c r="Q805" s="11" t="str">
        <f t="shared" si="294"/>
        <v>119 - Investiții în capacitatea instituțională și în eficiența administrațiilor și a serviciilor publice la nivel național, regional și local, în perspectiva realizării de reforme, a unei mai bune legiferări și a bunei guvernanțe</v>
      </c>
      <c r="R805" s="1">
        <f t="shared" si="289"/>
        <v>12098670.219999999</v>
      </c>
      <c r="S805" s="2">
        <v>9756523.4399999976</v>
      </c>
      <c r="T805" s="2">
        <v>2342146.7800000003</v>
      </c>
      <c r="U805" s="1">
        <f t="shared" si="290"/>
        <v>0</v>
      </c>
      <c r="V805" s="28">
        <v>0</v>
      </c>
      <c r="W805" s="28">
        <v>0</v>
      </c>
      <c r="X805" s="1">
        <f t="shared" si="291"/>
        <v>2307276.1700000004</v>
      </c>
      <c r="Y805" s="2">
        <v>1721739.4581900353</v>
      </c>
      <c r="Z805" s="2">
        <v>585536.71180996508</v>
      </c>
      <c r="AA805" s="2">
        <f t="shared" si="292"/>
        <v>0</v>
      </c>
      <c r="AB805" s="2">
        <v>0</v>
      </c>
      <c r="AC805" s="2">
        <v>0</v>
      </c>
      <c r="AD805" s="16">
        <f t="shared" si="283"/>
        <v>14405946.389999999</v>
      </c>
      <c r="AE805" s="2">
        <v>1695594.64</v>
      </c>
      <c r="AF805" s="2">
        <f t="shared" si="293"/>
        <v>16101541.029999999</v>
      </c>
      <c r="AG805" s="38" t="s">
        <v>486</v>
      </c>
      <c r="AH805" s="29" t="s">
        <v>2160</v>
      </c>
      <c r="AI805" s="30">
        <f>80134.03+50027.51+67034.24+81022.59+61634.92+75486.38+69076.73+1549860.73+77485.19+2317952.91</f>
        <v>4429715.2300000004</v>
      </c>
      <c r="AJ805" s="30">
        <v>0</v>
      </c>
    </row>
    <row r="806" spans="1:36" s="179" customFormat="1" ht="225.75" customHeight="1" x14ac:dyDescent="0.25">
      <c r="A806" s="6">
        <v>803</v>
      </c>
      <c r="B806" s="31">
        <v>127585</v>
      </c>
      <c r="C806" s="31">
        <v>622</v>
      </c>
      <c r="D806" s="177" t="s">
        <v>1172</v>
      </c>
      <c r="E806" s="83" t="s">
        <v>979</v>
      </c>
      <c r="F806" s="31" t="s">
        <v>1246</v>
      </c>
      <c r="G806" s="11" t="s">
        <v>74</v>
      </c>
      <c r="H806" s="11" t="s">
        <v>1244</v>
      </c>
      <c r="I806" s="12" t="s">
        <v>3019</v>
      </c>
      <c r="J806" s="25">
        <v>43703</v>
      </c>
      <c r="K806" s="25">
        <v>45072</v>
      </c>
      <c r="L806" s="26">
        <f t="shared" si="287"/>
        <v>83.983863237881479</v>
      </c>
      <c r="M806" s="11" t="s">
        <v>136</v>
      </c>
      <c r="N806" s="11" t="s">
        <v>261</v>
      </c>
      <c r="O806" s="11" t="str">
        <f t="shared" si="294"/>
        <v>Bucuresti</v>
      </c>
      <c r="P806" s="27" t="str">
        <f t="shared" si="294"/>
        <v>APC</v>
      </c>
      <c r="Q806" s="11" t="str">
        <f t="shared" si="294"/>
        <v>119 - Investiții în capacitatea instituțională și în eficiența administrațiilor și a serviciilor publice la nivel național, regional și local, în perspectiva realizării de reforme, a unei mai bune legiferări și a bunei guvernanțe</v>
      </c>
      <c r="R806" s="1">
        <f t="shared" si="289"/>
        <v>8398187.4499999993</v>
      </c>
      <c r="S806" s="2">
        <v>6772406.5</v>
      </c>
      <c r="T806" s="2">
        <v>1625780.95</v>
      </c>
      <c r="U806" s="1">
        <f t="shared" si="290"/>
        <v>0</v>
      </c>
      <c r="V806" s="28">
        <v>0</v>
      </c>
      <c r="W806" s="28">
        <v>0</v>
      </c>
      <c r="X806" s="1">
        <f t="shared" si="291"/>
        <v>1601575.75</v>
      </c>
      <c r="Y806" s="2">
        <v>1195130.5</v>
      </c>
      <c r="Z806" s="2">
        <v>406445.25</v>
      </c>
      <c r="AA806" s="2">
        <f t="shared" si="292"/>
        <v>0</v>
      </c>
      <c r="AB806" s="2">
        <v>0</v>
      </c>
      <c r="AC806" s="2">
        <v>0</v>
      </c>
      <c r="AD806" s="16">
        <f t="shared" si="283"/>
        <v>9999763.1999999993</v>
      </c>
      <c r="AE806" s="2">
        <v>0</v>
      </c>
      <c r="AF806" s="2">
        <f t="shared" si="293"/>
        <v>9999763.1999999993</v>
      </c>
      <c r="AG806" s="38" t="s">
        <v>486</v>
      </c>
      <c r="AH806" s="29" t="s">
        <v>2231</v>
      </c>
      <c r="AI806" s="30">
        <f>843418.72+99611.58+70896.66+1618000.34+94625.46+120042.33+1345989.2+158992.5</f>
        <v>4351576.79</v>
      </c>
      <c r="AJ806" s="30">
        <v>0</v>
      </c>
    </row>
    <row r="807" spans="1:36" s="179" customFormat="1" ht="125.25" customHeight="1" x14ac:dyDescent="0.25">
      <c r="A807" s="6">
        <v>804</v>
      </c>
      <c r="B807" s="31">
        <v>127829</v>
      </c>
      <c r="C807" s="31">
        <v>623</v>
      </c>
      <c r="D807" s="177" t="s">
        <v>1172</v>
      </c>
      <c r="E807" s="83" t="s">
        <v>979</v>
      </c>
      <c r="F807" s="31" t="s">
        <v>1245</v>
      </c>
      <c r="G807" s="11" t="s">
        <v>74</v>
      </c>
      <c r="H807" s="11" t="s">
        <v>1244</v>
      </c>
      <c r="I807" s="12" t="s">
        <v>3020</v>
      </c>
      <c r="J807" s="25">
        <v>43703</v>
      </c>
      <c r="K807" s="25">
        <v>45103</v>
      </c>
      <c r="L807" s="26">
        <f t="shared" si="287"/>
        <v>83.983862817782423</v>
      </c>
      <c r="M807" s="11" t="s">
        <v>136</v>
      </c>
      <c r="N807" s="11" t="s">
        <v>261</v>
      </c>
      <c r="O807" s="11" t="str">
        <f t="shared" si="294"/>
        <v>Bucuresti</v>
      </c>
      <c r="P807" s="27" t="str">
        <f t="shared" si="294"/>
        <v>APC</v>
      </c>
      <c r="Q807" s="11" t="str">
        <f t="shared" si="294"/>
        <v>119 - Investiții în capacitatea instituțională și în eficiența administrațiilor și a serviciilor publice la nivel național, regional și local, în perspectiva realizării de reforme, a unei mai bune legiferări și a bunei guvernanțe</v>
      </c>
      <c r="R807" s="1">
        <f t="shared" si="289"/>
        <v>8466572.7799999993</v>
      </c>
      <c r="S807" s="2">
        <v>6827553.2899999991</v>
      </c>
      <c r="T807" s="2">
        <v>1639019.49</v>
      </c>
      <c r="U807" s="1">
        <f t="shared" si="290"/>
        <v>0</v>
      </c>
      <c r="V807" s="28">
        <v>0</v>
      </c>
      <c r="W807" s="28">
        <v>0</v>
      </c>
      <c r="X807" s="1">
        <f t="shared" si="291"/>
        <v>1614617.2200000002</v>
      </c>
      <c r="Y807" s="2">
        <v>1204862.3500000001</v>
      </c>
      <c r="Z807" s="2">
        <v>409754.87</v>
      </c>
      <c r="AA807" s="2">
        <f t="shared" si="292"/>
        <v>0</v>
      </c>
      <c r="AB807" s="2">
        <v>0</v>
      </c>
      <c r="AC807" s="2">
        <v>0</v>
      </c>
      <c r="AD807" s="16">
        <f t="shared" si="283"/>
        <v>10081190</v>
      </c>
      <c r="AE807" s="2">
        <v>0</v>
      </c>
      <c r="AF807" s="2">
        <f t="shared" si="293"/>
        <v>10081190</v>
      </c>
      <c r="AG807" s="38" t="s">
        <v>486</v>
      </c>
      <c r="AH807" s="29" t="s">
        <v>2319</v>
      </c>
      <c r="AI807" s="30">
        <f>896890.75+82117.73+78530.79+85882.74+82790.45+74742.28+71123.41+1136625.84+63109.67+57900.15</f>
        <v>2629713.81</v>
      </c>
      <c r="AJ807" s="30">
        <v>0</v>
      </c>
    </row>
    <row r="808" spans="1:36" s="179" customFormat="1" ht="199.5" customHeight="1" x14ac:dyDescent="0.25">
      <c r="A808" s="6">
        <v>805</v>
      </c>
      <c r="B808" s="31">
        <v>127591</v>
      </c>
      <c r="C808" s="31">
        <v>603</v>
      </c>
      <c r="D808" s="177" t="s">
        <v>1172</v>
      </c>
      <c r="E808" s="83" t="s">
        <v>979</v>
      </c>
      <c r="F808" s="31" t="s">
        <v>1247</v>
      </c>
      <c r="G808" s="11" t="s">
        <v>74</v>
      </c>
      <c r="H808" s="11" t="s">
        <v>1244</v>
      </c>
      <c r="I808" s="75" t="s">
        <v>3021</v>
      </c>
      <c r="J808" s="25">
        <v>43704</v>
      </c>
      <c r="K808" s="25">
        <v>45104</v>
      </c>
      <c r="L808" s="26">
        <f t="shared" si="287"/>
        <v>83.983862567441435</v>
      </c>
      <c r="M808" s="11" t="str">
        <f>$M$805</f>
        <v xml:space="preserve"> Proiect cu acoperire națională</v>
      </c>
      <c r="N808" s="11" t="str">
        <f>N807</f>
        <v>București</v>
      </c>
      <c r="O808" s="11" t="s">
        <v>261</v>
      </c>
      <c r="P808" s="27" t="s">
        <v>138</v>
      </c>
      <c r="Q808" s="11" t="str">
        <f>Q807</f>
        <v>119 - Investiții în capacitatea instituțională și în eficiența administrațiilor și a serviciilor publice la nivel național, regional și local, în perspectiva realizării de reforme, a unei mai bune legiferări și a bunei guvernanțe</v>
      </c>
      <c r="R808" s="1">
        <f t="shared" si="289"/>
        <v>10242987.91</v>
      </c>
      <c r="S808" s="2">
        <v>8260077.3700000001</v>
      </c>
      <c r="T808" s="2">
        <v>1982910.54</v>
      </c>
      <c r="U808" s="1">
        <f t="shared" si="290"/>
        <v>0</v>
      </c>
      <c r="V808" s="28">
        <v>0</v>
      </c>
      <c r="W808" s="28">
        <v>0</v>
      </c>
      <c r="X808" s="1">
        <f t="shared" si="291"/>
        <v>1953388.39</v>
      </c>
      <c r="Y808" s="2">
        <v>1457660.69</v>
      </c>
      <c r="Z808" s="2">
        <v>495727.7</v>
      </c>
      <c r="AA808" s="2">
        <f t="shared" si="292"/>
        <v>0</v>
      </c>
      <c r="AB808" s="2">
        <v>0</v>
      </c>
      <c r="AC808" s="2">
        <v>0</v>
      </c>
      <c r="AD808" s="16">
        <f t="shared" si="283"/>
        <v>12196376.300000001</v>
      </c>
      <c r="AE808" s="2">
        <v>0</v>
      </c>
      <c r="AF808" s="2">
        <f t="shared" si="293"/>
        <v>12196376.300000001</v>
      </c>
      <c r="AG808" s="38" t="s">
        <v>486</v>
      </c>
      <c r="AH808" s="29" t="s">
        <v>1969</v>
      </c>
      <c r="AI808" s="30">
        <f>957032.98+163115.37+97608.31+132760.34+84328.34+73699.45+89390.33+85807.41+104934.01+770382.45</f>
        <v>2559058.9900000002</v>
      </c>
      <c r="AJ808" s="30">
        <v>0</v>
      </c>
    </row>
    <row r="809" spans="1:36" s="179" customFormat="1" ht="283.5" x14ac:dyDescent="0.25">
      <c r="A809" s="6">
        <v>806</v>
      </c>
      <c r="B809" s="11">
        <v>130133</v>
      </c>
      <c r="C809" s="11">
        <v>749</v>
      </c>
      <c r="D809" s="32" t="s">
        <v>146</v>
      </c>
      <c r="E809" s="24" t="s">
        <v>1168</v>
      </c>
      <c r="F809" s="11" t="s">
        <v>1248</v>
      </c>
      <c r="G809" s="11" t="s">
        <v>1722</v>
      </c>
      <c r="H809" s="8" t="s">
        <v>151</v>
      </c>
      <c r="I809" s="12" t="s">
        <v>1249</v>
      </c>
      <c r="J809" s="25">
        <v>43706</v>
      </c>
      <c r="K809" s="25">
        <v>45289</v>
      </c>
      <c r="L809" s="26">
        <f t="shared" si="287"/>
        <v>83.983862860370238</v>
      </c>
      <c r="M809" s="11" t="str">
        <f>$M$805</f>
        <v xml:space="preserve"> Proiect cu acoperire națională</v>
      </c>
      <c r="N809" s="11" t="str">
        <f>N808</f>
        <v>București</v>
      </c>
      <c r="O809" s="11" t="s">
        <v>261</v>
      </c>
      <c r="P809" s="27" t="s">
        <v>138</v>
      </c>
      <c r="Q809" s="11" t="s">
        <v>34</v>
      </c>
      <c r="R809" s="1">
        <f t="shared" si="289"/>
        <v>14452256.49</v>
      </c>
      <c r="S809" s="2">
        <v>11654485.75</v>
      </c>
      <c r="T809" s="2">
        <v>2797770.7399999998</v>
      </c>
      <c r="U809" s="1">
        <f t="shared" si="290"/>
        <v>0</v>
      </c>
      <c r="V809" s="28">
        <v>0</v>
      </c>
      <c r="W809" s="28">
        <v>0</v>
      </c>
      <c r="X809" s="1">
        <f t="shared" si="291"/>
        <v>2756116.6399999997</v>
      </c>
      <c r="Y809" s="2">
        <v>2056673.9</v>
      </c>
      <c r="Z809" s="2">
        <v>699442.74</v>
      </c>
      <c r="AA809" s="2">
        <f t="shared" si="292"/>
        <v>0</v>
      </c>
      <c r="AB809" s="2">
        <v>0</v>
      </c>
      <c r="AC809" s="2">
        <v>0</v>
      </c>
      <c r="AD809" s="16">
        <f t="shared" si="283"/>
        <v>17208373.129999999</v>
      </c>
      <c r="AE809" s="2">
        <v>0</v>
      </c>
      <c r="AF809" s="2">
        <f t="shared" si="293"/>
        <v>17208373.129999999</v>
      </c>
      <c r="AG809" s="38" t="s">
        <v>486</v>
      </c>
      <c r="AH809" s="29" t="s">
        <v>2502</v>
      </c>
      <c r="AI809" s="30">
        <f>37986.75+105892.72+115179.78+20592+17345.19+35012.87+1016292.08</f>
        <v>1348301.39</v>
      </c>
      <c r="AJ809" s="30">
        <v>0</v>
      </c>
    </row>
    <row r="810" spans="1:36" s="179" customFormat="1" ht="141.75" x14ac:dyDescent="0.25">
      <c r="A810" s="6">
        <v>807</v>
      </c>
      <c r="B810" s="11">
        <v>127338</v>
      </c>
      <c r="C810" s="11">
        <v>612</v>
      </c>
      <c r="D810" s="177" t="s">
        <v>1172</v>
      </c>
      <c r="E810" s="24" t="s">
        <v>979</v>
      </c>
      <c r="F810" s="11" t="s">
        <v>1261</v>
      </c>
      <c r="G810" s="11" t="s">
        <v>74</v>
      </c>
      <c r="H810" s="11" t="s">
        <v>1262</v>
      </c>
      <c r="I810" s="12" t="s">
        <v>3022</v>
      </c>
      <c r="J810" s="25">
        <v>43713</v>
      </c>
      <c r="K810" s="25">
        <v>44900</v>
      </c>
      <c r="L810" s="26">
        <f t="shared" si="287"/>
        <v>83.983864644186056</v>
      </c>
      <c r="M810" s="11" t="str">
        <f>$M$805</f>
        <v xml:space="preserve"> Proiect cu acoperire națională</v>
      </c>
      <c r="N810" s="11" t="s">
        <v>1226</v>
      </c>
      <c r="O810" s="11" t="s">
        <v>261</v>
      </c>
      <c r="P810" s="27" t="s">
        <v>138</v>
      </c>
      <c r="Q810" s="11" t="str">
        <f t="shared" ref="Q810:Q815" si="295">Q809</f>
        <v>119 - Investiții în capacitatea instituțională și în eficiența administrațiilor și a serviciilor publice la nivel național, regional și local, în perspectiva realizării de reforme, a unei mai bune legiferări și a bunei guvernanțe</v>
      </c>
      <c r="R810" s="1">
        <f t="shared" si="289"/>
        <v>12284259.010000002</v>
      </c>
      <c r="S810" s="2">
        <v>9906184.6600000001</v>
      </c>
      <c r="T810" s="2">
        <v>2378074.350000001</v>
      </c>
      <c r="U810" s="1">
        <f t="shared" si="290"/>
        <v>0</v>
      </c>
      <c r="V810" s="28">
        <v>0</v>
      </c>
      <c r="W810" s="28">
        <v>0</v>
      </c>
      <c r="X810" s="1">
        <f t="shared" si="291"/>
        <v>2342668.5099999998</v>
      </c>
      <c r="Y810" s="2">
        <v>1748149.94</v>
      </c>
      <c r="Z810" s="2">
        <v>594518.56999999995</v>
      </c>
      <c r="AA810" s="2">
        <f t="shared" si="292"/>
        <v>0</v>
      </c>
      <c r="AB810" s="2">
        <v>0</v>
      </c>
      <c r="AC810" s="2">
        <v>0</v>
      </c>
      <c r="AD810" s="16">
        <f t="shared" si="283"/>
        <v>14626927.520000001</v>
      </c>
      <c r="AE810" s="2">
        <v>21875.91</v>
      </c>
      <c r="AF810" s="2">
        <f t="shared" si="293"/>
        <v>14648803.430000002</v>
      </c>
      <c r="AG810" s="38" t="s">
        <v>486</v>
      </c>
      <c r="AH810" s="29" t="s">
        <v>2003</v>
      </c>
      <c r="AI810" s="30">
        <f>1028311.33+949836.08+860711.02+870883.46+943630.7+1231127.96+694760.56+276496.74+2783338.05</f>
        <v>9639095.8999999985</v>
      </c>
      <c r="AJ810" s="30">
        <v>0</v>
      </c>
    </row>
    <row r="811" spans="1:36" s="179" customFormat="1" ht="199.5" customHeight="1" x14ac:dyDescent="0.25">
      <c r="A811" s="6">
        <v>808</v>
      </c>
      <c r="B811" s="31">
        <v>129692</v>
      </c>
      <c r="C811" s="31">
        <v>744</v>
      </c>
      <c r="D811" s="32" t="str">
        <f>D810</f>
        <v xml:space="preserve">AP1/11i /1.1 </v>
      </c>
      <c r="E811" s="56" t="s">
        <v>1056</v>
      </c>
      <c r="F811" s="31" t="s">
        <v>1270</v>
      </c>
      <c r="G811" s="11" t="s">
        <v>1268</v>
      </c>
      <c r="H811" s="8" t="s">
        <v>151</v>
      </c>
      <c r="I811" s="75" t="s">
        <v>3023</v>
      </c>
      <c r="J811" s="25">
        <v>43717</v>
      </c>
      <c r="K811" s="25">
        <v>45178</v>
      </c>
      <c r="L811" s="26">
        <f t="shared" si="287"/>
        <v>83.983862991493012</v>
      </c>
      <c r="M811" s="11" t="str">
        <f>$M$805</f>
        <v xml:space="preserve"> Proiect cu acoperire națională</v>
      </c>
      <c r="N811" s="11" t="str">
        <f>N810</f>
        <v>Național</v>
      </c>
      <c r="O811" s="11" t="str">
        <f>O810</f>
        <v>București</v>
      </c>
      <c r="P811" s="27" t="str">
        <f>P810</f>
        <v>APC</v>
      </c>
      <c r="Q811" s="11" t="str">
        <f t="shared" si="295"/>
        <v>119 - Investiții în capacitatea instituțională și în eficiența administrațiilor și a serviciilor publice la nivel național, regional și local, în perspectiva realizării de reforme, a unei mai bune legiferări și a bunei guvernanțe</v>
      </c>
      <c r="R811" s="1">
        <f t="shared" si="289"/>
        <v>25123266.25</v>
      </c>
      <c r="S811" s="2">
        <v>20259725.329999998</v>
      </c>
      <c r="T811" s="2">
        <v>4863540.92</v>
      </c>
      <c r="U811" s="1">
        <f t="shared" si="290"/>
        <v>0</v>
      </c>
      <c r="V811" s="28">
        <v>0</v>
      </c>
      <c r="W811" s="28">
        <v>0</v>
      </c>
      <c r="X811" s="1">
        <f t="shared" si="291"/>
        <v>4791130.82</v>
      </c>
      <c r="Y811" s="2">
        <v>3575245.64</v>
      </c>
      <c r="Z811" s="2">
        <v>1215885.18</v>
      </c>
      <c r="AA811" s="2">
        <f t="shared" si="292"/>
        <v>0</v>
      </c>
      <c r="AB811" s="2">
        <v>0</v>
      </c>
      <c r="AC811" s="2">
        <v>0</v>
      </c>
      <c r="AD811" s="16">
        <f t="shared" si="283"/>
        <v>29914397.07</v>
      </c>
      <c r="AE811" s="2">
        <v>0</v>
      </c>
      <c r="AF811" s="2">
        <f t="shared" si="293"/>
        <v>29914397.07</v>
      </c>
      <c r="AG811" s="38" t="s">
        <v>486</v>
      </c>
      <c r="AH811" s="29" t="s">
        <v>1776</v>
      </c>
      <c r="AI811" s="30">
        <f>325855.8+122978.47+248682.94+393955.11+295791.58+258150.44+1461160.49+1088779.79+977969.43</f>
        <v>5173324.05</v>
      </c>
      <c r="AJ811" s="30">
        <v>0</v>
      </c>
    </row>
    <row r="812" spans="1:36" s="179" customFormat="1" ht="141.75" x14ac:dyDescent="0.25">
      <c r="A812" s="6">
        <v>809</v>
      </c>
      <c r="B812" s="11">
        <v>127589</v>
      </c>
      <c r="C812" s="11">
        <v>616</v>
      </c>
      <c r="D812" s="177" t="s">
        <v>1172</v>
      </c>
      <c r="E812" s="24" t="s">
        <v>979</v>
      </c>
      <c r="F812" s="11" t="s">
        <v>1272</v>
      </c>
      <c r="G812" s="11" t="s">
        <v>74</v>
      </c>
      <c r="H812" s="11" t="s">
        <v>1363</v>
      </c>
      <c r="I812" s="12" t="s">
        <v>1273</v>
      </c>
      <c r="J812" s="25">
        <v>43718</v>
      </c>
      <c r="K812" s="25">
        <v>45240</v>
      </c>
      <c r="L812" s="26">
        <f t="shared" si="287"/>
        <v>83.401732277714686</v>
      </c>
      <c r="M812" s="11" t="s">
        <v>136</v>
      </c>
      <c r="N812" s="11" t="s">
        <v>261</v>
      </c>
      <c r="O812" s="11" t="s">
        <v>261</v>
      </c>
      <c r="P812" s="27" t="s">
        <v>138</v>
      </c>
      <c r="Q812" s="11" t="str">
        <f t="shared" si="295"/>
        <v>119 - Investiții în capacitatea instituțională și în eficiența administrațiilor și a serviciilor publice la nivel național, regional și local, în perspectiva realizării de reforme, a unei mai bune legiferări și a bunei guvernanțe</v>
      </c>
      <c r="R812" s="1">
        <f t="shared" si="289"/>
        <v>23893894.079999994</v>
      </c>
      <c r="S812" s="2">
        <v>19268343.719999995</v>
      </c>
      <c r="T812" s="2">
        <v>4625550.3599999994</v>
      </c>
      <c r="U812" s="1">
        <f t="shared" si="290"/>
        <v>1558441.7799999998</v>
      </c>
      <c r="V812" s="28">
        <v>1162942.9799999995</v>
      </c>
      <c r="W812" s="28">
        <v>395498.80000000016</v>
      </c>
      <c r="X812" s="1">
        <f t="shared" si="291"/>
        <v>2998241.61</v>
      </c>
      <c r="Y812" s="2">
        <v>2237352.88</v>
      </c>
      <c r="Z812" s="2">
        <v>760888.73</v>
      </c>
      <c r="AA812" s="2">
        <f t="shared" si="292"/>
        <v>198580.56</v>
      </c>
      <c r="AB812" s="2">
        <v>158223.64000000001</v>
      </c>
      <c r="AC812" s="2">
        <v>40356.92</v>
      </c>
      <c r="AD812" s="16">
        <f t="shared" si="283"/>
        <v>28649158.029999994</v>
      </c>
      <c r="AE812" s="2">
        <v>0</v>
      </c>
      <c r="AF812" s="2">
        <f t="shared" si="293"/>
        <v>28649158.029999994</v>
      </c>
      <c r="AG812" s="38" t="s">
        <v>486</v>
      </c>
      <c r="AH812" s="29" t="s">
        <v>2066</v>
      </c>
      <c r="AI812" s="30">
        <f>2152401.31+483787.51+353759.62+893871.24+50810.75+755211.17+44698.53+53299.38+709727.23+52393.71+46175.45-93720.91+424014.59+106929.83-8668.64+94767.14</f>
        <v>6119457.9100000001</v>
      </c>
      <c r="AJ812" s="30">
        <f>236264.83+60776.2+75412.76+115828.22+72195.19+74114.75+54873.1+45967.95+24151.87+8668.64+12040.91</f>
        <v>780294.41999999993</v>
      </c>
    </row>
    <row r="813" spans="1:36" s="179" customFormat="1" ht="165.75" customHeight="1" x14ac:dyDescent="0.25">
      <c r="A813" s="6">
        <v>810</v>
      </c>
      <c r="B813" s="31">
        <v>127012</v>
      </c>
      <c r="C813" s="31">
        <v>578</v>
      </c>
      <c r="D813" s="177" t="s">
        <v>1172</v>
      </c>
      <c r="E813" s="24" t="s">
        <v>979</v>
      </c>
      <c r="F813" s="31" t="s">
        <v>1275</v>
      </c>
      <c r="G813" s="11" t="s">
        <v>1723</v>
      </c>
      <c r="H813" s="8" t="s">
        <v>151</v>
      </c>
      <c r="I813" s="12" t="s">
        <v>3024</v>
      </c>
      <c r="J813" s="25">
        <v>43721</v>
      </c>
      <c r="K813" s="25">
        <v>45212</v>
      </c>
      <c r="L813" s="26">
        <f t="shared" si="287"/>
        <v>83.983862941143158</v>
      </c>
      <c r="M813" s="11" t="s">
        <v>136</v>
      </c>
      <c r="N813" s="11" t="s">
        <v>261</v>
      </c>
      <c r="O813" s="11" t="s">
        <v>261</v>
      </c>
      <c r="P813" s="27" t="s">
        <v>138</v>
      </c>
      <c r="Q813" s="11" t="str">
        <f t="shared" si="295"/>
        <v>119 - Investiții în capacitatea instituțională și în eficiența administrațiilor și a serviciilor publice la nivel național, regional și local, în perspectiva realizării de reforme, a unei mai bune legiferări și a bunei guvernanțe</v>
      </c>
      <c r="R813" s="1">
        <f t="shared" si="289"/>
        <v>20491271.690000005</v>
      </c>
      <c r="S813" s="2">
        <v>16524425.330000004</v>
      </c>
      <c r="T813" s="2">
        <v>3966846.3600000017</v>
      </c>
      <c r="U813" s="1">
        <f t="shared" si="290"/>
        <v>0</v>
      </c>
      <c r="V813" s="28">
        <v>0</v>
      </c>
      <c r="W813" s="28">
        <v>0</v>
      </c>
      <c r="X813" s="1">
        <f t="shared" si="291"/>
        <v>3907786.6199999996</v>
      </c>
      <c r="Y813" s="2">
        <v>2916075.01</v>
      </c>
      <c r="Z813" s="2">
        <v>991711.61</v>
      </c>
      <c r="AA813" s="2">
        <f t="shared" si="292"/>
        <v>0</v>
      </c>
      <c r="AB813" s="2">
        <v>0</v>
      </c>
      <c r="AC813" s="2">
        <v>0</v>
      </c>
      <c r="AD813" s="16">
        <f t="shared" si="283"/>
        <v>24399058.310000006</v>
      </c>
      <c r="AE813" s="2">
        <v>0</v>
      </c>
      <c r="AF813" s="2">
        <f t="shared" si="293"/>
        <v>24399058.310000006</v>
      </c>
      <c r="AG813" s="38" t="s">
        <v>486</v>
      </c>
      <c r="AH813" s="29" t="s">
        <v>1816</v>
      </c>
      <c r="AI813" s="30">
        <f>83445.38+49015.23+231678.74+181337.75+178679+229588.02+193488.99+134446.28</f>
        <v>1281679.3899999999</v>
      </c>
      <c r="AJ813" s="30">
        <v>0</v>
      </c>
    </row>
    <row r="814" spans="1:36" s="179" customFormat="1" ht="220.5" x14ac:dyDescent="0.25">
      <c r="A814" s="6">
        <v>811</v>
      </c>
      <c r="B814" s="31">
        <v>126983</v>
      </c>
      <c r="C814" s="31">
        <v>589</v>
      </c>
      <c r="D814" s="177" t="s">
        <v>1172</v>
      </c>
      <c r="E814" s="24" t="s">
        <v>979</v>
      </c>
      <c r="F814" s="31" t="s">
        <v>1276</v>
      </c>
      <c r="G814" s="11" t="s">
        <v>1723</v>
      </c>
      <c r="H814" s="8" t="s">
        <v>151</v>
      </c>
      <c r="I814" s="12" t="s">
        <v>3025</v>
      </c>
      <c r="J814" s="25">
        <v>43721</v>
      </c>
      <c r="K814" s="25">
        <v>45273</v>
      </c>
      <c r="L814" s="26">
        <f t="shared" si="287"/>
        <v>83.98386291043002</v>
      </c>
      <c r="M814" s="11" t="s">
        <v>136</v>
      </c>
      <c r="N814" s="11" t="s">
        <v>261</v>
      </c>
      <c r="O814" s="11" t="s">
        <v>261</v>
      </c>
      <c r="P814" s="27" t="s">
        <v>138</v>
      </c>
      <c r="Q814" s="11" t="str">
        <f t="shared" si="295"/>
        <v>119 - Investiții în capacitatea instituțională și în eficiența administrațiilor și a serviciilor publice la nivel național, regional și local, în perspectiva realizării de reforme, a unei mai bune legiferări și a bunei guvernanțe</v>
      </c>
      <c r="R814" s="1">
        <f t="shared" si="289"/>
        <v>23507069.850000001</v>
      </c>
      <c r="S814" s="2">
        <v>18956403.780000001</v>
      </c>
      <c r="T814" s="2">
        <v>4550666.07</v>
      </c>
      <c r="U814" s="1">
        <f t="shared" si="290"/>
        <v>0</v>
      </c>
      <c r="V814" s="28">
        <v>0</v>
      </c>
      <c r="W814" s="28">
        <v>0</v>
      </c>
      <c r="X814" s="1">
        <f t="shared" si="291"/>
        <v>4482914.2200000007</v>
      </c>
      <c r="Y814" s="2">
        <v>3345247.7</v>
      </c>
      <c r="Z814" s="2">
        <v>1137666.52</v>
      </c>
      <c r="AA814" s="2">
        <f t="shared" si="292"/>
        <v>0</v>
      </c>
      <c r="AB814" s="2">
        <v>0</v>
      </c>
      <c r="AC814" s="2">
        <v>0</v>
      </c>
      <c r="AD814" s="16">
        <f t="shared" si="283"/>
        <v>27989984.07</v>
      </c>
      <c r="AE814" s="2">
        <v>0</v>
      </c>
      <c r="AF814" s="2">
        <f t="shared" si="293"/>
        <v>27989984.07</v>
      </c>
      <c r="AG814" s="38" t="s">
        <v>486</v>
      </c>
      <c r="AH814" s="29" t="s">
        <v>3252</v>
      </c>
      <c r="AI814" s="30">
        <f>97834.07+41661.72+181197.51+74487.22+125076.44+181886.92+206065.32+283886.9+258726.7+470859.71+243498.04</f>
        <v>2165180.5499999998</v>
      </c>
      <c r="AJ814" s="30">
        <v>0</v>
      </c>
    </row>
    <row r="815" spans="1:36" s="179" customFormat="1" ht="267.75" x14ac:dyDescent="0.25">
      <c r="A815" s="6">
        <v>812</v>
      </c>
      <c r="B815" s="31">
        <v>127577</v>
      </c>
      <c r="C815" s="31">
        <v>598</v>
      </c>
      <c r="D815" s="177" t="s">
        <v>1172</v>
      </c>
      <c r="E815" s="24" t="s">
        <v>979</v>
      </c>
      <c r="F815" s="31" t="s">
        <v>1283</v>
      </c>
      <c r="G815" s="11" t="s">
        <v>1408</v>
      </c>
      <c r="H815" s="11" t="s">
        <v>1786</v>
      </c>
      <c r="I815" s="12" t="s">
        <v>3026</v>
      </c>
      <c r="J815" s="25">
        <v>43725</v>
      </c>
      <c r="K815" s="25">
        <v>45002</v>
      </c>
      <c r="L815" s="26">
        <f t="shared" si="287"/>
        <v>83.983862550080687</v>
      </c>
      <c r="M815" s="11" t="s">
        <v>136</v>
      </c>
      <c r="N815" s="11" t="s">
        <v>261</v>
      </c>
      <c r="O815" s="11" t="s">
        <v>261</v>
      </c>
      <c r="P815" s="27" t="s">
        <v>138</v>
      </c>
      <c r="Q815" s="11" t="str">
        <f t="shared" si="295"/>
        <v>119 - Investiții în capacitatea instituțională și în eficiența administrațiilor și a serviciilor publice la nivel național, regional și local, în perspectiva realizării de reforme, a unei mai bune legiferări și a bunei guvernanțe</v>
      </c>
      <c r="R815" s="1">
        <f t="shared" si="289"/>
        <v>23213481.23</v>
      </c>
      <c r="S815" s="2">
        <v>18719650.120000001</v>
      </c>
      <c r="T815" s="2">
        <v>4493831.1100000003</v>
      </c>
      <c r="U815" s="1">
        <f t="shared" si="290"/>
        <v>1733.94</v>
      </c>
      <c r="V815" s="28">
        <v>1281.4000000000001</v>
      </c>
      <c r="W815" s="28">
        <v>452.54</v>
      </c>
      <c r="X815" s="1">
        <f t="shared" si="291"/>
        <v>4425191.5999999996</v>
      </c>
      <c r="Y815" s="2">
        <v>3302186.36</v>
      </c>
      <c r="Z815" s="2">
        <v>1123005.24</v>
      </c>
      <c r="AA815" s="2">
        <f t="shared" si="292"/>
        <v>0</v>
      </c>
      <c r="AB815" s="2">
        <v>0</v>
      </c>
      <c r="AC815" s="2">
        <v>0</v>
      </c>
      <c r="AD815" s="16">
        <f t="shared" si="283"/>
        <v>27640406.770000003</v>
      </c>
      <c r="AE815" s="2">
        <v>0</v>
      </c>
      <c r="AF815" s="2">
        <f t="shared" si="293"/>
        <v>27640406.770000003</v>
      </c>
      <c r="AG815" s="38" t="s">
        <v>486</v>
      </c>
      <c r="AH815" s="29" t="s">
        <v>1785</v>
      </c>
      <c r="AI815" s="30">
        <f>1727422.58+344989.77+329947.4+388845.27+1830766.08+207011.77+1398634.92+988731.07+1848077.04+544836.2+1345045.71</f>
        <v>10954307.809999999</v>
      </c>
      <c r="AJ815" s="30">
        <f>203.79+970.06+560.08</f>
        <v>1733.9299999999998</v>
      </c>
    </row>
    <row r="816" spans="1:36" s="179" customFormat="1" ht="141.75" x14ac:dyDescent="0.25">
      <c r="A816" s="6">
        <v>813</v>
      </c>
      <c r="B816" s="31">
        <v>130074</v>
      </c>
      <c r="C816" s="31">
        <v>714</v>
      </c>
      <c r="D816" s="177" t="s">
        <v>143</v>
      </c>
      <c r="E816" s="83" t="s">
        <v>1056</v>
      </c>
      <c r="F816" s="31" t="s">
        <v>1289</v>
      </c>
      <c r="G816" s="11" t="s">
        <v>1288</v>
      </c>
      <c r="H816" s="8" t="s">
        <v>151</v>
      </c>
      <c r="I816" s="12" t="s">
        <v>1290</v>
      </c>
      <c r="J816" s="25">
        <v>43734</v>
      </c>
      <c r="K816" s="25">
        <v>44891</v>
      </c>
      <c r="L816" s="26">
        <f t="shared" si="287"/>
        <v>83.983862788054537</v>
      </c>
      <c r="M816" s="11" t="s">
        <v>136</v>
      </c>
      <c r="N816" s="11" t="s">
        <v>261</v>
      </c>
      <c r="O816" s="11" t="s">
        <v>261</v>
      </c>
      <c r="P816" s="27" t="s">
        <v>138</v>
      </c>
      <c r="Q816" s="11" t="s">
        <v>34</v>
      </c>
      <c r="R816" s="1">
        <f t="shared" si="289"/>
        <v>12261622.399999999</v>
      </c>
      <c r="S816" s="2">
        <v>9887930.1899999995</v>
      </c>
      <c r="T816" s="2">
        <v>2373692.21</v>
      </c>
      <c r="U816" s="1">
        <f t="shared" si="290"/>
        <v>0</v>
      </c>
      <c r="V816" s="28">
        <v>0</v>
      </c>
      <c r="W816" s="28">
        <v>0</v>
      </c>
      <c r="X816" s="1">
        <f t="shared" si="291"/>
        <v>2338351.92</v>
      </c>
      <c r="Y816" s="2">
        <v>1744928.84</v>
      </c>
      <c r="Z816" s="2">
        <v>593423.07999999996</v>
      </c>
      <c r="AA816" s="2">
        <f t="shared" si="292"/>
        <v>0</v>
      </c>
      <c r="AB816" s="2">
        <v>0</v>
      </c>
      <c r="AC816" s="2">
        <v>0</v>
      </c>
      <c r="AD816" s="16">
        <f t="shared" si="283"/>
        <v>14599974.319999998</v>
      </c>
      <c r="AE816" s="2">
        <v>0</v>
      </c>
      <c r="AF816" s="2">
        <f t="shared" si="293"/>
        <v>14599974.319999998</v>
      </c>
      <c r="AG816" s="38" t="s">
        <v>486</v>
      </c>
      <c r="AH816" s="29" t="s">
        <v>1783</v>
      </c>
      <c r="AI816" s="30">
        <f>129003.07+125869.89+139505.98+45662.87+89628.42+46385.45+5847342.87+738052.2</f>
        <v>7161450.75</v>
      </c>
      <c r="AJ816" s="30">
        <v>0</v>
      </c>
    </row>
    <row r="817" spans="1:36" s="179" customFormat="1" ht="199.5" customHeight="1" x14ac:dyDescent="0.25">
      <c r="A817" s="6">
        <v>814</v>
      </c>
      <c r="B817" s="31">
        <v>129720</v>
      </c>
      <c r="C817" s="31">
        <v>711</v>
      </c>
      <c r="D817" s="177" t="s">
        <v>143</v>
      </c>
      <c r="E817" s="83" t="s">
        <v>1056</v>
      </c>
      <c r="F817" s="31" t="s">
        <v>1293</v>
      </c>
      <c r="G817" s="27" t="s">
        <v>1719</v>
      </c>
      <c r="H817" s="8" t="s">
        <v>151</v>
      </c>
      <c r="I817" s="75" t="s">
        <v>3027</v>
      </c>
      <c r="J817" s="25">
        <v>43735</v>
      </c>
      <c r="K817" s="25">
        <v>44466</v>
      </c>
      <c r="L817" s="26">
        <f t="shared" si="287"/>
        <v>83.983862799999997</v>
      </c>
      <c r="M817" s="11" t="s">
        <v>136</v>
      </c>
      <c r="N817" s="11" t="s">
        <v>261</v>
      </c>
      <c r="O817" s="11" t="s">
        <v>261</v>
      </c>
      <c r="P817" s="27" t="s">
        <v>138</v>
      </c>
      <c r="Q817" s="11" t="s">
        <v>34</v>
      </c>
      <c r="R817" s="1">
        <f t="shared" si="289"/>
        <v>16796772.560000002</v>
      </c>
      <c r="S817" s="2">
        <v>13545133.640000001</v>
      </c>
      <c r="T817" s="2">
        <v>3251638.92</v>
      </c>
      <c r="U817" s="1">
        <f t="shared" si="290"/>
        <v>0</v>
      </c>
      <c r="V817" s="28">
        <v>0</v>
      </c>
      <c r="W817" s="28">
        <v>0</v>
      </c>
      <c r="X817" s="1">
        <f t="shared" si="291"/>
        <v>3203227.4400000004</v>
      </c>
      <c r="Y817" s="2">
        <v>2390317.7200000002</v>
      </c>
      <c r="Z817" s="2">
        <v>812909.72</v>
      </c>
      <c r="AA817" s="2">
        <f t="shared" si="292"/>
        <v>0</v>
      </c>
      <c r="AB817" s="2">
        <v>0</v>
      </c>
      <c r="AC817" s="2">
        <v>0</v>
      </c>
      <c r="AD817" s="16">
        <f t="shared" si="283"/>
        <v>20000000.000000004</v>
      </c>
      <c r="AE817" s="2">
        <v>3531910</v>
      </c>
      <c r="AF817" s="2">
        <f t="shared" si="293"/>
        <v>23531910.000000004</v>
      </c>
      <c r="AG817" s="38" t="s">
        <v>857</v>
      </c>
      <c r="AH817" s="29">
        <v>43818</v>
      </c>
      <c r="AI817" s="30">
        <f>1613109.94+68979.3+76801.57+2714837.16+50659.91+3563538.61+7956506.3</f>
        <v>16044432.789999999</v>
      </c>
      <c r="AJ817" s="30">
        <v>0</v>
      </c>
    </row>
    <row r="818" spans="1:36" s="179" customFormat="1" ht="199.5" customHeight="1" x14ac:dyDescent="0.25">
      <c r="A818" s="6">
        <v>815</v>
      </c>
      <c r="B818" s="31">
        <v>129934</v>
      </c>
      <c r="C818" s="31">
        <v>717</v>
      </c>
      <c r="D818" s="177" t="s">
        <v>143</v>
      </c>
      <c r="E818" s="83" t="s">
        <v>1056</v>
      </c>
      <c r="F818" s="31" t="s">
        <v>1294</v>
      </c>
      <c r="G818" s="11" t="s">
        <v>1720</v>
      </c>
      <c r="H818" s="8" t="s">
        <v>151</v>
      </c>
      <c r="I818" s="75" t="s">
        <v>3028</v>
      </c>
      <c r="J818" s="25">
        <v>43735</v>
      </c>
      <c r="K818" s="25">
        <v>45287</v>
      </c>
      <c r="L818" s="26">
        <f t="shared" si="287"/>
        <v>83.98386317938558</v>
      </c>
      <c r="M818" s="11" t="s">
        <v>136</v>
      </c>
      <c r="N818" s="11" t="s">
        <v>261</v>
      </c>
      <c r="O818" s="11" t="s">
        <v>261</v>
      </c>
      <c r="P818" s="27" t="s">
        <v>138</v>
      </c>
      <c r="Q818" s="11" t="s">
        <v>34</v>
      </c>
      <c r="R818" s="1">
        <f t="shared" si="289"/>
        <v>11458830.090000002</v>
      </c>
      <c r="S818" s="2">
        <v>9240548.1100000013</v>
      </c>
      <c r="T818" s="2">
        <v>2218281.98</v>
      </c>
      <c r="U818" s="1">
        <f t="shared" si="290"/>
        <v>0</v>
      </c>
      <c r="V818" s="28">
        <v>0</v>
      </c>
      <c r="W818" s="28">
        <v>0</v>
      </c>
      <c r="X818" s="1">
        <f t="shared" si="291"/>
        <v>2185255.4</v>
      </c>
      <c r="Y818" s="2">
        <v>1630684.92</v>
      </c>
      <c r="Z818" s="2">
        <v>554570.48</v>
      </c>
      <c r="AA818" s="2">
        <f t="shared" si="292"/>
        <v>0</v>
      </c>
      <c r="AB818" s="2">
        <v>0</v>
      </c>
      <c r="AC818" s="2">
        <v>0</v>
      </c>
      <c r="AD818" s="16">
        <f t="shared" si="283"/>
        <v>13644085.490000002</v>
      </c>
      <c r="AE818" s="2">
        <v>0</v>
      </c>
      <c r="AF818" s="2">
        <f t="shared" si="293"/>
        <v>13644085.490000002</v>
      </c>
      <c r="AG818" s="38" t="s">
        <v>486</v>
      </c>
      <c r="AH818" s="29" t="s">
        <v>2391</v>
      </c>
      <c r="AI818" s="30">
        <f>141791.63+434317.17+736075.72</f>
        <v>1312184.52</v>
      </c>
      <c r="AJ818" s="30">
        <v>0</v>
      </c>
    </row>
    <row r="819" spans="1:36" s="179" customFormat="1" ht="199.5" customHeight="1" x14ac:dyDescent="0.25">
      <c r="A819" s="6">
        <v>816</v>
      </c>
      <c r="B819" s="31">
        <v>129864</v>
      </c>
      <c r="C819" s="31">
        <v>712</v>
      </c>
      <c r="D819" s="177" t="s">
        <v>143</v>
      </c>
      <c r="E819" s="83" t="s">
        <v>1056</v>
      </c>
      <c r="F819" s="31" t="s">
        <v>1295</v>
      </c>
      <c r="G819" s="11" t="s">
        <v>703</v>
      </c>
      <c r="H819" s="8" t="s">
        <v>151</v>
      </c>
      <c r="I819" s="75" t="s">
        <v>3029</v>
      </c>
      <c r="J819" s="25">
        <v>43739</v>
      </c>
      <c r="K819" s="25">
        <v>44835</v>
      </c>
      <c r="L819" s="26">
        <f t="shared" si="287"/>
        <v>83.983862937437522</v>
      </c>
      <c r="M819" s="11" t="s">
        <v>136</v>
      </c>
      <c r="N819" s="11" t="s">
        <v>261</v>
      </c>
      <c r="O819" s="11" t="s">
        <v>261</v>
      </c>
      <c r="P819" s="27" t="s">
        <v>138</v>
      </c>
      <c r="Q819" s="11" t="s">
        <v>34</v>
      </c>
      <c r="R819" s="1">
        <f t="shared" si="289"/>
        <v>12555454</v>
      </c>
      <c r="S819" s="2">
        <v>10124879.76</v>
      </c>
      <c r="T819" s="2">
        <v>2430574.2399999998</v>
      </c>
      <c r="U819" s="1">
        <f t="shared" si="290"/>
        <v>0</v>
      </c>
      <c r="V819" s="28">
        <v>0</v>
      </c>
      <c r="W819" s="28">
        <v>0</v>
      </c>
      <c r="X819" s="1">
        <f t="shared" si="291"/>
        <v>2394387.0300000003</v>
      </c>
      <c r="Y819" s="2">
        <v>1786743.47</v>
      </c>
      <c r="Z819" s="2">
        <v>607643.56000000006</v>
      </c>
      <c r="AA819" s="2">
        <f t="shared" si="292"/>
        <v>0</v>
      </c>
      <c r="AB819" s="2">
        <v>0</v>
      </c>
      <c r="AC819" s="2">
        <v>0</v>
      </c>
      <c r="AD819" s="16">
        <f t="shared" si="283"/>
        <v>14949841.030000001</v>
      </c>
      <c r="AE819" s="2">
        <v>0</v>
      </c>
      <c r="AF819" s="2">
        <f t="shared" si="293"/>
        <v>14949841.030000001</v>
      </c>
      <c r="AG819" s="38" t="s">
        <v>486</v>
      </c>
      <c r="AH819" s="29" t="s">
        <v>2558</v>
      </c>
      <c r="AI819" s="30">
        <f>211446.04+244710.21+134219.36+266917.51+171701.65+6233688.03+2111792.04</f>
        <v>9374474.8399999999</v>
      </c>
      <c r="AJ819" s="30">
        <v>0</v>
      </c>
    </row>
    <row r="820" spans="1:36" s="179" customFormat="1" ht="199.5" customHeight="1" x14ac:dyDescent="0.25">
      <c r="A820" s="6">
        <v>817</v>
      </c>
      <c r="B820" s="31">
        <v>129721</v>
      </c>
      <c r="C820" s="31">
        <v>708</v>
      </c>
      <c r="D820" s="177" t="s">
        <v>143</v>
      </c>
      <c r="E820" s="83" t="s">
        <v>1056</v>
      </c>
      <c r="F820" s="31" t="s">
        <v>1298</v>
      </c>
      <c r="G820" s="11" t="s">
        <v>55</v>
      </c>
      <c r="H820" s="8" t="s">
        <v>151</v>
      </c>
      <c r="I820" s="75" t="s">
        <v>1299</v>
      </c>
      <c r="J820" s="25">
        <v>43739</v>
      </c>
      <c r="K820" s="25">
        <v>45261</v>
      </c>
      <c r="L820" s="26">
        <f t="shared" si="287"/>
        <v>83.983862959609539</v>
      </c>
      <c r="M820" s="11" t="s">
        <v>136</v>
      </c>
      <c r="N820" s="11" t="s">
        <v>261</v>
      </c>
      <c r="O820" s="11" t="s">
        <v>261</v>
      </c>
      <c r="P820" s="27" t="s">
        <v>138</v>
      </c>
      <c r="Q820" s="11" t="s">
        <v>34</v>
      </c>
      <c r="R820" s="1">
        <f t="shared" si="289"/>
        <v>18405842.140000001</v>
      </c>
      <c r="S820" s="2">
        <v>14842708.060000001</v>
      </c>
      <c r="T820" s="2">
        <v>3563134.0799999996</v>
      </c>
      <c r="U820" s="1">
        <f t="shared" si="290"/>
        <v>0</v>
      </c>
      <c r="V820" s="28">
        <v>0</v>
      </c>
      <c r="W820" s="28">
        <v>0</v>
      </c>
      <c r="X820" s="1">
        <f t="shared" si="291"/>
        <v>3510084.91</v>
      </c>
      <c r="Y820" s="2">
        <v>2619301.41</v>
      </c>
      <c r="Z820" s="2">
        <v>890783.5</v>
      </c>
      <c r="AA820" s="2">
        <f t="shared" si="292"/>
        <v>0</v>
      </c>
      <c r="AB820" s="2">
        <v>0</v>
      </c>
      <c r="AC820" s="2">
        <v>0</v>
      </c>
      <c r="AD820" s="16">
        <f t="shared" si="283"/>
        <v>21915927.050000001</v>
      </c>
      <c r="AE820" s="2">
        <v>0</v>
      </c>
      <c r="AF820" s="2">
        <f t="shared" si="293"/>
        <v>21915927.050000001</v>
      </c>
      <c r="AG820" s="38" t="s">
        <v>486</v>
      </c>
      <c r="AH820" s="29" t="s">
        <v>3113</v>
      </c>
      <c r="AI820" s="30">
        <f>113724.23+176713.8</f>
        <v>290438.02999999997</v>
      </c>
      <c r="AJ820" s="30">
        <v>0</v>
      </c>
    </row>
    <row r="821" spans="1:36" s="179" customFormat="1" ht="199.5" customHeight="1" x14ac:dyDescent="0.25">
      <c r="A821" s="6">
        <v>818</v>
      </c>
      <c r="B821" s="31">
        <v>129513</v>
      </c>
      <c r="C821" s="31">
        <v>751</v>
      </c>
      <c r="D821" s="177" t="s">
        <v>145</v>
      </c>
      <c r="E821" s="83" t="s">
        <v>1179</v>
      </c>
      <c r="F821" s="31" t="s">
        <v>1300</v>
      </c>
      <c r="G821" s="11" t="s">
        <v>810</v>
      </c>
      <c r="H821" s="8" t="s">
        <v>151</v>
      </c>
      <c r="I821" s="75" t="s">
        <v>3030</v>
      </c>
      <c r="J821" s="25">
        <v>43740</v>
      </c>
      <c r="K821" s="25">
        <v>44836</v>
      </c>
      <c r="L821" s="26">
        <f t="shared" si="287"/>
        <v>83.983862860400166</v>
      </c>
      <c r="M821" s="11" t="s">
        <v>136</v>
      </c>
      <c r="N821" s="11" t="s">
        <v>261</v>
      </c>
      <c r="O821" s="11" t="s">
        <v>261</v>
      </c>
      <c r="P821" s="27" t="s">
        <v>138</v>
      </c>
      <c r="Q821" s="11" t="s">
        <v>34</v>
      </c>
      <c r="R821" s="1">
        <f t="shared" si="289"/>
        <v>55026079.840000011</v>
      </c>
      <c r="S821" s="2">
        <v>44373739.24000001</v>
      </c>
      <c r="T821" s="2">
        <v>10652340.6</v>
      </c>
      <c r="U821" s="1">
        <f t="shared" si="290"/>
        <v>0</v>
      </c>
      <c r="V821" s="28">
        <v>0</v>
      </c>
      <c r="W821" s="28">
        <v>0</v>
      </c>
      <c r="X821" s="1">
        <f t="shared" si="291"/>
        <v>10493745</v>
      </c>
      <c r="Y821" s="2">
        <v>7830659.8499999996</v>
      </c>
      <c r="Z821" s="2">
        <v>2663085.15</v>
      </c>
      <c r="AA821" s="2">
        <f t="shared" si="292"/>
        <v>0</v>
      </c>
      <c r="AB821" s="2">
        <v>0</v>
      </c>
      <c r="AC821" s="2">
        <v>0</v>
      </c>
      <c r="AD821" s="16">
        <f t="shared" si="283"/>
        <v>65519824.840000011</v>
      </c>
      <c r="AE821" s="2">
        <v>0</v>
      </c>
      <c r="AF821" s="2">
        <f t="shared" si="293"/>
        <v>65519824.840000011</v>
      </c>
      <c r="AG821" s="38" t="s">
        <v>486</v>
      </c>
      <c r="AH821" s="29" t="s">
        <v>1779</v>
      </c>
      <c r="AI821" s="30">
        <f>281049.48+685757.66+516714.08+428470.56+486322+3637845.48+5033286.39+4929615.14+3320463.26+5873682.78+5090111.22</f>
        <v>30283318.049999997</v>
      </c>
      <c r="AJ821" s="30">
        <v>0</v>
      </c>
    </row>
    <row r="822" spans="1:36" s="179" customFormat="1" ht="199.5" customHeight="1" x14ac:dyDescent="0.25">
      <c r="A822" s="6">
        <v>819</v>
      </c>
      <c r="B822" s="31">
        <v>127623</v>
      </c>
      <c r="C822" s="31">
        <v>595</v>
      </c>
      <c r="D822" s="11" t="s">
        <v>143</v>
      </c>
      <c r="E822" s="24" t="s">
        <v>979</v>
      </c>
      <c r="F822" s="31" t="s">
        <v>1310</v>
      </c>
      <c r="G822" s="27" t="s">
        <v>2124</v>
      </c>
      <c r="H822" s="8" t="s">
        <v>151</v>
      </c>
      <c r="I822" s="75" t="s">
        <v>1311</v>
      </c>
      <c r="J822" s="25">
        <v>43747</v>
      </c>
      <c r="K822" s="25">
        <v>45208</v>
      </c>
      <c r="L822" s="26">
        <f t="shared" si="287"/>
        <v>83.983862788509896</v>
      </c>
      <c r="M822" s="11" t="s">
        <v>136</v>
      </c>
      <c r="N822" s="11" t="s">
        <v>261</v>
      </c>
      <c r="O822" s="11" t="s">
        <v>261</v>
      </c>
      <c r="P822" s="27" t="s">
        <v>138</v>
      </c>
      <c r="Q822" s="11" t="s">
        <v>34</v>
      </c>
      <c r="R822" s="1">
        <f t="shared" si="289"/>
        <v>9906922.4199999999</v>
      </c>
      <c r="S822" s="2">
        <v>7989069.8000000007</v>
      </c>
      <c r="T822" s="2">
        <v>1917852.6199999999</v>
      </c>
      <c r="U822" s="1">
        <f t="shared" si="290"/>
        <v>0</v>
      </c>
      <c r="V822" s="28">
        <v>0</v>
      </c>
      <c r="W822" s="28">
        <v>0</v>
      </c>
      <c r="X822" s="1">
        <f t="shared" si="291"/>
        <v>1889299.01</v>
      </c>
      <c r="Y822" s="2">
        <v>1409835.84</v>
      </c>
      <c r="Z822" s="2">
        <v>479463.17</v>
      </c>
      <c r="AA822" s="2">
        <f t="shared" si="292"/>
        <v>0</v>
      </c>
      <c r="AB822" s="2">
        <v>0</v>
      </c>
      <c r="AC822" s="2">
        <v>0</v>
      </c>
      <c r="AD822" s="16">
        <f t="shared" si="283"/>
        <v>11796221.43</v>
      </c>
      <c r="AE822" s="2">
        <v>0</v>
      </c>
      <c r="AF822" s="2">
        <f t="shared" si="293"/>
        <v>11796221.43</v>
      </c>
      <c r="AG822" s="38" t="s">
        <v>486</v>
      </c>
      <c r="AH822" s="29" t="s">
        <v>2317</v>
      </c>
      <c r="AI822" s="30">
        <f>132598.52+77491.92+74960.64+115335.69</f>
        <v>400386.77</v>
      </c>
      <c r="AJ822" s="30">
        <v>0</v>
      </c>
    </row>
    <row r="823" spans="1:36" s="179" customFormat="1" ht="199.5" customHeight="1" x14ac:dyDescent="0.25">
      <c r="A823" s="6">
        <v>820</v>
      </c>
      <c r="B823" s="31">
        <v>127598</v>
      </c>
      <c r="C823" s="31">
        <v>608</v>
      </c>
      <c r="D823" s="11" t="s">
        <v>143</v>
      </c>
      <c r="E823" s="24" t="s">
        <v>979</v>
      </c>
      <c r="F823" s="31" t="s">
        <v>1312</v>
      </c>
      <c r="G823" s="11" t="s">
        <v>1397</v>
      </c>
      <c r="H823" s="11" t="s">
        <v>1313</v>
      </c>
      <c r="I823" s="75" t="s">
        <v>3031</v>
      </c>
      <c r="J823" s="25">
        <v>43749</v>
      </c>
      <c r="K823" s="25">
        <v>45241</v>
      </c>
      <c r="L823" s="26">
        <f t="shared" si="287"/>
        <v>83.983863222222226</v>
      </c>
      <c r="M823" s="11" t="s">
        <v>136</v>
      </c>
      <c r="N823" s="11" t="s">
        <v>261</v>
      </c>
      <c r="O823" s="11" t="s">
        <v>261</v>
      </c>
      <c r="P823" s="27" t="s">
        <v>138</v>
      </c>
      <c r="Q823" s="11" t="s">
        <v>34</v>
      </c>
      <c r="R823" s="1">
        <f t="shared" si="289"/>
        <v>15117095.379999999</v>
      </c>
      <c r="S823" s="2">
        <v>12190620.34</v>
      </c>
      <c r="T823" s="2">
        <v>2926475.04</v>
      </c>
      <c r="U823" s="1">
        <f t="shared" si="290"/>
        <v>1618328.4200000002</v>
      </c>
      <c r="V823" s="28">
        <v>1195958.3700000001</v>
      </c>
      <c r="W823" s="28">
        <v>422370.05</v>
      </c>
      <c r="X823" s="1">
        <f t="shared" si="291"/>
        <v>1264576.2</v>
      </c>
      <c r="Y823" s="2">
        <v>955327.51</v>
      </c>
      <c r="Z823" s="2">
        <v>309248.69</v>
      </c>
      <c r="AA823" s="2">
        <f t="shared" si="292"/>
        <v>0</v>
      </c>
      <c r="AB823" s="2">
        <v>0</v>
      </c>
      <c r="AC823" s="2">
        <v>0</v>
      </c>
      <c r="AD823" s="16">
        <f t="shared" si="283"/>
        <v>18000000</v>
      </c>
      <c r="AE823" s="2">
        <v>0</v>
      </c>
      <c r="AF823" s="2">
        <f t="shared" si="293"/>
        <v>18000000</v>
      </c>
      <c r="AG823" s="38" t="s">
        <v>486</v>
      </c>
      <c r="AH823" s="29" t="s">
        <v>3286</v>
      </c>
      <c r="AI823" s="30">
        <f>1256566.16-2065.82+1022736.42+817563.47+1120183.68+760620.34-64262.61+317482.39+993219.65+272717.19+603869.98-114434.97+876836.06</f>
        <v>7861031.9399999995</v>
      </c>
      <c r="AJ823" s="30">
        <f>52183.12+2065.82+111341.07+136443.83+163573.7+116215.72+199320.79+27655.69+100780.39+124033.82</f>
        <v>1033613.95</v>
      </c>
    </row>
    <row r="824" spans="1:36" s="179" customFormat="1" ht="271.5" customHeight="1" x14ac:dyDescent="0.25">
      <c r="A824" s="6">
        <v>821</v>
      </c>
      <c r="B824" s="31">
        <v>129427</v>
      </c>
      <c r="C824" s="31">
        <v>702</v>
      </c>
      <c r="D824" s="177" t="s">
        <v>143</v>
      </c>
      <c r="E824" s="83" t="s">
        <v>1056</v>
      </c>
      <c r="F824" s="11" t="s">
        <v>1314</v>
      </c>
      <c r="G824" s="11" t="s">
        <v>1721</v>
      </c>
      <c r="H824" s="8" t="s">
        <v>151</v>
      </c>
      <c r="I824" s="46" t="s">
        <v>1315</v>
      </c>
      <c r="J824" s="25">
        <v>43749</v>
      </c>
      <c r="K824" s="25">
        <v>45027</v>
      </c>
      <c r="L824" s="26">
        <f t="shared" si="287"/>
        <v>83.983863368336614</v>
      </c>
      <c r="M824" s="11" t="s">
        <v>136</v>
      </c>
      <c r="N824" s="11" t="s">
        <v>261</v>
      </c>
      <c r="O824" s="11" t="s">
        <v>261</v>
      </c>
      <c r="P824" s="27" t="s">
        <v>138</v>
      </c>
      <c r="Q824" s="11" t="s">
        <v>34</v>
      </c>
      <c r="R824" s="1">
        <f t="shared" si="289"/>
        <v>5463727.5500000007</v>
      </c>
      <c r="S824" s="2">
        <v>4406020.2300000004</v>
      </c>
      <c r="T824" s="2">
        <v>1057707.32</v>
      </c>
      <c r="U824" s="1">
        <f t="shared" si="290"/>
        <v>0</v>
      </c>
      <c r="V824" s="28">
        <v>0</v>
      </c>
      <c r="W824" s="28">
        <v>0</v>
      </c>
      <c r="X824" s="1">
        <f t="shared" si="291"/>
        <v>1041959.77</v>
      </c>
      <c r="Y824" s="2">
        <v>777532.96</v>
      </c>
      <c r="Z824" s="2">
        <v>264426.81</v>
      </c>
      <c r="AA824" s="2">
        <f t="shared" si="292"/>
        <v>0</v>
      </c>
      <c r="AB824" s="2">
        <v>0</v>
      </c>
      <c r="AC824" s="2">
        <v>0</v>
      </c>
      <c r="AD824" s="16">
        <f t="shared" si="283"/>
        <v>6505687.3200000003</v>
      </c>
      <c r="AE824" s="2">
        <v>0</v>
      </c>
      <c r="AF824" s="2">
        <f t="shared" si="293"/>
        <v>6505687.3200000003</v>
      </c>
      <c r="AG824" s="38" t="s">
        <v>486</v>
      </c>
      <c r="AH824" s="29" t="s">
        <v>1798</v>
      </c>
      <c r="AI824" s="30">
        <f>19662.36+1815.43+321662.32</f>
        <v>343140.11</v>
      </c>
      <c r="AJ824" s="30">
        <v>0</v>
      </c>
    </row>
    <row r="825" spans="1:36" s="179" customFormat="1" ht="271.5" customHeight="1" x14ac:dyDescent="0.25">
      <c r="A825" s="6">
        <v>822</v>
      </c>
      <c r="B825" s="31">
        <v>129900</v>
      </c>
      <c r="C825" s="31">
        <v>731</v>
      </c>
      <c r="D825" s="177" t="s">
        <v>143</v>
      </c>
      <c r="E825" s="83" t="s">
        <v>1056</v>
      </c>
      <c r="F825" s="31" t="s">
        <v>1317</v>
      </c>
      <c r="G825" s="27" t="s">
        <v>1719</v>
      </c>
      <c r="H825" s="8" t="s">
        <v>151</v>
      </c>
      <c r="I825" s="46" t="s">
        <v>3032</v>
      </c>
      <c r="J825" s="25">
        <v>43752</v>
      </c>
      <c r="K825" s="25">
        <v>45121</v>
      </c>
      <c r="L825" s="26">
        <f t="shared" si="287"/>
        <v>83.983863141574176</v>
      </c>
      <c r="M825" s="11" t="s">
        <v>136</v>
      </c>
      <c r="N825" s="11" t="s">
        <v>261</v>
      </c>
      <c r="O825" s="11" t="s">
        <v>261</v>
      </c>
      <c r="P825" s="27" t="s">
        <v>138</v>
      </c>
      <c r="Q825" s="11" t="s">
        <v>34</v>
      </c>
      <c r="R825" s="1">
        <f t="shared" si="289"/>
        <v>10447061.779999999</v>
      </c>
      <c r="S825" s="2">
        <v>8424645.129999999</v>
      </c>
      <c r="T825" s="2">
        <v>2022416.6500000001</v>
      </c>
      <c r="U825" s="1">
        <f t="shared" si="290"/>
        <v>0</v>
      </c>
      <c r="V825" s="28">
        <v>0</v>
      </c>
      <c r="W825" s="28">
        <v>0</v>
      </c>
      <c r="X825" s="1">
        <f t="shared" si="291"/>
        <v>1992306.2</v>
      </c>
      <c r="Y825" s="2">
        <v>1486702.04</v>
      </c>
      <c r="Z825" s="2">
        <v>505604.16</v>
      </c>
      <c r="AA825" s="2">
        <f t="shared" si="292"/>
        <v>0</v>
      </c>
      <c r="AB825" s="2">
        <v>0</v>
      </c>
      <c r="AC825" s="2">
        <v>0</v>
      </c>
      <c r="AD825" s="16">
        <f t="shared" si="283"/>
        <v>12439367.979999999</v>
      </c>
      <c r="AE825" s="2">
        <v>0</v>
      </c>
      <c r="AF825" s="2">
        <f t="shared" si="293"/>
        <v>12439367.979999999</v>
      </c>
      <c r="AG825" s="38" t="s">
        <v>486</v>
      </c>
      <c r="AH825" s="29" t="s">
        <v>2073</v>
      </c>
      <c r="AI825" s="30">
        <f>8494.97+9887.42+40165.97+12018.09+10946.46+19789.11+12442.21+46830.42+25790.6+25882.15+10140.21+11095.95+1153293.28+345857.12</f>
        <v>1732633.96</v>
      </c>
      <c r="AJ825" s="30">
        <v>0</v>
      </c>
    </row>
    <row r="826" spans="1:36" s="179" customFormat="1" ht="271.5" customHeight="1" x14ac:dyDescent="0.25">
      <c r="A826" s="6">
        <v>823</v>
      </c>
      <c r="B826" s="31">
        <v>129165</v>
      </c>
      <c r="C826" s="31">
        <v>728</v>
      </c>
      <c r="D826" s="177" t="s">
        <v>143</v>
      </c>
      <c r="E826" s="83" t="s">
        <v>1056</v>
      </c>
      <c r="F826" s="31" t="s">
        <v>1318</v>
      </c>
      <c r="G826" s="11" t="s">
        <v>55</v>
      </c>
      <c r="H826" s="8" t="s">
        <v>151</v>
      </c>
      <c r="I826" s="46" t="s">
        <v>3033</v>
      </c>
      <c r="J826" s="25">
        <v>43754</v>
      </c>
      <c r="K826" s="25">
        <v>45246</v>
      </c>
      <c r="L826" s="26">
        <f t="shared" si="287"/>
        <v>83.983862955554315</v>
      </c>
      <c r="M826" s="11" t="s">
        <v>136</v>
      </c>
      <c r="N826" s="11" t="s">
        <v>261</v>
      </c>
      <c r="O826" s="11" t="s">
        <v>261</v>
      </c>
      <c r="P826" s="27" t="s">
        <v>138</v>
      </c>
      <c r="Q826" s="11" t="s">
        <v>34</v>
      </c>
      <c r="R826" s="1">
        <f t="shared" si="289"/>
        <v>11750422.249999996</v>
      </c>
      <c r="S826" s="2">
        <v>9475691.7799999975</v>
      </c>
      <c r="T826" s="2">
        <v>2274730.4699999997</v>
      </c>
      <c r="U826" s="1">
        <f t="shared" si="290"/>
        <v>0</v>
      </c>
      <c r="V826" s="28">
        <v>0</v>
      </c>
      <c r="W826" s="28">
        <v>0</v>
      </c>
      <c r="X826" s="1">
        <f t="shared" si="291"/>
        <v>2240863.5</v>
      </c>
      <c r="Y826" s="2">
        <v>1672180.9</v>
      </c>
      <c r="Z826" s="2">
        <v>568682.6</v>
      </c>
      <c r="AA826" s="2">
        <f t="shared" si="292"/>
        <v>0</v>
      </c>
      <c r="AB826" s="2">
        <v>0</v>
      </c>
      <c r="AC826" s="2">
        <v>0</v>
      </c>
      <c r="AD826" s="16">
        <f t="shared" si="283"/>
        <v>13991285.749999996</v>
      </c>
      <c r="AE826" s="2">
        <v>0</v>
      </c>
      <c r="AF826" s="2">
        <f t="shared" si="293"/>
        <v>13991285.749999996</v>
      </c>
      <c r="AG826" s="38" t="s">
        <v>486</v>
      </c>
      <c r="AH826" s="29" t="s">
        <v>2240</v>
      </c>
      <c r="AI826" s="30">
        <f>83522.79+351800.22+129034.08+323672.9+406338.08+645463.19</f>
        <v>1939831.26</v>
      </c>
      <c r="AJ826" s="30">
        <v>0</v>
      </c>
    </row>
    <row r="827" spans="1:36" s="179" customFormat="1" ht="271.5" customHeight="1" x14ac:dyDescent="0.25">
      <c r="A827" s="6">
        <v>824</v>
      </c>
      <c r="B827" s="31">
        <v>130070</v>
      </c>
      <c r="C827" s="31">
        <v>730</v>
      </c>
      <c r="D827" s="177" t="s">
        <v>143</v>
      </c>
      <c r="E827" s="83" t="s">
        <v>1056</v>
      </c>
      <c r="F827" s="31" t="s">
        <v>1319</v>
      </c>
      <c r="G827" s="11" t="s">
        <v>1354</v>
      </c>
      <c r="H827" s="8" t="s">
        <v>151</v>
      </c>
      <c r="I827" s="32" t="s">
        <v>1326</v>
      </c>
      <c r="J827" s="25">
        <v>43755</v>
      </c>
      <c r="K827" s="25">
        <v>45124</v>
      </c>
      <c r="L827" s="26">
        <f t="shared" si="287"/>
        <v>83.98386390777695</v>
      </c>
      <c r="M827" s="11" t="s">
        <v>136</v>
      </c>
      <c r="N827" s="11" t="s">
        <v>261</v>
      </c>
      <c r="O827" s="11" t="s">
        <v>261</v>
      </c>
      <c r="P827" s="27" t="s">
        <v>138</v>
      </c>
      <c r="Q827" s="11" t="s">
        <v>34</v>
      </c>
      <c r="R827" s="1">
        <f t="shared" si="289"/>
        <v>3788406.34</v>
      </c>
      <c r="S827" s="2">
        <v>3055019.6199999996</v>
      </c>
      <c r="T827" s="2">
        <v>733386.72</v>
      </c>
      <c r="U827" s="1">
        <f t="shared" si="290"/>
        <v>0</v>
      </c>
      <c r="V827" s="28">
        <v>0</v>
      </c>
      <c r="W827" s="28">
        <v>0</v>
      </c>
      <c r="X827" s="1">
        <f t="shared" si="291"/>
        <v>722467.73</v>
      </c>
      <c r="Y827" s="2">
        <v>539121.1</v>
      </c>
      <c r="Z827" s="2">
        <v>183346.63</v>
      </c>
      <c r="AA827" s="2">
        <f t="shared" si="292"/>
        <v>0</v>
      </c>
      <c r="AB827" s="2">
        <v>0</v>
      </c>
      <c r="AC827" s="2">
        <v>0</v>
      </c>
      <c r="AD827" s="16">
        <f t="shared" si="283"/>
        <v>4510874.07</v>
      </c>
      <c r="AE827" s="2">
        <v>0</v>
      </c>
      <c r="AF827" s="2">
        <f t="shared" si="293"/>
        <v>4510874.07</v>
      </c>
      <c r="AG827" s="38" t="s">
        <v>486</v>
      </c>
      <c r="AH827" s="29" t="s">
        <v>2298</v>
      </c>
      <c r="AI827" s="30">
        <f>15001.2+67145.65+55185.8+64431.59+132395.32+65406.63</f>
        <v>399566.19</v>
      </c>
      <c r="AJ827" s="30">
        <v>0</v>
      </c>
    </row>
    <row r="828" spans="1:36" s="179" customFormat="1" ht="271.5" customHeight="1" x14ac:dyDescent="0.25">
      <c r="A828" s="6">
        <v>825</v>
      </c>
      <c r="B828" s="31">
        <v>129717</v>
      </c>
      <c r="C828" s="31">
        <v>713</v>
      </c>
      <c r="D828" s="177" t="s">
        <v>143</v>
      </c>
      <c r="E828" s="83" t="s">
        <v>1056</v>
      </c>
      <c r="F828" s="31" t="s">
        <v>1321</v>
      </c>
      <c r="G828" s="27" t="s">
        <v>1719</v>
      </c>
      <c r="H828" s="8" t="s">
        <v>151</v>
      </c>
      <c r="I828" s="46" t="s">
        <v>1322</v>
      </c>
      <c r="J828" s="25">
        <v>43755</v>
      </c>
      <c r="K828" s="25">
        <v>45094</v>
      </c>
      <c r="L828" s="26">
        <f t="shared" si="287"/>
        <v>83.983862667405546</v>
      </c>
      <c r="M828" s="11" t="s">
        <v>136</v>
      </c>
      <c r="N828" s="11" t="s">
        <v>261</v>
      </c>
      <c r="O828" s="11" t="s">
        <v>261</v>
      </c>
      <c r="P828" s="27" t="s">
        <v>138</v>
      </c>
      <c r="Q828" s="11" t="s">
        <v>34</v>
      </c>
      <c r="R828" s="1">
        <f t="shared" si="289"/>
        <v>5038501.1500000004</v>
      </c>
      <c r="S828" s="2">
        <v>4063112.22</v>
      </c>
      <c r="T828" s="2">
        <v>975388.93</v>
      </c>
      <c r="U828" s="1">
        <f t="shared" si="290"/>
        <v>0</v>
      </c>
      <c r="V828" s="28">
        <v>0</v>
      </c>
      <c r="W828" s="28">
        <v>0</v>
      </c>
      <c r="X828" s="1">
        <f t="shared" si="291"/>
        <v>960867.05</v>
      </c>
      <c r="Y828" s="2">
        <v>717019.79</v>
      </c>
      <c r="Z828" s="2">
        <v>243847.26</v>
      </c>
      <c r="AA828" s="2">
        <f t="shared" si="292"/>
        <v>0</v>
      </c>
      <c r="AB828" s="2">
        <v>0</v>
      </c>
      <c r="AC828" s="2">
        <v>0</v>
      </c>
      <c r="AD828" s="16">
        <f t="shared" si="283"/>
        <v>5999368.2000000002</v>
      </c>
      <c r="AE828" s="2">
        <v>0</v>
      </c>
      <c r="AF828" s="2">
        <f t="shared" si="293"/>
        <v>5999368.2000000002</v>
      </c>
      <c r="AG828" s="38" t="s">
        <v>486</v>
      </c>
      <c r="AH828" s="29" t="s">
        <v>1979</v>
      </c>
      <c r="AI828" s="30">
        <f>129503.12+13186.83+9573.32+351744.57+9168.52+211955.38+17232.65</f>
        <v>742364.39</v>
      </c>
      <c r="AJ828" s="30">
        <v>0</v>
      </c>
    </row>
    <row r="829" spans="1:36" s="179" customFormat="1" ht="409.5" customHeight="1" x14ac:dyDescent="0.25">
      <c r="A829" s="6">
        <v>826</v>
      </c>
      <c r="B829" s="31">
        <v>130033</v>
      </c>
      <c r="C829" s="31">
        <v>734</v>
      </c>
      <c r="D829" s="177" t="s">
        <v>143</v>
      </c>
      <c r="E829" s="83" t="s">
        <v>1056</v>
      </c>
      <c r="F829" s="31" t="s">
        <v>1324</v>
      </c>
      <c r="G829" s="11" t="s">
        <v>1397</v>
      </c>
      <c r="H829" s="11" t="s">
        <v>1325</v>
      </c>
      <c r="I829" s="46" t="s">
        <v>1327</v>
      </c>
      <c r="J829" s="25">
        <v>43755</v>
      </c>
      <c r="K829" s="25">
        <v>45216</v>
      </c>
      <c r="L829" s="26">
        <f t="shared" si="287"/>
        <v>83.983862824652149</v>
      </c>
      <c r="M829" s="11" t="s">
        <v>136</v>
      </c>
      <c r="N829" s="11" t="s">
        <v>261</v>
      </c>
      <c r="O829" s="11" t="s">
        <v>261</v>
      </c>
      <c r="P829" s="27" t="s">
        <v>138</v>
      </c>
      <c r="Q829" s="11" t="s">
        <v>34</v>
      </c>
      <c r="R829" s="1">
        <f t="shared" si="289"/>
        <v>117574048.60000001</v>
      </c>
      <c r="S829" s="2">
        <v>94813226.560000002</v>
      </c>
      <c r="T829" s="2">
        <v>22760822.040000007</v>
      </c>
      <c r="U829" s="1">
        <f t="shared" si="290"/>
        <v>974280.55999999994</v>
      </c>
      <c r="V829" s="28">
        <v>720001.54999999993</v>
      </c>
      <c r="W829" s="28">
        <v>254279.01</v>
      </c>
      <c r="X829" s="1">
        <f t="shared" si="291"/>
        <v>21447670.84</v>
      </c>
      <c r="Y829" s="2">
        <v>16011744.310000001</v>
      </c>
      <c r="Z829" s="2">
        <v>5435926.5300000003</v>
      </c>
      <c r="AA829" s="2">
        <f t="shared" si="292"/>
        <v>0</v>
      </c>
      <c r="AB829" s="2">
        <v>0</v>
      </c>
      <c r="AC829" s="2">
        <v>0</v>
      </c>
      <c r="AD829" s="16">
        <f t="shared" si="283"/>
        <v>139996000</v>
      </c>
      <c r="AE829" s="2">
        <v>0</v>
      </c>
      <c r="AF829" s="2">
        <f t="shared" si="293"/>
        <v>139996000</v>
      </c>
      <c r="AG829" s="38" t="s">
        <v>486</v>
      </c>
      <c r="AH829" s="29" t="s">
        <v>1761</v>
      </c>
      <c r="AI829" s="30">
        <f>10931339.59+1052162.42+3541052.81+1696.47+7201895.04+674660.74</f>
        <v>23402807.07</v>
      </c>
      <c r="AJ829" s="30">
        <f>165728.5+234828.34+283.13+242679.46+96341.89</f>
        <v>739861.32</v>
      </c>
    </row>
    <row r="830" spans="1:36" s="179" customFormat="1" ht="409.5" customHeight="1" x14ac:dyDescent="0.25">
      <c r="A830" s="6">
        <v>827</v>
      </c>
      <c r="B830" s="31">
        <v>129914</v>
      </c>
      <c r="C830" s="31">
        <v>752</v>
      </c>
      <c r="D830" s="177" t="s">
        <v>145</v>
      </c>
      <c r="E830" s="83" t="s">
        <v>1179</v>
      </c>
      <c r="F830" s="31" t="s">
        <v>1328</v>
      </c>
      <c r="G830" s="11" t="s">
        <v>1329</v>
      </c>
      <c r="H830" s="11" t="s">
        <v>525</v>
      </c>
      <c r="I830" s="46" t="s">
        <v>1330</v>
      </c>
      <c r="J830" s="25">
        <v>43755</v>
      </c>
      <c r="K830" s="25">
        <v>44912</v>
      </c>
      <c r="L830" s="26">
        <f t="shared" si="287"/>
        <v>83.983863158851392</v>
      </c>
      <c r="M830" s="11" t="s">
        <v>136</v>
      </c>
      <c r="N830" s="11" t="s">
        <v>261</v>
      </c>
      <c r="O830" s="11" t="s">
        <v>261</v>
      </c>
      <c r="P830" s="27" t="s">
        <v>138</v>
      </c>
      <c r="Q830" s="11" t="s">
        <v>34</v>
      </c>
      <c r="R830" s="1">
        <f t="shared" si="289"/>
        <v>8584841.4100000001</v>
      </c>
      <c r="S830" s="2">
        <v>6922926.6300000008</v>
      </c>
      <c r="T830" s="2">
        <v>1661914.7799999998</v>
      </c>
      <c r="U830" s="1">
        <f t="shared" si="290"/>
        <v>0</v>
      </c>
      <c r="V830" s="28">
        <v>0</v>
      </c>
      <c r="W830" s="28">
        <v>0</v>
      </c>
      <c r="X830" s="1">
        <f t="shared" si="291"/>
        <v>1637171.5899999999</v>
      </c>
      <c r="Y830" s="2">
        <v>1221692.92</v>
      </c>
      <c r="Z830" s="2">
        <v>415478.67</v>
      </c>
      <c r="AA830" s="2">
        <f t="shared" si="292"/>
        <v>0</v>
      </c>
      <c r="AB830" s="2">
        <v>0</v>
      </c>
      <c r="AC830" s="2">
        <v>0</v>
      </c>
      <c r="AD830" s="16">
        <f t="shared" si="283"/>
        <v>10222013</v>
      </c>
      <c r="AE830" s="2">
        <v>0</v>
      </c>
      <c r="AF830" s="2">
        <f t="shared" si="293"/>
        <v>10222013</v>
      </c>
      <c r="AG830" s="38" t="s">
        <v>486</v>
      </c>
      <c r="AH830" s="29" t="s">
        <v>3135</v>
      </c>
      <c r="AI830" s="30">
        <f>121921.89+165239.27+154753.7+261297.32+406055.9+1063553+1309979.41+985033.92+393858.93+504303.91+410791.6</f>
        <v>5776788.8499999996</v>
      </c>
      <c r="AJ830" s="30">
        <v>0</v>
      </c>
    </row>
    <row r="831" spans="1:36" s="179" customFormat="1" ht="279" customHeight="1" x14ac:dyDescent="0.25">
      <c r="A831" s="6">
        <v>828</v>
      </c>
      <c r="B831" s="31">
        <v>129605</v>
      </c>
      <c r="C831" s="31">
        <v>723</v>
      </c>
      <c r="D831" s="177" t="s">
        <v>143</v>
      </c>
      <c r="E831" s="83" t="s">
        <v>1056</v>
      </c>
      <c r="F831" s="31" t="s">
        <v>1337</v>
      </c>
      <c r="G831" s="11" t="s">
        <v>55</v>
      </c>
      <c r="H831" s="8" t="s">
        <v>151</v>
      </c>
      <c r="I831" s="177" t="s">
        <v>1338</v>
      </c>
      <c r="J831" s="25">
        <v>43767</v>
      </c>
      <c r="K831" s="25">
        <v>45289</v>
      </c>
      <c r="L831" s="26">
        <f t="shared" si="287"/>
        <v>83.983862776024722</v>
      </c>
      <c r="M831" s="11" t="s">
        <v>136</v>
      </c>
      <c r="N831" s="11" t="s">
        <v>261</v>
      </c>
      <c r="O831" s="11" t="s">
        <v>261</v>
      </c>
      <c r="P831" s="27" t="s">
        <v>138</v>
      </c>
      <c r="Q831" s="11" t="s">
        <v>34</v>
      </c>
      <c r="R831" s="1">
        <f t="shared" si="289"/>
        <v>17794139.579999998</v>
      </c>
      <c r="S831" s="2">
        <v>14349423.26</v>
      </c>
      <c r="T831" s="2">
        <v>3444716.32</v>
      </c>
      <c r="U831" s="1">
        <f t="shared" si="290"/>
        <v>0</v>
      </c>
      <c r="V831" s="28">
        <v>0</v>
      </c>
      <c r="W831" s="28">
        <v>0</v>
      </c>
      <c r="X831" s="1">
        <f t="shared" si="291"/>
        <v>3393430.26</v>
      </c>
      <c r="Y831" s="2">
        <v>2532251.17</v>
      </c>
      <c r="Z831" s="2">
        <v>861179.09</v>
      </c>
      <c r="AA831" s="2">
        <f t="shared" si="292"/>
        <v>0</v>
      </c>
      <c r="AB831" s="2">
        <v>0</v>
      </c>
      <c r="AC831" s="2">
        <v>0</v>
      </c>
      <c r="AD831" s="16">
        <f t="shared" si="283"/>
        <v>21187569.839999996</v>
      </c>
      <c r="AE831" s="2">
        <v>0</v>
      </c>
      <c r="AF831" s="2">
        <f t="shared" si="293"/>
        <v>21187569.839999996</v>
      </c>
      <c r="AG831" s="38" t="s">
        <v>486</v>
      </c>
      <c r="AH831" s="29" t="s">
        <v>2254</v>
      </c>
      <c r="AI831" s="30">
        <f>22757.11+128885.93+61500.78+164886.35+53261.71+46141.57</f>
        <v>477433.45</v>
      </c>
      <c r="AJ831" s="30">
        <v>0</v>
      </c>
    </row>
    <row r="832" spans="1:36" s="179" customFormat="1" ht="279" customHeight="1" x14ac:dyDescent="0.25">
      <c r="A832" s="6">
        <v>829</v>
      </c>
      <c r="B832" s="31">
        <v>129988</v>
      </c>
      <c r="C832" s="31">
        <v>722</v>
      </c>
      <c r="D832" s="177" t="s">
        <v>143</v>
      </c>
      <c r="E832" s="83" t="s">
        <v>1056</v>
      </c>
      <c r="F832" s="31" t="s">
        <v>1339</v>
      </c>
      <c r="G832" s="27" t="s">
        <v>1719</v>
      </c>
      <c r="H832" s="11" t="s">
        <v>1364</v>
      </c>
      <c r="I832" s="177" t="s">
        <v>3034</v>
      </c>
      <c r="J832" s="25">
        <v>43769</v>
      </c>
      <c r="K832" s="25">
        <v>44592</v>
      </c>
      <c r="L832" s="26">
        <f t="shared" si="287"/>
        <v>83.983861380083297</v>
      </c>
      <c r="M832" s="11" t="s">
        <v>136</v>
      </c>
      <c r="N832" s="11" t="s">
        <v>261</v>
      </c>
      <c r="O832" s="11" t="s">
        <v>261</v>
      </c>
      <c r="P832" s="27" t="s">
        <v>138</v>
      </c>
      <c r="Q832" s="11" t="s">
        <v>34</v>
      </c>
      <c r="R832" s="1">
        <f t="shared" si="289"/>
        <v>2316470.8900000006</v>
      </c>
      <c r="S832" s="2">
        <v>1868031.9900000007</v>
      </c>
      <c r="T832" s="2">
        <v>448438.89999999997</v>
      </c>
      <c r="U832" s="1">
        <f t="shared" si="290"/>
        <v>24320.799999999999</v>
      </c>
      <c r="V832" s="28">
        <v>17973.28</v>
      </c>
      <c r="W832" s="28">
        <v>6347.52</v>
      </c>
      <c r="X832" s="1">
        <f t="shared" si="291"/>
        <v>417441.68</v>
      </c>
      <c r="Y832" s="2">
        <v>311679.42</v>
      </c>
      <c r="Z832" s="2">
        <v>105762.26</v>
      </c>
      <c r="AA832" s="2">
        <f t="shared" si="292"/>
        <v>0</v>
      </c>
      <c r="AB832" s="2">
        <v>0</v>
      </c>
      <c r="AC832" s="2">
        <v>0</v>
      </c>
      <c r="AD832" s="16">
        <f t="shared" si="283"/>
        <v>2758233.3700000006</v>
      </c>
      <c r="AE832" s="2">
        <v>0</v>
      </c>
      <c r="AF832" s="2">
        <f t="shared" si="293"/>
        <v>2758233.3700000006</v>
      </c>
      <c r="AG832" s="38" t="s">
        <v>857</v>
      </c>
      <c r="AH832" s="29" t="s">
        <v>1778</v>
      </c>
      <c r="AI832" s="30">
        <f>10251.91+105966.94+132739.32+625530.07+949083.51</f>
        <v>1823571.75</v>
      </c>
      <c r="AJ832" s="30">
        <f>339.33+931.37+9785.36</f>
        <v>11056.060000000001</v>
      </c>
    </row>
    <row r="833" spans="1:36" s="179" customFormat="1" ht="279" customHeight="1" x14ac:dyDescent="0.25">
      <c r="A833" s="6">
        <v>830</v>
      </c>
      <c r="B833" s="31">
        <v>126131</v>
      </c>
      <c r="C833" s="31">
        <v>575</v>
      </c>
      <c r="D833" s="177" t="s">
        <v>143</v>
      </c>
      <c r="E833" s="83" t="s">
        <v>979</v>
      </c>
      <c r="F833" s="31" t="s">
        <v>1341</v>
      </c>
      <c r="G833" s="11" t="s">
        <v>1350</v>
      </c>
      <c r="H833" s="8" t="s">
        <v>151</v>
      </c>
      <c r="I833" s="177" t="s">
        <v>1342</v>
      </c>
      <c r="J833" s="25">
        <v>43770</v>
      </c>
      <c r="K833" s="25">
        <v>44562</v>
      </c>
      <c r="L833" s="26">
        <f t="shared" si="287"/>
        <v>83.983862526260836</v>
      </c>
      <c r="M833" s="11" t="s">
        <v>1343</v>
      </c>
      <c r="N833" s="11" t="s">
        <v>261</v>
      </c>
      <c r="O833" s="11" t="s">
        <v>137</v>
      </c>
      <c r="P833" s="27" t="s">
        <v>138</v>
      </c>
      <c r="Q833" s="11" t="s">
        <v>1344</v>
      </c>
      <c r="R833" s="1">
        <f t="shared" si="289"/>
        <v>5226214.8500000024</v>
      </c>
      <c r="S833" s="2">
        <v>4214486.950000002</v>
      </c>
      <c r="T833" s="2">
        <v>1011727.9</v>
      </c>
      <c r="U833" s="1">
        <f t="shared" si="290"/>
        <v>0</v>
      </c>
      <c r="V833" s="28">
        <v>0</v>
      </c>
      <c r="W833" s="28">
        <v>0</v>
      </c>
      <c r="X833" s="1">
        <f t="shared" si="291"/>
        <v>996664.99</v>
      </c>
      <c r="Y833" s="2">
        <v>743733</v>
      </c>
      <c r="Z833" s="2">
        <v>252931.99</v>
      </c>
      <c r="AA833" s="2">
        <f t="shared" si="292"/>
        <v>0</v>
      </c>
      <c r="AB833" s="2">
        <v>0</v>
      </c>
      <c r="AC833" s="2">
        <v>0</v>
      </c>
      <c r="AD833" s="16">
        <f t="shared" si="283"/>
        <v>6222879.8400000026</v>
      </c>
      <c r="AE833" s="2">
        <v>0</v>
      </c>
      <c r="AF833" s="2">
        <f t="shared" si="293"/>
        <v>6222879.8400000026</v>
      </c>
      <c r="AG833" s="38" t="s">
        <v>857</v>
      </c>
      <c r="AH833" s="29" t="s">
        <v>1805</v>
      </c>
      <c r="AI833" s="30">
        <f>241884.65+99070.84+219197.39+126966.07+108092.98+760161.03+737630.16+2030856.71</f>
        <v>4323859.83</v>
      </c>
      <c r="AJ833" s="30">
        <v>0</v>
      </c>
    </row>
    <row r="834" spans="1:36" s="179" customFormat="1" ht="279" customHeight="1" x14ac:dyDescent="0.25">
      <c r="A834" s="6">
        <v>831</v>
      </c>
      <c r="B834" s="31">
        <v>127024</v>
      </c>
      <c r="C834" s="31">
        <v>597</v>
      </c>
      <c r="D834" s="177" t="s">
        <v>143</v>
      </c>
      <c r="E834" s="83" t="s">
        <v>979</v>
      </c>
      <c r="F834" s="31" t="s">
        <v>1371</v>
      </c>
      <c r="G834" s="11" t="s">
        <v>1372</v>
      </c>
      <c r="H834" s="8" t="s">
        <v>151</v>
      </c>
      <c r="I834" s="33" t="s">
        <v>1373</v>
      </c>
      <c r="J834" s="25">
        <v>43780</v>
      </c>
      <c r="K834" s="25">
        <v>45241</v>
      </c>
      <c r="L834" s="26">
        <f t="shared" si="287"/>
        <v>83.983863448962865</v>
      </c>
      <c r="M834" s="11" t="s">
        <v>1343</v>
      </c>
      <c r="N834" s="11" t="s">
        <v>261</v>
      </c>
      <c r="O834" s="11" t="s">
        <v>137</v>
      </c>
      <c r="P834" s="27" t="s">
        <v>138</v>
      </c>
      <c r="Q834" s="11" t="s">
        <v>1344</v>
      </c>
      <c r="R834" s="1">
        <f t="shared" si="289"/>
        <v>7226660.4299999997</v>
      </c>
      <c r="S834" s="2">
        <v>5827672.0199999996</v>
      </c>
      <c r="T834" s="2">
        <v>1398988.41</v>
      </c>
      <c r="U834" s="1">
        <f t="shared" si="290"/>
        <v>0</v>
      </c>
      <c r="V834" s="28">
        <v>0</v>
      </c>
      <c r="W834" s="28">
        <v>0</v>
      </c>
      <c r="X834" s="1">
        <f t="shared" si="291"/>
        <v>1378159.75</v>
      </c>
      <c r="Y834" s="2">
        <v>1028412.65</v>
      </c>
      <c r="Z834" s="2">
        <v>349747.1</v>
      </c>
      <c r="AA834" s="2">
        <f t="shared" si="292"/>
        <v>0</v>
      </c>
      <c r="AB834" s="2">
        <v>0</v>
      </c>
      <c r="AC834" s="2">
        <v>0</v>
      </c>
      <c r="AD834" s="16">
        <f t="shared" si="283"/>
        <v>8604820.1799999997</v>
      </c>
      <c r="AE834" s="2">
        <v>1800000</v>
      </c>
      <c r="AF834" s="2">
        <f t="shared" si="293"/>
        <v>10404820.18</v>
      </c>
      <c r="AG834" s="38" t="s">
        <v>486</v>
      </c>
      <c r="AH834" s="29" t="s">
        <v>2253</v>
      </c>
      <c r="AI834" s="30">
        <f>15455.18+11690.56+20309.88+70213.23+31079.07+47971.58+31844.17+315923.77+812331.49</f>
        <v>1356818.93</v>
      </c>
      <c r="AJ834" s="30">
        <v>0</v>
      </c>
    </row>
    <row r="835" spans="1:36" s="179" customFormat="1" ht="279" customHeight="1" x14ac:dyDescent="0.25">
      <c r="A835" s="6">
        <v>832</v>
      </c>
      <c r="B835" s="31">
        <v>129872</v>
      </c>
      <c r="C835" s="31">
        <v>715</v>
      </c>
      <c r="D835" s="177" t="s">
        <v>143</v>
      </c>
      <c r="E835" s="83" t="s">
        <v>1056</v>
      </c>
      <c r="F835" s="31" t="s">
        <v>1413</v>
      </c>
      <c r="G835" s="11" t="s">
        <v>1414</v>
      </c>
      <c r="H835" s="11" t="s">
        <v>1415</v>
      </c>
      <c r="I835" s="178" t="s">
        <v>1416</v>
      </c>
      <c r="J835" s="25">
        <v>43838</v>
      </c>
      <c r="K835" s="25">
        <v>45115</v>
      </c>
      <c r="L835" s="26">
        <f t="shared" si="287"/>
        <v>83.983862810067436</v>
      </c>
      <c r="M835" s="11" t="s">
        <v>1343</v>
      </c>
      <c r="N835" s="11" t="s">
        <v>261</v>
      </c>
      <c r="O835" s="11" t="s">
        <v>137</v>
      </c>
      <c r="P835" s="27" t="s">
        <v>138</v>
      </c>
      <c r="Q835" s="11" t="s">
        <v>1344</v>
      </c>
      <c r="R835" s="1">
        <f t="shared" si="289"/>
        <v>14298114.280000001</v>
      </c>
      <c r="S835" s="2">
        <v>11530183.430000002</v>
      </c>
      <c r="T835" s="2">
        <v>2767930.8499999996</v>
      </c>
      <c r="U835" s="1">
        <f t="shared" si="290"/>
        <v>2244176.9700000002</v>
      </c>
      <c r="V835" s="28">
        <v>1658464.5599999998</v>
      </c>
      <c r="W835" s="28">
        <v>585712.41000000027</v>
      </c>
      <c r="X835" s="1">
        <f t="shared" si="291"/>
        <v>482544</v>
      </c>
      <c r="Y835" s="2">
        <v>376273.71</v>
      </c>
      <c r="Z835" s="2">
        <v>106270.29</v>
      </c>
      <c r="AA835" s="2">
        <f t="shared" si="292"/>
        <v>0</v>
      </c>
      <c r="AB835" s="2">
        <v>0</v>
      </c>
      <c r="AC835" s="2">
        <v>0</v>
      </c>
      <c r="AD835" s="16">
        <f t="shared" si="283"/>
        <v>17024835.25</v>
      </c>
      <c r="AE835" s="2">
        <v>0</v>
      </c>
      <c r="AF835" s="2">
        <f t="shared" si="293"/>
        <v>17024835.25</v>
      </c>
      <c r="AG835" s="38" t="s">
        <v>486</v>
      </c>
      <c r="AH835" s="29" t="s">
        <v>3277</v>
      </c>
      <c r="AI835" s="30">
        <f>189152.64+1300000+1101373.25-51185.13+1344978.07-115334.83+971163.05-64039.15+2081656.78+756491.49+1297720.36</f>
        <v>8811976.5299999993</v>
      </c>
      <c r="AJ835" s="30">
        <f>31040.01+128850.4+121426.66+78498.26+138897.34+78482.69+253575.96+124994.97+214426.49</f>
        <v>1170192.78</v>
      </c>
    </row>
    <row r="836" spans="1:36" s="179" customFormat="1" ht="279" customHeight="1" x14ac:dyDescent="0.25">
      <c r="A836" s="6">
        <v>833</v>
      </c>
      <c r="B836" s="31">
        <v>129752</v>
      </c>
      <c r="C836" s="31">
        <v>707</v>
      </c>
      <c r="D836" s="177" t="s">
        <v>143</v>
      </c>
      <c r="E836" s="83" t="s">
        <v>1056</v>
      </c>
      <c r="F836" s="31" t="s">
        <v>1378</v>
      </c>
      <c r="G836" s="11" t="s">
        <v>1972</v>
      </c>
      <c r="H836" s="8" t="s">
        <v>151</v>
      </c>
      <c r="I836" s="177" t="s">
        <v>3035</v>
      </c>
      <c r="J836" s="25">
        <v>43791</v>
      </c>
      <c r="K836" s="25">
        <v>44795</v>
      </c>
      <c r="L836" s="26">
        <f t="shared" si="287"/>
        <v>83.983863478914273</v>
      </c>
      <c r="M836" s="11" t="s">
        <v>1343</v>
      </c>
      <c r="N836" s="11" t="s">
        <v>261</v>
      </c>
      <c r="O836" s="11" t="s">
        <v>137</v>
      </c>
      <c r="P836" s="27" t="s">
        <v>138</v>
      </c>
      <c r="Q836" s="11" t="s">
        <v>1344</v>
      </c>
      <c r="R836" s="1">
        <f t="shared" si="289"/>
        <v>5269881.79</v>
      </c>
      <c r="S836" s="2">
        <v>4249700.58</v>
      </c>
      <c r="T836" s="2">
        <v>1020181.21</v>
      </c>
      <c r="U836" s="1">
        <f t="shared" si="290"/>
        <v>0</v>
      </c>
      <c r="V836" s="28">
        <v>0</v>
      </c>
      <c r="W836" s="28">
        <v>0</v>
      </c>
      <c r="X836" s="1">
        <f t="shared" si="291"/>
        <v>1004992.42</v>
      </c>
      <c r="Y836" s="2">
        <v>749947.06</v>
      </c>
      <c r="Z836" s="2">
        <v>255045.36</v>
      </c>
      <c r="AA836" s="2">
        <v>0</v>
      </c>
      <c r="AB836" s="2">
        <v>0</v>
      </c>
      <c r="AC836" s="2">
        <v>0</v>
      </c>
      <c r="AD836" s="16">
        <f t="shared" si="283"/>
        <v>6274874.21</v>
      </c>
      <c r="AE836" s="2">
        <v>0</v>
      </c>
      <c r="AF836" s="2">
        <f t="shared" si="293"/>
        <v>6274874.21</v>
      </c>
      <c r="AG836" s="38" t="s">
        <v>857</v>
      </c>
      <c r="AH836" s="29" t="s">
        <v>2143</v>
      </c>
      <c r="AI836" s="30">
        <f>544225.81+67302.99+86586.53+103080.13+136816.43+315882.22+326425.03+516651.61+390266.77+409.44+216994.81</f>
        <v>2704641.77</v>
      </c>
      <c r="AJ836" s="30">
        <v>0</v>
      </c>
    </row>
    <row r="837" spans="1:36" s="179" customFormat="1" ht="279" customHeight="1" x14ac:dyDescent="0.25">
      <c r="A837" s="6">
        <v>834</v>
      </c>
      <c r="B837" s="31">
        <v>129166</v>
      </c>
      <c r="C837" s="31">
        <v>696</v>
      </c>
      <c r="D837" s="177" t="s">
        <v>143</v>
      </c>
      <c r="E837" s="83" t="s">
        <v>1056</v>
      </c>
      <c r="F837" s="31" t="s">
        <v>1383</v>
      </c>
      <c r="G837" s="11" t="s">
        <v>55</v>
      </c>
      <c r="H837" s="8" t="s">
        <v>151</v>
      </c>
      <c r="I837" s="177" t="s">
        <v>3036</v>
      </c>
      <c r="J837" s="25">
        <v>43797</v>
      </c>
      <c r="K837" s="25">
        <v>45258</v>
      </c>
      <c r="L837" s="26">
        <f t="shared" si="287"/>
        <v>83.983862904469049</v>
      </c>
      <c r="M837" s="11" t="s">
        <v>1343</v>
      </c>
      <c r="N837" s="11" t="s">
        <v>261</v>
      </c>
      <c r="O837" s="11" t="s">
        <v>137</v>
      </c>
      <c r="P837" s="27" t="s">
        <v>138</v>
      </c>
      <c r="Q837" s="11" t="s">
        <v>1344</v>
      </c>
      <c r="R837" s="1">
        <f t="shared" si="289"/>
        <v>11173608.710000001</v>
      </c>
      <c r="S837" s="2">
        <v>9010541.9300000016</v>
      </c>
      <c r="T837" s="2">
        <v>2163066.7799999998</v>
      </c>
      <c r="U837" s="1">
        <f t="shared" si="290"/>
        <v>0</v>
      </c>
      <c r="V837" s="28">
        <v>0</v>
      </c>
      <c r="W837" s="28">
        <v>0</v>
      </c>
      <c r="X837" s="1">
        <f t="shared" si="291"/>
        <v>2130862.3200000003</v>
      </c>
      <c r="Y837" s="2">
        <v>1590095.62</v>
      </c>
      <c r="Z837" s="2">
        <v>540766.69999999995</v>
      </c>
      <c r="AA837" s="2">
        <v>0</v>
      </c>
      <c r="AB837" s="2">
        <v>0</v>
      </c>
      <c r="AC837" s="2">
        <v>0</v>
      </c>
      <c r="AD837" s="16">
        <f t="shared" ref="AD837:AD892" si="296">R837+U837+X837+AA837</f>
        <v>13304471.030000001</v>
      </c>
      <c r="AE837" s="2">
        <v>0</v>
      </c>
      <c r="AF837" s="2">
        <f t="shared" si="293"/>
        <v>13304471.030000001</v>
      </c>
      <c r="AG837" s="38" t="s">
        <v>486</v>
      </c>
      <c r="AH837" s="29" t="s">
        <v>3276</v>
      </c>
      <c r="AI837" s="30">
        <f>153377.25+187286.87+232227.13+291523.63+930950.32</f>
        <v>1795365.2</v>
      </c>
      <c r="AJ837" s="30">
        <v>0</v>
      </c>
    </row>
    <row r="838" spans="1:36" s="179" customFormat="1" ht="279" customHeight="1" x14ac:dyDescent="0.25">
      <c r="A838" s="6">
        <v>835</v>
      </c>
      <c r="B838" s="31">
        <v>130073</v>
      </c>
      <c r="C838" s="31">
        <v>740</v>
      </c>
      <c r="D838" s="177" t="s">
        <v>143</v>
      </c>
      <c r="E838" s="83" t="s">
        <v>1056</v>
      </c>
      <c r="F838" s="31" t="s">
        <v>1387</v>
      </c>
      <c r="G838" s="11" t="s">
        <v>1385</v>
      </c>
      <c r="H838" s="8" t="s">
        <v>151</v>
      </c>
      <c r="I838" s="177" t="s">
        <v>1386</v>
      </c>
      <c r="J838" s="25">
        <v>43802</v>
      </c>
      <c r="K838" s="25">
        <v>45263</v>
      </c>
      <c r="L838" s="26">
        <f t="shared" si="287"/>
        <v>83.983862961011212</v>
      </c>
      <c r="M838" s="11" t="s">
        <v>1343</v>
      </c>
      <c r="N838" s="11" t="s">
        <v>261</v>
      </c>
      <c r="O838" s="11" t="s">
        <v>137</v>
      </c>
      <c r="P838" s="27" t="s">
        <v>138</v>
      </c>
      <c r="Q838" s="11" t="s">
        <v>1344</v>
      </c>
      <c r="R838" s="1">
        <f t="shared" si="289"/>
        <v>10894851.470000001</v>
      </c>
      <c r="S838" s="2">
        <v>8785748.4900000002</v>
      </c>
      <c r="T838" s="2">
        <v>2109102.98</v>
      </c>
      <c r="U838" s="1">
        <f t="shared" si="290"/>
        <v>1818250.86</v>
      </c>
      <c r="V838" s="28">
        <v>1343702.7100000002</v>
      </c>
      <c r="W838" s="28">
        <v>474548.14999999991</v>
      </c>
      <c r="X838" s="1">
        <f t="shared" si="291"/>
        <v>259451.07</v>
      </c>
      <c r="Y838" s="2">
        <v>206723.48</v>
      </c>
      <c r="Z838" s="2">
        <v>52727.59</v>
      </c>
      <c r="AA838" s="2">
        <v>0</v>
      </c>
      <c r="AB838" s="2">
        <v>0</v>
      </c>
      <c r="AC838" s="2">
        <v>0</v>
      </c>
      <c r="AD838" s="16">
        <f t="shared" si="296"/>
        <v>12972553.4</v>
      </c>
      <c r="AE838" s="2">
        <v>0</v>
      </c>
      <c r="AF838" s="2">
        <f t="shared" si="293"/>
        <v>12972553.4</v>
      </c>
      <c r="AG838" s="38" t="s">
        <v>486</v>
      </c>
      <c r="AH838" s="29" t="s">
        <v>2556</v>
      </c>
      <c r="AI838" s="30">
        <f>1307041.33-38227.08-43432.3-27216.51-57513.13+2848385.22-74102.87-107394.75+1355367.7+999407.97</f>
        <v>6162315.5800000001</v>
      </c>
      <c r="AJ838" s="30">
        <f>22158.67+38227.08+43432.3+27216.51+57513.13+261896.93+74102.87+107394.75+14410.55+166792.03</f>
        <v>813144.82000000007</v>
      </c>
    </row>
    <row r="839" spans="1:36" s="179" customFormat="1" ht="279" customHeight="1" x14ac:dyDescent="0.25">
      <c r="A839" s="6">
        <v>836</v>
      </c>
      <c r="B839" s="31">
        <v>129751</v>
      </c>
      <c r="C839" s="31">
        <v>719</v>
      </c>
      <c r="D839" s="177" t="s">
        <v>143</v>
      </c>
      <c r="E839" s="83" t="s">
        <v>1056</v>
      </c>
      <c r="F839" s="31" t="s">
        <v>1389</v>
      </c>
      <c r="G839" s="11" t="s">
        <v>1353</v>
      </c>
      <c r="H839" s="11" t="s">
        <v>1996</v>
      </c>
      <c r="I839" s="177" t="s">
        <v>1390</v>
      </c>
      <c r="J839" s="25">
        <v>43808</v>
      </c>
      <c r="K839" s="25">
        <v>45269</v>
      </c>
      <c r="L839" s="26">
        <f t="shared" si="287"/>
        <v>83.983863268739327</v>
      </c>
      <c r="M839" s="11" t="s">
        <v>1343</v>
      </c>
      <c r="N839" s="11" t="s">
        <v>261</v>
      </c>
      <c r="O839" s="11" t="s">
        <v>137</v>
      </c>
      <c r="P839" s="27" t="s">
        <v>138</v>
      </c>
      <c r="Q839" s="11" t="s">
        <v>1344</v>
      </c>
      <c r="R839" s="1">
        <f t="shared" si="289"/>
        <v>12249086.770000001</v>
      </c>
      <c r="S839" s="2">
        <v>9877821.2400000002</v>
      </c>
      <c r="T839" s="2">
        <v>2371265.5300000007</v>
      </c>
      <c r="U839" s="1">
        <f t="shared" si="290"/>
        <v>0</v>
      </c>
      <c r="V839" s="28">
        <v>0</v>
      </c>
      <c r="W839" s="28">
        <v>0</v>
      </c>
      <c r="X839" s="1">
        <f t="shared" si="291"/>
        <v>2335961.23</v>
      </c>
      <c r="Y839" s="2">
        <v>1743144.91</v>
      </c>
      <c r="Z839" s="2">
        <v>592816.31999999995</v>
      </c>
      <c r="AA839" s="2">
        <v>0</v>
      </c>
      <c r="AB839" s="2">
        <v>0</v>
      </c>
      <c r="AC839" s="2">
        <v>0</v>
      </c>
      <c r="AD839" s="16">
        <f t="shared" si="296"/>
        <v>14585048.000000002</v>
      </c>
      <c r="AE839" s="2">
        <v>0</v>
      </c>
      <c r="AF839" s="2">
        <f t="shared" si="293"/>
        <v>14585048.000000002</v>
      </c>
      <c r="AG839" s="38" t="s">
        <v>486</v>
      </c>
      <c r="AH839" s="29" t="s">
        <v>1995</v>
      </c>
      <c r="AI839" s="30">
        <f>5479.11+803013.38+1418.49+33093.84+127932.05+539731.54+192111.07</f>
        <v>1702779.4800000002</v>
      </c>
      <c r="AJ839" s="30">
        <v>0</v>
      </c>
    </row>
    <row r="840" spans="1:36" s="179" customFormat="1" ht="279" customHeight="1" x14ac:dyDescent="0.25">
      <c r="A840" s="6">
        <v>837</v>
      </c>
      <c r="B840" s="31">
        <v>128013</v>
      </c>
      <c r="C840" s="11">
        <v>593</v>
      </c>
      <c r="D840" s="177" t="s">
        <v>143</v>
      </c>
      <c r="E840" s="83" t="s">
        <v>979</v>
      </c>
      <c r="F840" s="31" t="s">
        <v>1396</v>
      </c>
      <c r="G840" s="11" t="s">
        <v>1397</v>
      </c>
      <c r="H840" s="11" t="s">
        <v>1398</v>
      </c>
      <c r="I840" s="33" t="s">
        <v>3037</v>
      </c>
      <c r="J840" s="25">
        <v>43817</v>
      </c>
      <c r="K840" s="25">
        <v>45248</v>
      </c>
      <c r="L840" s="26">
        <f t="shared" si="287"/>
        <v>83.983862832153392</v>
      </c>
      <c r="M840" s="11" t="s">
        <v>1343</v>
      </c>
      <c r="N840" s="11" t="s">
        <v>261</v>
      </c>
      <c r="O840" s="11" t="s">
        <v>137</v>
      </c>
      <c r="P840" s="27" t="s">
        <v>138</v>
      </c>
      <c r="Q840" s="11" t="s">
        <v>1344</v>
      </c>
      <c r="R840" s="1">
        <f t="shared" si="289"/>
        <v>25152543.590000004</v>
      </c>
      <c r="S840" s="2">
        <v>20283335.010000002</v>
      </c>
      <c r="T840" s="2">
        <v>4869208.58</v>
      </c>
      <c r="U840" s="1">
        <f t="shared" si="290"/>
        <v>1562953.45</v>
      </c>
      <c r="V840" s="28">
        <v>1155035.78</v>
      </c>
      <c r="W840" s="28">
        <v>407917.67</v>
      </c>
      <c r="X840" s="1">
        <f t="shared" si="291"/>
        <v>3233760.76</v>
      </c>
      <c r="Y840" s="2">
        <v>2424376.25</v>
      </c>
      <c r="Z840" s="2">
        <v>809384.51</v>
      </c>
      <c r="AA840" s="2">
        <v>0</v>
      </c>
      <c r="AB840" s="2">
        <v>0</v>
      </c>
      <c r="AC840" s="2">
        <v>0</v>
      </c>
      <c r="AD840" s="16">
        <f t="shared" si="296"/>
        <v>29949257.800000004</v>
      </c>
      <c r="AE840" s="2">
        <v>0</v>
      </c>
      <c r="AF840" s="2">
        <f t="shared" si="293"/>
        <v>29949257.800000004</v>
      </c>
      <c r="AG840" s="38" t="s">
        <v>486</v>
      </c>
      <c r="AH840" s="29" t="s">
        <v>2270</v>
      </c>
      <c r="AI840" s="30">
        <v>0</v>
      </c>
      <c r="AJ840" s="30">
        <v>0</v>
      </c>
    </row>
    <row r="841" spans="1:36" s="179" customFormat="1" ht="171" customHeight="1" x14ac:dyDescent="0.25">
      <c r="A841" s="6">
        <v>838</v>
      </c>
      <c r="B841" s="31">
        <v>127465</v>
      </c>
      <c r="C841" s="31">
        <v>594</v>
      </c>
      <c r="D841" s="177" t="s">
        <v>143</v>
      </c>
      <c r="E841" s="83" t="s">
        <v>979</v>
      </c>
      <c r="F841" s="31" t="s">
        <v>1399</v>
      </c>
      <c r="G841" s="11" t="s">
        <v>1397</v>
      </c>
      <c r="H841" s="32" t="s">
        <v>1400</v>
      </c>
      <c r="I841" s="33" t="s">
        <v>3038</v>
      </c>
      <c r="J841" s="25">
        <v>43817</v>
      </c>
      <c r="K841" s="25">
        <v>45034</v>
      </c>
      <c r="L841" s="26">
        <f t="shared" si="287"/>
        <v>83.983863696765596</v>
      </c>
      <c r="M841" s="11" t="s">
        <v>1343</v>
      </c>
      <c r="N841" s="11" t="s">
        <v>261</v>
      </c>
      <c r="O841" s="11" t="s">
        <v>137</v>
      </c>
      <c r="P841" s="27" t="s">
        <v>138</v>
      </c>
      <c r="Q841" s="11" t="s">
        <v>1344</v>
      </c>
      <c r="R841" s="1">
        <f t="shared" si="289"/>
        <v>12185638.089999998</v>
      </c>
      <c r="S841" s="2">
        <v>9826655.4199999981</v>
      </c>
      <c r="T841" s="2">
        <v>2358982.6700000004</v>
      </c>
      <c r="U841" s="1">
        <f t="shared" si="290"/>
        <v>378009.1399999999</v>
      </c>
      <c r="V841" s="28">
        <v>279351.9599999999</v>
      </c>
      <c r="W841" s="28">
        <v>98657.18</v>
      </c>
      <c r="X841" s="1">
        <f t="shared" si="291"/>
        <v>1945852.04</v>
      </c>
      <c r="Y841" s="2">
        <v>1454763.61</v>
      </c>
      <c r="Z841" s="2">
        <v>491088.43</v>
      </c>
      <c r="AA841" s="2">
        <f>AB841+AC841</f>
        <v>0</v>
      </c>
      <c r="AB841" s="2">
        <v>0</v>
      </c>
      <c r="AC841" s="2">
        <v>0</v>
      </c>
      <c r="AD841" s="16">
        <f t="shared" si="296"/>
        <v>14509499.27</v>
      </c>
      <c r="AE841" s="2">
        <v>0</v>
      </c>
      <c r="AF841" s="2">
        <f t="shared" si="293"/>
        <v>14509499.27</v>
      </c>
      <c r="AG841" s="38" t="s">
        <v>486</v>
      </c>
      <c r="AH841" s="29" t="s">
        <v>3114</v>
      </c>
      <c r="AI841" s="30">
        <f>487906.23+763317.08+465485.1+555858.59+806980.21+689889.1+1084668.61+2245498.53+1374276.08+493129.39</f>
        <v>8967008.9199999999</v>
      </c>
      <c r="AJ841" s="30">
        <f>24029.1+31800.36+7428.8+24992.88+36585.59+22948.98+43740.48+22982.59+15439.07+11955.8</f>
        <v>241903.65</v>
      </c>
    </row>
    <row r="842" spans="1:36" s="179" customFormat="1" ht="279" customHeight="1" x14ac:dyDescent="0.25">
      <c r="A842" s="6">
        <v>839</v>
      </c>
      <c r="B842" s="31">
        <v>127579</v>
      </c>
      <c r="C842" s="31">
        <v>610</v>
      </c>
      <c r="D842" s="177" t="s">
        <v>143</v>
      </c>
      <c r="E842" s="83" t="s">
        <v>979</v>
      </c>
      <c r="F842" s="31" t="s">
        <v>1401</v>
      </c>
      <c r="G842" s="11" t="s">
        <v>1397</v>
      </c>
      <c r="H842" s="32" t="s">
        <v>1402</v>
      </c>
      <c r="I842" s="33" t="s">
        <v>3039</v>
      </c>
      <c r="J842" s="25">
        <v>43817</v>
      </c>
      <c r="K842" s="25">
        <v>44944</v>
      </c>
      <c r="L842" s="26">
        <f t="shared" si="287"/>
        <v>83.983862949682958</v>
      </c>
      <c r="M842" s="11" t="s">
        <v>1343</v>
      </c>
      <c r="N842" s="11" t="s">
        <v>261</v>
      </c>
      <c r="O842" s="11" t="s">
        <v>137</v>
      </c>
      <c r="P842" s="27" t="s">
        <v>138</v>
      </c>
      <c r="Q842" s="11" t="s">
        <v>1344</v>
      </c>
      <c r="R842" s="1">
        <f t="shared" si="289"/>
        <v>14412959.909999998</v>
      </c>
      <c r="S842" s="2">
        <v>11622796.469999999</v>
      </c>
      <c r="T842" s="2">
        <v>2790163.439999999</v>
      </c>
      <c r="U842" s="1">
        <f t="shared" si="290"/>
        <v>488856.25999999995</v>
      </c>
      <c r="V842" s="28">
        <v>361268.92999999993</v>
      </c>
      <c r="W842" s="28">
        <v>127587.33</v>
      </c>
      <c r="X842" s="1">
        <f t="shared" si="291"/>
        <v>2259766.31</v>
      </c>
      <c r="Y842" s="2">
        <v>1689812.74</v>
      </c>
      <c r="Z842" s="2">
        <v>569953.56999999995</v>
      </c>
      <c r="AA842" s="2">
        <f>AB842+AC842</f>
        <v>0</v>
      </c>
      <c r="AB842" s="2">
        <v>0</v>
      </c>
      <c r="AC842" s="2">
        <v>0</v>
      </c>
      <c r="AD842" s="16">
        <f t="shared" si="296"/>
        <v>17161582.479999997</v>
      </c>
      <c r="AE842" s="2">
        <v>0</v>
      </c>
      <c r="AF842" s="2">
        <f t="shared" si="293"/>
        <v>17161582.479999997</v>
      </c>
      <c r="AG842" s="38" t="s">
        <v>486</v>
      </c>
      <c r="AH842" s="29" t="s">
        <v>2076</v>
      </c>
      <c r="AI842" s="30">
        <f>130139.18+185592.98+455227.72+446096.57+278816.11+494928.6+2415576.21+367916.03+900801.12</f>
        <v>5675094.5200000005</v>
      </c>
      <c r="AJ842" s="30">
        <f>14582.67+13439.8+31835.77+41361.65+21148.02+56798.48+53525.62+12502.68+38528.04</f>
        <v>283722.73</v>
      </c>
    </row>
    <row r="843" spans="1:36" s="179" customFormat="1" ht="279" customHeight="1" x14ac:dyDescent="0.25">
      <c r="A843" s="6">
        <v>840</v>
      </c>
      <c r="B843" s="31">
        <v>129170</v>
      </c>
      <c r="C843" s="31">
        <v>724</v>
      </c>
      <c r="D843" s="177" t="s">
        <v>143</v>
      </c>
      <c r="E843" s="83" t="s">
        <v>1056</v>
      </c>
      <c r="F843" s="31" t="s">
        <v>1406</v>
      </c>
      <c r="G843" s="11" t="s">
        <v>55</v>
      </c>
      <c r="H843" s="32" t="s">
        <v>1407</v>
      </c>
      <c r="I843" s="33" t="s">
        <v>1887</v>
      </c>
      <c r="J843" s="25">
        <v>43819</v>
      </c>
      <c r="K843" s="25">
        <v>44915</v>
      </c>
      <c r="L843" s="26">
        <f t="shared" si="287"/>
        <v>83.983863218572864</v>
      </c>
      <c r="M843" s="11" t="s">
        <v>1343</v>
      </c>
      <c r="N843" s="11" t="s">
        <v>261</v>
      </c>
      <c r="O843" s="11" t="s">
        <v>137</v>
      </c>
      <c r="P843" s="27" t="s">
        <v>138</v>
      </c>
      <c r="Q843" s="11" t="s">
        <v>1344</v>
      </c>
      <c r="R843" s="1">
        <f t="shared" si="289"/>
        <v>19868936.969999999</v>
      </c>
      <c r="S843" s="2">
        <v>16022566.539999999</v>
      </c>
      <c r="T843" s="2">
        <v>3846370.43</v>
      </c>
      <c r="U843" s="1">
        <f t="shared" si="290"/>
        <v>1348294.18</v>
      </c>
      <c r="V843" s="28">
        <v>996400.74</v>
      </c>
      <c r="W843" s="28">
        <v>351893.44</v>
      </c>
      <c r="X843" s="1">
        <f t="shared" si="291"/>
        <v>2440810.06</v>
      </c>
      <c r="Y843" s="2">
        <v>1831110.97</v>
      </c>
      <c r="Z843" s="2">
        <v>609699.09</v>
      </c>
      <c r="AA843" s="2">
        <f>AB843+AC843</f>
        <v>0</v>
      </c>
      <c r="AB843" s="2">
        <v>0</v>
      </c>
      <c r="AC843" s="2">
        <v>0</v>
      </c>
      <c r="AD843" s="16">
        <f t="shared" si="296"/>
        <v>23658041.209999997</v>
      </c>
      <c r="AE843" s="2">
        <v>0</v>
      </c>
      <c r="AF843" s="2">
        <f t="shared" si="293"/>
        <v>23658041.209999997</v>
      </c>
      <c r="AG843" s="38" t="s">
        <v>486</v>
      </c>
      <c r="AH843" s="29"/>
      <c r="AI843" s="30">
        <f>57948.86+247162.83+251292.32+1050536.25+2456366.06+2013781.03</f>
        <v>6077087.3500000006</v>
      </c>
      <c r="AJ843" s="30">
        <f>9154.08+23419+115023.53+125968.5+168821.99</f>
        <v>442387.1</v>
      </c>
    </row>
    <row r="844" spans="1:36" s="179" customFormat="1" ht="279" customHeight="1" x14ac:dyDescent="0.25">
      <c r="A844" s="6">
        <v>841</v>
      </c>
      <c r="B844" s="31">
        <v>127548</v>
      </c>
      <c r="C844" s="31">
        <v>591</v>
      </c>
      <c r="D844" s="177" t="s">
        <v>143</v>
      </c>
      <c r="E844" s="83" t="s">
        <v>979</v>
      </c>
      <c r="F844" s="31" t="s">
        <v>1409</v>
      </c>
      <c r="G844" s="11" t="s">
        <v>1410</v>
      </c>
      <c r="H844" s="8" t="s">
        <v>151</v>
      </c>
      <c r="I844" s="33" t="s">
        <v>1411</v>
      </c>
      <c r="J844" s="25">
        <v>43822</v>
      </c>
      <c r="K844" s="25">
        <v>45283</v>
      </c>
      <c r="L844" s="26">
        <f t="shared" si="287"/>
        <v>83.983862775942143</v>
      </c>
      <c r="M844" s="11" t="s">
        <v>1343</v>
      </c>
      <c r="N844" s="11" t="s">
        <v>261</v>
      </c>
      <c r="O844" s="11" t="s">
        <v>137</v>
      </c>
      <c r="P844" s="27" t="s">
        <v>138</v>
      </c>
      <c r="Q844" s="11" t="s">
        <v>1344</v>
      </c>
      <c r="R844" s="1">
        <f t="shared" si="289"/>
        <v>14146050.220000001</v>
      </c>
      <c r="S844" s="2">
        <v>11407557.030000001</v>
      </c>
      <c r="T844" s="2">
        <v>2738493.1899999995</v>
      </c>
      <c r="U844" s="1">
        <f t="shared" si="290"/>
        <v>0</v>
      </c>
      <c r="V844" s="28">
        <v>0</v>
      </c>
      <c r="W844" s="28">
        <v>0</v>
      </c>
      <c r="X844" s="1">
        <f t="shared" si="291"/>
        <v>2697721.6100000003</v>
      </c>
      <c r="Y844" s="2">
        <v>2013098.3</v>
      </c>
      <c r="Z844" s="2">
        <v>684623.31</v>
      </c>
      <c r="AA844" s="2">
        <f>AB844+AC844</f>
        <v>0</v>
      </c>
      <c r="AB844" s="2">
        <v>0</v>
      </c>
      <c r="AC844" s="2">
        <v>0</v>
      </c>
      <c r="AD844" s="16">
        <f t="shared" si="296"/>
        <v>16843771.830000002</v>
      </c>
      <c r="AE844" s="2">
        <v>0</v>
      </c>
      <c r="AF844" s="2">
        <f t="shared" si="293"/>
        <v>16843771.830000002</v>
      </c>
      <c r="AG844" s="38" t="s">
        <v>486</v>
      </c>
      <c r="AH844" s="29" t="s">
        <v>2193</v>
      </c>
      <c r="AI844" s="30">
        <f>12852.93+100262.57+75904.63+91562.57+86924.98+85284.77+138020.88</f>
        <v>590813.33000000007</v>
      </c>
      <c r="AJ844" s="30">
        <v>0</v>
      </c>
    </row>
    <row r="845" spans="1:36" s="179" customFormat="1" ht="279" customHeight="1" x14ac:dyDescent="0.25">
      <c r="A845" s="6">
        <v>842</v>
      </c>
      <c r="B845" s="31">
        <v>130709</v>
      </c>
      <c r="C845" s="31">
        <v>753</v>
      </c>
      <c r="D845" s="177" t="s">
        <v>144</v>
      </c>
      <c r="E845" s="83" t="s">
        <v>1366</v>
      </c>
      <c r="F845" s="31" t="s">
        <v>1368</v>
      </c>
      <c r="G845" s="11" t="s">
        <v>1367</v>
      </c>
      <c r="H845" s="11" t="s">
        <v>1369</v>
      </c>
      <c r="I845" s="32" t="s">
        <v>1370</v>
      </c>
      <c r="J845" s="25">
        <v>43783</v>
      </c>
      <c r="K845" s="25">
        <v>45183</v>
      </c>
      <c r="L845" s="26">
        <f t="shared" si="287"/>
        <v>83.983862999050473</v>
      </c>
      <c r="M845" s="11" t="s">
        <v>1343</v>
      </c>
      <c r="N845" s="11" t="s">
        <v>261</v>
      </c>
      <c r="O845" s="11" t="s">
        <v>137</v>
      </c>
      <c r="P845" s="27" t="s">
        <v>138</v>
      </c>
      <c r="Q845" s="11" t="s">
        <v>1344</v>
      </c>
      <c r="R845" s="1">
        <f t="shared" si="289"/>
        <v>41902444.089999996</v>
      </c>
      <c r="S845" s="2">
        <v>33790670.389999993</v>
      </c>
      <c r="T845" s="2">
        <v>8111773.7000000002</v>
      </c>
      <c r="U845" s="1">
        <f t="shared" si="290"/>
        <v>0</v>
      </c>
      <c r="V845" s="28">
        <v>0</v>
      </c>
      <c r="W845" s="28">
        <v>0</v>
      </c>
      <c r="X845" s="1">
        <f t="shared" si="291"/>
        <v>7991002.8099999996</v>
      </c>
      <c r="Y845" s="2">
        <v>5963059.4199999999</v>
      </c>
      <c r="Z845" s="2">
        <v>2027943.39</v>
      </c>
      <c r="AA845" s="2">
        <v>0</v>
      </c>
      <c r="AB845" s="2">
        <v>0</v>
      </c>
      <c r="AC845" s="2">
        <v>0</v>
      </c>
      <c r="AD845" s="16">
        <f t="shared" si="296"/>
        <v>49893446.899999999</v>
      </c>
      <c r="AE845" s="2">
        <v>27762.36</v>
      </c>
      <c r="AF845" s="2">
        <f t="shared" si="293"/>
        <v>49921209.259999998</v>
      </c>
      <c r="AG845" s="38" t="s">
        <v>486</v>
      </c>
      <c r="AH845" s="29" t="s">
        <v>1788</v>
      </c>
      <c r="AI845" s="30">
        <f>564656.74+805645.99+3598507.54+928356.46+2746835.89+4251380.42+751222.12</f>
        <v>13646605.159999998</v>
      </c>
      <c r="AJ845" s="30">
        <v>0</v>
      </c>
    </row>
    <row r="846" spans="1:36" s="179" customFormat="1" ht="279" customHeight="1" x14ac:dyDescent="0.25">
      <c r="A846" s="6">
        <v>843</v>
      </c>
      <c r="B846" s="31">
        <v>130048</v>
      </c>
      <c r="C846" s="31">
        <v>729</v>
      </c>
      <c r="D846" s="177" t="s">
        <v>143</v>
      </c>
      <c r="E846" s="83" t="s">
        <v>1056</v>
      </c>
      <c r="F846" s="31" t="s">
        <v>1422</v>
      </c>
      <c r="G846" s="11" t="s">
        <v>1423</v>
      </c>
      <c r="H846" s="11"/>
      <c r="I846" s="33" t="s">
        <v>3040</v>
      </c>
      <c r="J846" s="25">
        <v>43858</v>
      </c>
      <c r="K846" s="25">
        <v>45135</v>
      </c>
      <c r="L846" s="26">
        <f t="shared" ref="L846:L877" si="297">R846/AD846*100</f>
        <v>83.983862842436835</v>
      </c>
      <c r="M846" s="11" t="s">
        <v>1343</v>
      </c>
      <c r="N846" s="11" t="s">
        <v>261</v>
      </c>
      <c r="O846" s="11" t="s">
        <v>137</v>
      </c>
      <c r="P846" s="27" t="s">
        <v>138</v>
      </c>
      <c r="Q846" s="11" t="s">
        <v>1344</v>
      </c>
      <c r="R846" s="1">
        <f t="shared" ref="R846:R892" si="298">S846+T846</f>
        <v>85646819.920000002</v>
      </c>
      <c r="S846" s="2">
        <v>69066698.280000001</v>
      </c>
      <c r="T846" s="2">
        <v>16580121.640000001</v>
      </c>
      <c r="U846" s="1">
        <f t="shared" ref="U846:U892" si="299">V846+W846</f>
        <v>0</v>
      </c>
      <c r="V846" s="28">
        <v>0</v>
      </c>
      <c r="W846" s="28">
        <v>0</v>
      </c>
      <c r="X846" s="1">
        <f t="shared" ref="X846:X892" si="300">Y846+Z846</f>
        <v>16333271.279999999</v>
      </c>
      <c r="Y846" s="2">
        <v>12188240.859999999</v>
      </c>
      <c r="Z846" s="2">
        <v>4145030.42</v>
      </c>
      <c r="AA846" s="2">
        <f t="shared" ref="AA846:AA892" si="301">AB846+AC846</f>
        <v>0</v>
      </c>
      <c r="AB846" s="2">
        <v>0</v>
      </c>
      <c r="AC846" s="2">
        <v>0</v>
      </c>
      <c r="AD846" s="16">
        <f t="shared" si="296"/>
        <v>101980091.2</v>
      </c>
      <c r="AE846" s="2">
        <v>0</v>
      </c>
      <c r="AF846" s="2">
        <f t="shared" ref="AF846:AF892" si="302">AD846+AE846</f>
        <v>101980091.2</v>
      </c>
      <c r="AG846" s="38" t="s">
        <v>486</v>
      </c>
      <c r="AH846" s="29" t="s">
        <v>1940</v>
      </c>
      <c r="AI846" s="30">
        <f>49139.8+35424.39+151117.2+88973.34+157077.54+150417.62+346969.55+215067.56+193623.11</f>
        <v>1387810.1099999999</v>
      </c>
      <c r="AJ846" s="30">
        <v>0</v>
      </c>
    </row>
    <row r="847" spans="1:36" s="179" customFormat="1" ht="375.75" customHeight="1" x14ac:dyDescent="0.25">
      <c r="A847" s="6">
        <v>844</v>
      </c>
      <c r="B847" s="31">
        <v>127559</v>
      </c>
      <c r="C847" s="31">
        <v>601</v>
      </c>
      <c r="D847" s="177" t="s">
        <v>143</v>
      </c>
      <c r="E847" s="83" t="s">
        <v>979</v>
      </c>
      <c r="F847" s="31" t="s">
        <v>1426</v>
      </c>
      <c r="G847" s="11" t="s">
        <v>1397</v>
      </c>
      <c r="H847" s="11" t="s">
        <v>1199</v>
      </c>
      <c r="I847" s="33" t="s">
        <v>3041</v>
      </c>
      <c r="J847" s="25">
        <v>43867</v>
      </c>
      <c r="K847" s="25">
        <v>45266</v>
      </c>
      <c r="L847" s="26">
        <f t="shared" si="297"/>
        <v>83.983863045863743</v>
      </c>
      <c r="M847" s="11" t="s">
        <v>1343</v>
      </c>
      <c r="N847" s="11" t="s">
        <v>261</v>
      </c>
      <c r="O847" s="11" t="s">
        <v>137</v>
      </c>
      <c r="P847" s="27" t="s">
        <v>138</v>
      </c>
      <c r="Q847" s="11" t="s">
        <v>1344</v>
      </c>
      <c r="R847" s="1">
        <f t="shared" si="298"/>
        <v>9288170.129999999</v>
      </c>
      <c r="S847" s="2">
        <v>7490100.0199999996</v>
      </c>
      <c r="T847" s="2">
        <v>1798070.11</v>
      </c>
      <c r="U847" s="1">
        <f t="shared" si="299"/>
        <v>735571.09</v>
      </c>
      <c r="V847" s="28">
        <v>543593.19999999995</v>
      </c>
      <c r="W847" s="28">
        <v>191977.89</v>
      </c>
      <c r="X847" s="1">
        <f t="shared" si="300"/>
        <v>1035728.77</v>
      </c>
      <c r="Y847" s="2">
        <v>778189.08</v>
      </c>
      <c r="Z847" s="2">
        <v>257539.69</v>
      </c>
      <c r="AA847" s="2">
        <f t="shared" si="301"/>
        <v>0</v>
      </c>
      <c r="AB847" s="2">
        <v>0</v>
      </c>
      <c r="AC847" s="2">
        <v>0</v>
      </c>
      <c r="AD847" s="16">
        <f t="shared" si="296"/>
        <v>11059469.989999998</v>
      </c>
      <c r="AE847" s="2">
        <v>0</v>
      </c>
      <c r="AF847" s="2">
        <f t="shared" si="302"/>
        <v>11059469.989999998</v>
      </c>
      <c r="AG847" s="38" t="s">
        <v>486</v>
      </c>
      <c r="AH847" s="29" t="s">
        <v>2181</v>
      </c>
      <c r="AI847" s="30">
        <f>259423.64+367235.74</f>
        <v>626659.38</v>
      </c>
      <c r="AJ847" s="30">
        <f>30036.58+3351.54</f>
        <v>33388.120000000003</v>
      </c>
    </row>
    <row r="848" spans="1:36" s="179" customFormat="1" ht="375.75" customHeight="1" x14ac:dyDescent="0.25">
      <c r="A848" s="6">
        <v>845</v>
      </c>
      <c r="B848" s="31">
        <v>129439</v>
      </c>
      <c r="C848" s="31">
        <v>733</v>
      </c>
      <c r="D848" s="177" t="s">
        <v>143</v>
      </c>
      <c r="E848" s="83" t="s">
        <v>1056</v>
      </c>
      <c r="F848" s="31" t="s">
        <v>1428</v>
      </c>
      <c r="G848" s="11" t="s">
        <v>55</v>
      </c>
      <c r="H848" s="11" t="s">
        <v>1429</v>
      </c>
      <c r="I848" s="33" t="s">
        <v>1430</v>
      </c>
      <c r="J848" s="25">
        <v>43892</v>
      </c>
      <c r="K848" s="25">
        <v>44987</v>
      </c>
      <c r="L848" s="26">
        <f t="shared" si="297"/>
        <v>83.674685010841756</v>
      </c>
      <c r="M848" s="11" t="s">
        <v>1343</v>
      </c>
      <c r="N848" s="11" t="s">
        <v>261</v>
      </c>
      <c r="O848" s="11" t="s">
        <v>137</v>
      </c>
      <c r="P848" s="27" t="s">
        <v>138</v>
      </c>
      <c r="Q848" s="11" t="s">
        <v>1344</v>
      </c>
      <c r="R848" s="1">
        <f t="shared" si="298"/>
        <v>20986867.920000024</v>
      </c>
      <c r="S848" s="2">
        <v>16924080.510000024</v>
      </c>
      <c r="T848" s="2">
        <v>4062787.4099999983</v>
      </c>
      <c r="U848" s="1">
        <f t="shared" si="299"/>
        <v>724636.68999999971</v>
      </c>
      <c r="V848" s="28">
        <v>540739.60999999975</v>
      </c>
      <c r="W848" s="28">
        <v>183897.08</v>
      </c>
      <c r="X848" s="1">
        <f t="shared" si="300"/>
        <v>3277662.4800000004</v>
      </c>
      <c r="Y848" s="28">
        <v>2445862.7400000002</v>
      </c>
      <c r="Z848" s="28">
        <v>831799.74</v>
      </c>
      <c r="AA848" s="2">
        <f t="shared" si="301"/>
        <v>92335.06</v>
      </c>
      <c r="AB848" s="2">
        <v>73570.02</v>
      </c>
      <c r="AC848" s="2">
        <v>18765.04</v>
      </c>
      <c r="AD848" s="16">
        <f t="shared" si="296"/>
        <v>25081502.150000025</v>
      </c>
      <c r="AE848" s="2">
        <v>0</v>
      </c>
      <c r="AF848" s="2">
        <f t="shared" si="302"/>
        <v>25081502.150000025</v>
      </c>
      <c r="AG848" s="38" t="s">
        <v>486</v>
      </c>
      <c r="AH848" s="29" t="s">
        <v>1840</v>
      </c>
      <c r="AI848" s="30">
        <f>136005-607.39+307819.33+278885.5+644256.78+402297.58+276349.48+213618.51+439668.03+640661.2</f>
        <v>3338954.0200000005</v>
      </c>
      <c r="AJ848" s="30">
        <f>13919.68+26307.53+17343.02+36825.52+37718.75+8712.05+27171.57+37727.89+33275.55</f>
        <v>239001.56</v>
      </c>
    </row>
    <row r="849" spans="1:36" s="179" customFormat="1" ht="173.25" x14ac:dyDescent="0.25">
      <c r="A849" s="6">
        <v>846</v>
      </c>
      <c r="B849" s="31">
        <v>129990</v>
      </c>
      <c r="C849" s="31">
        <v>705</v>
      </c>
      <c r="D849" s="177" t="s">
        <v>143</v>
      </c>
      <c r="E849" s="83" t="s">
        <v>1056</v>
      </c>
      <c r="F849" s="31" t="s">
        <v>1557</v>
      </c>
      <c r="G849" s="11" t="s">
        <v>1556</v>
      </c>
      <c r="H849" s="8" t="s">
        <v>151</v>
      </c>
      <c r="I849" s="33" t="s">
        <v>3042</v>
      </c>
      <c r="J849" s="25">
        <v>44014</v>
      </c>
      <c r="K849" s="25">
        <v>44897</v>
      </c>
      <c r="L849" s="26">
        <f t="shared" si="297"/>
        <v>83.983862901115401</v>
      </c>
      <c r="M849" s="11" t="s">
        <v>1343</v>
      </c>
      <c r="N849" s="11" t="s">
        <v>261</v>
      </c>
      <c r="O849" s="11" t="s">
        <v>137</v>
      </c>
      <c r="P849" s="27" t="s">
        <v>138</v>
      </c>
      <c r="Q849" s="11" t="s">
        <v>1344</v>
      </c>
      <c r="R849" s="1">
        <f t="shared" si="298"/>
        <v>16144444.26</v>
      </c>
      <c r="S849" s="2">
        <v>13019087.710000001</v>
      </c>
      <c r="T849" s="2">
        <v>3125356.5499999993</v>
      </c>
      <c r="U849" s="1">
        <f t="shared" si="299"/>
        <v>2694359.81</v>
      </c>
      <c r="V849" s="28">
        <v>1991154.59</v>
      </c>
      <c r="W849" s="28">
        <v>703205.21999999986</v>
      </c>
      <c r="X849" s="1">
        <f t="shared" si="300"/>
        <v>384465.38</v>
      </c>
      <c r="Y849" s="28">
        <v>306331.46000000002</v>
      </c>
      <c r="Z849" s="28">
        <v>78133.919999999998</v>
      </c>
      <c r="AA849" s="2">
        <f t="shared" si="301"/>
        <v>0</v>
      </c>
      <c r="AB849" s="2">
        <v>0</v>
      </c>
      <c r="AC849" s="2">
        <v>0</v>
      </c>
      <c r="AD849" s="16">
        <f t="shared" si="296"/>
        <v>19223269.449999999</v>
      </c>
      <c r="AE849" s="2">
        <v>0</v>
      </c>
      <c r="AF849" s="2">
        <f t="shared" si="302"/>
        <v>19223269.449999999</v>
      </c>
      <c r="AG849" s="38" t="s">
        <v>486</v>
      </c>
      <c r="AH849" s="29" t="s">
        <v>3210</v>
      </c>
      <c r="AI849" s="30">
        <f>246923.22+195477.64+569003.02+318383.67+752930.88</f>
        <v>2082718.4300000002</v>
      </c>
      <c r="AJ849" s="30">
        <f>41209.23+32623.41+94961.39+53135.31+125657.26</f>
        <v>347586.6</v>
      </c>
    </row>
    <row r="850" spans="1:36" s="179" customFormat="1" ht="141.75" x14ac:dyDescent="0.25">
      <c r="A850" s="6">
        <v>847</v>
      </c>
      <c r="B850" s="31">
        <v>135331</v>
      </c>
      <c r="C850" s="31">
        <v>763</v>
      </c>
      <c r="D850" s="177" t="s">
        <v>145</v>
      </c>
      <c r="E850" s="83" t="s">
        <v>1179</v>
      </c>
      <c r="F850" s="31" t="s">
        <v>1584</v>
      </c>
      <c r="G850" s="11" t="s">
        <v>122</v>
      </c>
      <c r="H850" s="11" t="s">
        <v>1585</v>
      </c>
      <c r="I850" s="33" t="s">
        <v>3043</v>
      </c>
      <c r="J850" s="25">
        <v>44022</v>
      </c>
      <c r="K850" s="25">
        <v>44752</v>
      </c>
      <c r="L850" s="26">
        <f t="shared" si="297"/>
        <v>83.983862244196644</v>
      </c>
      <c r="M850" s="11" t="s">
        <v>1343</v>
      </c>
      <c r="N850" s="11" t="s">
        <v>261</v>
      </c>
      <c r="O850" s="11" t="s">
        <v>137</v>
      </c>
      <c r="P850" s="27" t="s">
        <v>138</v>
      </c>
      <c r="Q850" s="11" t="s">
        <v>34</v>
      </c>
      <c r="R850" s="1">
        <f t="shared" si="298"/>
        <v>3218611.31</v>
      </c>
      <c r="S850" s="2">
        <v>2595529.63</v>
      </c>
      <c r="T850" s="2">
        <v>623081.68000000005</v>
      </c>
      <c r="U850" s="1">
        <f t="shared" si="299"/>
        <v>0</v>
      </c>
      <c r="V850" s="28">
        <v>0</v>
      </c>
      <c r="W850" s="28">
        <v>0</v>
      </c>
      <c r="X850" s="1">
        <f t="shared" si="300"/>
        <v>613805.09</v>
      </c>
      <c r="Y850" s="28">
        <v>458034.63</v>
      </c>
      <c r="Z850" s="28">
        <v>155770.46</v>
      </c>
      <c r="AA850" s="2">
        <f t="shared" si="301"/>
        <v>0</v>
      </c>
      <c r="AB850" s="2">
        <v>0</v>
      </c>
      <c r="AC850" s="2">
        <v>0</v>
      </c>
      <c r="AD850" s="16">
        <f t="shared" si="296"/>
        <v>3832416.4</v>
      </c>
      <c r="AE850" s="2">
        <v>79730</v>
      </c>
      <c r="AF850" s="2">
        <f t="shared" si="302"/>
        <v>3912146.4</v>
      </c>
      <c r="AG850" s="38" t="s">
        <v>486</v>
      </c>
      <c r="AH850" s="29" t="s">
        <v>2364</v>
      </c>
      <c r="AI850" s="30">
        <f>11666.2+16032.52+23659.93+43482.93+43041.68+19548.09+31323.46</f>
        <v>188754.81</v>
      </c>
      <c r="AJ850" s="30">
        <v>0</v>
      </c>
    </row>
    <row r="851" spans="1:36" s="179" customFormat="1" ht="141.75" x14ac:dyDescent="0.25">
      <c r="A851" s="6">
        <v>848</v>
      </c>
      <c r="B851" s="31">
        <v>133609</v>
      </c>
      <c r="C851" s="31">
        <v>756</v>
      </c>
      <c r="D851" s="177" t="s">
        <v>145</v>
      </c>
      <c r="E851" s="83" t="s">
        <v>1179</v>
      </c>
      <c r="F851" s="31" t="s">
        <v>1598</v>
      </c>
      <c r="G851" s="11" t="s">
        <v>99</v>
      </c>
      <c r="H851" s="11" t="s">
        <v>1585</v>
      </c>
      <c r="I851" s="33" t="s">
        <v>1599</v>
      </c>
      <c r="J851" s="25">
        <v>44041</v>
      </c>
      <c r="K851" s="25">
        <v>45289</v>
      </c>
      <c r="L851" s="26">
        <f t="shared" si="297"/>
        <v>83.983862912035761</v>
      </c>
      <c r="M851" s="11" t="s">
        <v>1343</v>
      </c>
      <c r="N851" s="11" t="s">
        <v>261</v>
      </c>
      <c r="O851" s="11" t="s">
        <v>137</v>
      </c>
      <c r="P851" s="27" t="s">
        <v>138</v>
      </c>
      <c r="Q851" s="11" t="s">
        <v>34</v>
      </c>
      <c r="R851" s="1">
        <f t="shared" si="298"/>
        <v>15409396.120000001</v>
      </c>
      <c r="S851" s="2">
        <v>12426335.420000002</v>
      </c>
      <c r="T851" s="2">
        <v>2983060.7</v>
      </c>
      <c r="U851" s="1">
        <f t="shared" si="299"/>
        <v>0</v>
      </c>
      <c r="V851" s="28">
        <v>0</v>
      </c>
      <c r="W851" s="28">
        <v>0</v>
      </c>
      <c r="X851" s="1">
        <f t="shared" si="300"/>
        <v>2938647.88</v>
      </c>
      <c r="Y851" s="28">
        <v>2192882.71</v>
      </c>
      <c r="Z851" s="28">
        <v>745765.17</v>
      </c>
      <c r="AA851" s="2">
        <f t="shared" si="301"/>
        <v>0</v>
      </c>
      <c r="AB851" s="2">
        <v>0</v>
      </c>
      <c r="AC851" s="2">
        <v>0</v>
      </c>
      <c r="AD851" s="16">
        <f t="shared" si="296"/>
        <v>18348044</v>
      </c>
      <c r="AE851" s="2">
        <v>0</v>
      </c>
      <c r="AF851" s="2">
        <f t="shared" si="302"/>
        <v>18348044</v>
      </c>
      <c r="AG851" s="38" t="s">
        <v>486</v>
      </c>
      <c r="AH851" s="29" t="s">
        <v>3253</v>
      </c>
      <c r="AI851" s="30">
        <f>4635.91+75233.17+88898.76</f>
        <v>168767.84</v>
      </c>
      <c r="AJ851" s="30">
        <v>0</v>
      </c>
    </row>
    <row r="852" spans="1:36" s="179" customFormat="1" ht="141.75" x14ac:dyDescent="0.25">
      <c r="A852" s="6">
        <v>849</v>
      </c>
      <c r="B852" s="31">
        <v>135225</v>
      </c>
      <c r="C852" s="11">
        <v>760</v>
      </c>
      <c r="D852" s="177" t="s">
        <v>145</v>
      </c>
      <c r="E852" s="83" t="s">
        <v>1179</v>
      </c>
      <c r="F852" s="11" t="s">
        <v>1601</v>
      </c>
      <c r="G852" s="11" t="s">
        <v>810</v>
      </c>
      <c r="H852" s="8" t="s">
        <v>151</v>
      </c>
      <c r="I852" s="12" t="s">
        <v>1602</v>
      </c>
      <c r="J852" s="25">
        <v>44047</v>
      </c>
      <c r="K852" s="25">
        <v>45142</v>
      </c>
      <c r="L852" s="26">
        <f t="shared" si="297"/>
        <v>83.983862967148042</v>
      </c>
      <c r="M852" s="11" t="s">
        <v>1343</v>
      </c>
      <c r="N852" s="11" t="s">
        <v>261</v>
      </c>
      <c r="O852" s="11" t="s">
        <v>137</v>
      </c>
      <c r="P852" s="27" t="s">
        <v>138</v>
      </c>
      <c r="Q852" s="11" t="s">
        <v>34</v>
      </c>
      <c r="R852" s="1">
        <f t="shared" si="298"/>
        <v>15620059.060000001</v>
      </c>
      <c r="S852" s="2">
        <v>12596216.710000001</v>
      </c>
      <c r="T852" s="2">
        <v>3023842.35</v>
      </c>
      <c r="U852" s="1">
        <f t="shared" si="299"/>
        <v>0</v>
      </c>
      <c r="V852" s="28">
        <v>0</v>
      </c>
      <c r="W852" s="28">
        <v>0</v>
      </c>
      <c r="X852" s="1">
        <f t="shared" si="300"/>
        <v>2978822.33</v>
      </c>
      <c r="Y852" s="28">
        <v>2222861.7799999998</v>
      </c>
      <c r="Z852" s="28">
        <v>755960.55</v>
      </c>
      <c r="AA852" s="2">
        <f t="shared" si="301"/>
        <v>0</v>
      </c>
      <c r="AB852" s="2">
        <v>0</v>
      </c>
      <c r="AC852" s="2">
        <v>0</v>
      </c>
      <c r="AD852" s="16">
        <f t="shared" si="296"/>
        <v>18598881.390000001</v>
      </c>
      <c r="AE852" s="2">
        <v>0</v>
      </c>
      <c r="AF852" s="2">
        <f t="shared" si="302"/>
        <v>18598881.390000001</v>
      </c>
      <c r="AG852" s="38" t="s">
        <v>486</v>
      </c>
      <c r="AH852" s="29"/>
      <c r="AI852" s="30">
        <f>36440.6+102869.06+91428.19+210128.27+347717.23+236122.81+213337.48</f>
        <v>1238043.6399999999</v>
      </c>
      <c r="AJ852" s="30">
        <v>0</v>
      </c>
    </row>
    <row r="853" spans="1:36" s="179" customFormat="1" ht="204.75" x14ac:dyDescent="0.25">
      <c r="A853" s="6">
        <v>850</v>
      </c>
      <c r="B853" s="31">
        <v>133850</v>
      </c>
      <c r="C853" s="31">
        <v>761</v>
      </c>
      <c r="D853" s="177" t="s">
        <v>145</v>
      </c>
      <c r="E853" s="83" t="s">
        <v>1179</v>
      </c>
      <c r="F853" s="31" t="s">
        <v>1603</v>
      </c>
      <c r="G853" s="11" t="s">
        <v>810</v>
      </c>
      <c r="H853" s="11" t="s">
        <v>1585</v>
      </c>
      <c r="I853" s="33" t="s">
        <v>1604</v>
      </c>
      <c r="J853" s="25">
        <v>44047</v>
      </c>
      <c r="K853" s="25">
        <v>45142</v>
      </c>
      <c r="L853" s="26">
        <f t="shared" si="297"/>
        <v>83.983863128517754</v>
      </c>
      <c r="M853" s="11" t="s">
        <v>1343</v>
      </c>
      <c r="N853" s="11" t="s">
        <v>261</v>
      </c>
      <c r="O853" s="11" t="s">
        <v>137</v>
      </c>
      <c r="P853" s="27" t="s">
        <v>138</v>
      </c>
      <c r="Q853" s="11" t="s">
        <v>34</v>
      </c>
      <c r="R853" s="1">
        <f t="shared" si="298"/>
        <v>12939698.83</v>
      </c>
      <c r="S853" s="2">
        <v>10434739.720000001</v>
      </c>
      <c r="T853" s="2">
        <v>2504959.11</v>
      </c>
      <c r="U853" s="1">
        <f t="shared" si="299"/>
        <v>0</v>
      </c>
      <c r="V853" s="28">
        <v>0</v>
      </c>
      <c r="W853" s="28">
        <v>0</v>
      </c>
      <c r="X853" s="1">
        <f t="shared" si="300"/>
        <v>2467664.38</v>
      </c>
      <c r="Y853" s="28">
        <v>1841424.63</v>
      </c>
      <c r="Z853" s="28">
        <v>626239.75</v>
      </c>
      <c r="AA853" s="2">
        <f t="shared" si="301"/>
        <v>0</v>
      </c>
      <c r="AB853" s="2">
        <v>0</v>
      </c>
      <c r="AC853" s="2">
        <v>0</v>
      </c>
      <c r="AD853" s="16">
        <f t="shared" si="296"/>
        <v>15407363.210000001</v>
      </c>
      <c r="AE853" s="2">
        <v>0</v>
      </c>
      <c r="AF853" s="2">
        <f t="shared" si="302"/>
        <v>15407363.210000001</v>
      </c>
      <c r="AG853" s="38" t="s">
        <v>486</v>
      </c>
      <c r="AH853" s="29" t="s">
        <v>1769</v>
      </c>
      <c r="AI853" s="30">
        <f>61477.87+197727.26+736356.24+414415.68+844223.58+289442.35+75873.71</f>
        <v>2619516.69</v>
      </c>
      <c r="AJ853" s="30">
        <v>0</v>
      </c>
    </row>
    <row r="854" spans="1:36" s="179" customFormat="1" ht="141.75" x14ac:dyDescent="0.25">
      <c r="A854" s="6">
        <v>851</v>
      </c>
      <c r="B854" s="31">
        <v>135456</v>
      </c>
      <c r="C854" s="31">
        <v>762</v>
      </c>
      <c r="D854" s="177" t="s">
        <v>145</v>
      </c>
      <c r="E854" s="83" t="s">
        <v>1179</v>
      </c>
      <c r="F854" s="31" t="s">
        <v>1605</v>
      </c>
      <c r="G854" s="11" t="s">
        <v>810</v>
      </c>
      <c r="H854" s="11" t="s">
        <v>1975</v>
      </c>
      <c r="I854" s="33" t="s">
        <v>1606</v>
      </c>
      <c r="J854" s="25">
        <v>44047</v>
      </c>
      <c r="K854" s="25">
        <v>45142</v>
      </c>
      <c r="L854" s="26">
        <f t="shared" si="297"/>
        <v>83.98386310454093</v>
      </c>
      <c r="M854" s="11" t="s">
        <v>1343</v>
      </c>
      <c r="N854" s="11" t="s">
        <v>261</v>
      </c>
      <c r="O854" s="11" t="s">
        <v>137</v>
      </c>
      <c r="P854" s="27" t="s">
        <v>138</v>
      </c>
      <c r="Q854" s="11" t="s">
        <v>34</v>
      </c>
      <c r="R854" s="1">
        <f t="shared" si="298"/>
        <v>28829250.479999993</v>
      </c>
      <c r="S854" s="2">
        <v>23248278.729999993</v>
      </c>
      <c r="T854" s="2">
        <v>5580971.7500000009</v>
      </c>
      <c r="U854" s="1">
        <f t="shared" si="299"/>
        <v>0</v>
      </c>
      <c r="V854" s="28">
        <v>0</v>
      </c>
      <c r="W854" s="28">
        <v>0</v>
      </c>
      <c r="X854" s="1">
        <f t="shared" si="300"/>
        <v>5497880.25</v>
      </c>
      <c r="Y854" s="28">
        <v>4102637.37</v>
      </c>
      <c r="Z854" s="28">
        <v>1395242.88</v>
      </c>
      <c r="AA854" s="2">
        <f t="shared" si="301"/>
        <v>0</v>
      </c>
      <c r="AB854" s="2">
        <v>0</v>
      </c>
      <c r="AC854" s="2">
        <v>0</v>
      </c>
      <c r="AD854" s="16">
        <f t="shared" si="296"/>
        <v>34327130.729999989</v>
      </c>
      <c r="AE854" s="2">
        <v>0</v>
      </c>
      <c r="AF854" s="2">
        <f t="shared" si="302"/>
        <v>34327130.729999989</v>
      </c>
      <c r="AG854" s="38" t="s">
        <v>486</v>
      </c>
      <c r="AH854" s="29" t="s">
        <v>2176</v>
      </c>
      <c r="AI854" s="30">
        <f>197490.46+62364.74+154421.59+542411.22+145308.04+492941.44+218133.81</f>
        <v>1813071.3</v>
      </c>
      <c r="AJ854" s="30">
        <v>0</v>
      </c>
    </row>
    <row r="855" spans="1:36" s="179" customFormat="1" ht="141.75" x14ac:dyDescent="0.25">
      <c r="A855" s="6">
        <v>852</v>
      </c>
      <c r="B855" s="31">
        <v>133394</v>
      </c>
      <c r="C855" s="31">
        <v>764</v>
      </c>
      <c r="D855" s="177" t="s">
        <v>145</v>
      </c>
      <c r="E855" s="83" t="s">
        <v>1179</v>
      </c>
      <c r="F855" s="31" t="s">
        <v>1609</v>
      </c>
      <c r="G855" s="11" t="s">
        <v>1585</v>
      </c>
      <c r="H855" s="32" t="s">
        <v>1610</v>
      </c>
      <c r="I855" s="33" t="s">
        <v>3044</v>
      </c>
      <c r="J855" s="25">
        <v>44049</v>
      </c>
      <c r="K855" s="25">
        <v>45144</v>
      </c>
      <c r="L855" s="26">
        <f t="shared" si="297"/>
        <v>83.983862862472989</v>
      </c>
      <c r="M855" s="11" t="s">
        <v>1343</v>
      </c>
      <c r="N855" s="11" t="s">
        <v>261</v>
      </c>
      <c r="O855" s="11" t="s">
        <v>137</v>
      </c>
      <c r="P855" s="27" t="s">
        <v>138</v>
      </c>
      <c r="Q855" s="11" t="s">
        <v>34</v>
      </c>
      <c r="R855" s="1">
        <f t="shared" si="298"/>
        <v>28246326.609999999</v>
      </c>
      <c r="S855" s="2">
        <v>22778201.460000001</v>
      </c>
      <c r="T855" s="2">
        <v>5468125.1499999985</v>
      </c>
      <c r="U855" s="1">
        <f t="shared" si="299"/>
        <v>0</v>
      </c>
      <c r="V855" s="28">
        <v>0</v>
      </c>
      <c r="W855" s="28">
        <v>0</v>
      </c>
      <c r="X855" s="1">
        <f t="shared" si="300"/>
        <v>5386713.8899999997</v>
      </c>
      <c r="Y855" s="28">
        <v>4019682.59</v>
      </c>
      <c r="Z855" s="28">
        <v>1367031.3</v>
      </c>
      <c r="AA855" s="2">
        <f t="shared" si="301"/>
        <v>0</v>
      </c>
      <c r="AB855" s="2">
        <v>0</v>
      </c>
      <c r="AC855" s="2">
        <v>0</v>
      </c>
      <c r="AD855" s="16">
        <f t="shared" si="296"/>
        <v>33633040.5</v>
      </c>
      <c r="AE855" s="2">
        <v>0</v>
      </c>
      <c r="AF855" s="2">
        <f t="shared" si="302"/>
        <v>33633040.5</v>
      </c>
      <c r="AG855" s="38" t="s">
        <v>486</v>
      </c>
      <c r="AH855" s="29"/>
      <c r="AI855" s="30">
        <f>60051.25+102684.04+97708.07+86180.77+76336.79+74921.42+341985.06</f>
        <v>839867.39999999991</v>
      </c>
      <c r="AJ855" s="30">
        <v>0</v>
      </c>
    </row>
    <row r="856" spans="1:36" s="179" customFormat="1" ht="141.75" x14ac:dyDescent="0.25">
      <c r="A856" s="6">
        <v>853</v>
      </c>
      <c r="B856" s="31">
        <v>129604</v>
      </c>
      <c r="C856" s="31">
        <v>706</v>
      </c>
      <c r="D856" s="177" t="s">
        <v>143</v>
      </c>
      <c r="E856" s="83" t="s">
        <v>1056</v>
      </c>
      <c r="F856" s="31" t="s">
        <v>1616</v>
      </c>
      <c r="G856" s="11" t="s">
        <v>1939</v>
      </c>
      <c r="H856" s="11" t="s">
        <v>1617</v>
      </c>
      <c r="I856" s="33" t="s">
        <v>3045</v>
      </c>
      <c r="J856" s="25">
        <v>44053</v>
      </c>
      <c r="K856" s="25">
        <v>44905</v>
      </c>
      <c r="L856" s="26">
        <f t="shared" si="297"/>
        <v>83.983862832931337</v>
      </c>
      <c r="M856" s="11" t="s">
        <v>1343</v>
      </c>
      <c r="N856" s="11" t="s">
        <v>261</v>
      </c>
      <c r="O856" s="11" t="s">
        <v>137</v>
      </c>
      <c r="P856" s="27" t="s">
        <v>138</v>
      </c>
      <c r="Q856" s="11" t="s">
        <v>34</v>
      </c>
      <c r="R856" s="1">
        <f t="shared" si="298"/>
        <v>19376667.390000001</v>
      </c>
      <c r="S856" s="2">
        <v>15625594.039999999</v>
      </c>
      <c r="T856" s="2">
        <v>3751073.3500000006</v>
      </c>
      <c r="U856" s="1">
        <f t="shared" si="299"/>
        <v>0</v>
      </c>
      <c r="V856" s="28">
        <v>0</v>
      </c>
      <c r="W856" s="28">
        <v>0</v>
      </c>
      <c r="X856" s="1">
        <f t="shared" si="300"/>
        <v>3695226.11</v>
      </c>
      <c r="Y856" s="28">
        <v>2757457.79</v>
      </c>
      <c r="Z856" s="28">
        <v>937768.32</v>
      </c>
      <c r="AA856" s="2">
        <f t="shared" si="301"/>
        <v>0</v>
      </c>
      <c r="AB856" s="2">
        <v>0</v>
      </c>
      <c r="AC856" s="2">
        <v>0</v>
      </c>
      <c r="AD856" s="16">
        <f t="shared" si="296"/>
        <v>23071893.5</v>
      </c>
      <c r="AE856" s="2">
        <v>0</v>
      </c>
      <c r="AF856" s="2">
        <f t="shared" si="302"/>
        <v>23071893.5</v>
      </c>
      <c r="AG856" s="38" t="s">
        <v>486</v>
      </c>
      <c r="AH856" s="29"/>
      <c r="AI856" s="30">
        <f>122000.84+335475.68+254362.86+290005.39+109608.47+534236.8+142996.72</f>
        <v>1788686.76</v>
      </c>
      <c r="AJ856" s="30">
        <v>0</v>
      </c>
    </row>
    <row r="857" spans="1:36" s="179" customFormat="1" ht="173.25" x14ac:dyDescent="0.25">
      <c r="A857" s="6">
        <v>854</v>
      </c>
      <c r="B857" s="31">
        <v>130047</v>
      </c>
      <c r="C857" s="31">
        <v>721</v>
      </c>
      <c r="D857" s="177" t="s">
        <v>143</v>
      </c>
      <c r="E857" s="83" t="s">
        <v>1056</v>
      </c>
      <c r="F857" s="31" t="s">
        <v>1619</v>
      </c>
      <c r="G857" s="11" t="s">
        <v>1618</v>
      </c>
      <c r="H857" s="8" t="s">
        <v>151</v>
      </c>
      <c r="I857" s="33" t="s">
        <v>3046</v>
      </c>
      <c r="J857" s="25">
        <v>44055</v>
      </c>
      <c r="K857" s="25">
        <v>45272</v>
      </c>
      <c r="L857" s="26">
        <f t="shared" si="297"/>
        <v>83.98386283554224</v>
      </c>
      <c r="M857" s="11" t="s">
        <v>1343</v>
      </c>
      <c r="N857" s="11" t="s">
        <v>261</v>
      </c>
      <c r="O857" s="11" t="s">
        <v>137</v>
      </c>
      <c r="P857" s="27" t="s">
        <v>138</v>
      </c>
      <c r="Q857" s="11" t="s">
        <v>34</v>
      </c>
      <c r="R857" s="1">
        <f t="shared" si="298"/>
        <v>13238013.899999999</v>
      </c>
      <c r="S857" s="2">
        <v>10675304.85</v>
      </c>
      <c r="T857" s="2">
        <v>2562709.0499999998</v>
      </c>
      <c r="U857" s="1">
        <f t="shared" si="299"/>
        <v>0</v>
      </c>
      <c r="V857" s="28">
        <v>0</v>
      </c>
      <c r="W857" s="28">
        <v>0</v>
      </c>
      <c r="X857" s="1">
        <f t="shared" si="300"/>
        <v>2524554.59</v>
      </c>
      <c r="Y857" s="28">
        <v>1883877.32</v>
      </c>
      <c r="Z857" s="28">
        <v>640677.27</v>
      </c>
      <c r="AA857" s="2">
        <f t="shared" si="301"/>
        <v>0</v>
      </c>
      <c r="AB857" s="2">
        <v>0</v>
      </c>
      <c r="AC857" s="2">
        <v>0</v>
      </c>
      <c r="AD857" s="16">
        <f t="shared" si="296"/>
        <v>15762568.489999998</v>
      </c>
      <c r="AE857" s="2">
        <v>0</v>
      </c>
      <c r="AF857" s="2">
        <f t="shared" si="302"/>
        <v>15762568.489999998</v>
      </c>
      <c r="AG857" s="38" t="s">
        <v>486</v>
      </c>
      <c r="AH857" s="29" t="s">
        <v>2503</v>
      </c>
      <c r="AI857" s="30">
        <f>67715.09+302637.53</f>
        <v>370352.62</v>
      </c>
      <c r="AJ857" s="30">
        <v>0</v>
      </c>
    </row>
    <row r="858" spans="1:36" s="179" customFormat="1" ht="409.5" x14ac:dyDescent="0.25">
      <c r="A858" s="6">
        <v>855</v>
      </c>
      <c r="B858" s="31">
        <v>134289</v>
      </c>
      <c r="C858" s="31">
        <v>859</v>
      </c>
      <c r="D858" s="177" t="s">
        <v>143</v>
      </c>
      <c r="E858" s="83" t="s">
        <v>1623</v>
      </c>
      <c r="F858" s="31" t="s">
        <v>1620</v>
      </c>
      <c r="G858" s="11" t="s">
        <v>1397</v>
      </c>
      <c r="H858" s="8" t="s">
        <v>151</v>
      </c>
      <c r="I858" s="33" t="s">
        <v>3047</v>
      </c>
      <c r="J858" s="25">
        <v>44055</v>
      </c>
      <c r="K858" s="25">
        <v>45242</v>
      </c>
      <c r="L858" s="26">
        <f t="shared" si="297"/>
        <v>83.98386278818181</v>
      </c>
      <c r="M858" s="11" t="s">
        <v>1343</v>
      </c>
      <c r="N858" s="11" t="s">
        <v>261</v>
      </c>
      <c r="O858" s="11" t="s">
        <v>137</v>
      </c>
      <c r="P858" s="27" t="s">
        <v>138</v>
      </c>
      <c r="Q858" s="11" t="s">
        <v>34</v>
      </c>
      <c r="R858" s="1">
        <f t="shared" si="298"/>
        <v>5544465.129999999</v>
      </c>
      <c r="S858" s="2">
        <v>4471128.0599999996</v>
      </c>
      <c r="T858" s="2">
        <v>1073337.0699999996</v>
      </c>
      <c r="U858" s="1">
        <f t="shared" si="299"/>
        <v>0</v>
      </c>
      <c r="V858" s="28">
        <v>0</v>
      </c>
      <c r="W858" s="28">
        <v>0</v>
      </c>
      <c r="X858" s="1">
        <f t="shared" si="300"/>
        <v>1057356.8700000001</v>
      </c>
      <c r="Y858" s="28">
        <v>789022.61</v>
      </c>
      <c r="Z858" s="28">
        <v>268334.26</v>
      </c>
      <c r="AA858" s="2">
        <f t="shared" si="301"/>
        <v>0</v>
      </c>
      <c r="AB858" s="2">
        <v>0</v>
      </c>
      <c r="AC858" s="2">
        <v>0</v>
      </c>
      <c r="AD858" s="16">
        <f t="shared" si="296"/>
        <v>6601821.9999999991</v>
      </c>
      <c r="AE858" s="2">
        <v>0</v>
      </c>
      <c r="AF858" s="2">
        <f t="shared" si="302"/>
        <v>6601821.9999999991</v>
      </c>
      <c r="AG858" s="38" t="s">
        <v>486</v>
      </c>
      <c r="AH858" s="29" t="s">
        <v>2321</v>
      </c>
      <c r="AI858" s="30">
        <f>70951.01+138909.3+67691.66+61427.84+51510.66+163435.11+53232.33</f>
        <v>607157.90999999992</v>
      </c>
      <c r="AJ858" s="30">
        <v>0</v>
      </c>
    </row>
    <row r="859" spans="1:36" s="179" customFormat="1" ht="141.75" x14ac:dyDescent="0.25">
      <c r="A859" s="6">
        <v>856</v>
      </c>
      <c r="B859" s="31">
        <v>129714</v>
      </c>
      <c r="C859" s="31">
        <v>726</v>
      </c>
      <c r="D859" s="177" t="s">
        <v>143</v>
      </c>
      <c r="E859" s="83" t="s">
        <v>1056</v>
      </c>
      <c r="F859" s="31" t="s">
        <v>1624</v>
      </c>
      <c r="G859" s="11" t="s">
        <v>55</v>
      </c>
      <c r="H859" s="8" t="s">
        <v>151</v>
      </c>
      <c r="I859" s="33" t="s">
        <v>1625</v>
      </c>
      <c r="J859" s="25">
        <v>44061</v>
      </c>
      <c r="K859" s="25">
        <v>44791</v>
      </c>
      <c r="L859" s="26">
        <f t="shared" si="297"/>
        <v>83.983862951227977</v>
      </c>
      <c r="M859" s="11" t="s">
        <v>1343</v>
      </c>
      <c r="N859" s="11" t="s">
        <v>261</v>
      </c>
      <c r="O859" s="11" t="s">
        <v>137</v>
      </c>
      <c r="P859" s="27" t="s">
        <v>138</v>
      </c>
      <c r="Q859" s="11" t="s">
        <v>34</v>
      </c>
      <c r="R859" s="1">
        <f t="shared" si="298"/>
        <v>1775235.61</v>
      </c>
      <c r="S859" s="2">
        <v>1431572.85</v>
      </c>
      <c r="T859" s="2">
        <v>343662.76</v>
      </c>
      <c r="U859" s="1">
        <f t="shared" si="299"/>
        <v>0</v>
      </c>
      <c r="V859" s="28">
        <v>0</v>
      </c>
      <c r="W859" s="28">
        <v>0</v>
      </c>
      <c r="X859" s="1">
        <f t="shared" si="300"/>
        <v>338546.19</v>
      </c>
      <c r="Y859" s="2">
        <v>252630.5</v>
      </c>
      <c r="Z859" s="2">
        <v>85915.69</v>
      </c>
      <c r="AA859" s="2">
        <f t="shared" si="301"/>
        <v>0</v>
      </c>
      <c r="AB859" s="2">
        <v>0</v>
      </c>
      <c r="AC859" s="2">
        <v>0</v>
      </c>
      <c r="AD859" s="16">
        <f t="shared" si="296"/>
        <v>2113781.8000000003</v>
      </c>
      <c r="AE859" s="2">
        <v>0</v>
      </c>
      <c r="AF859" s="2">
        <f t="shared" si="302"/>
        <v>2113781.8000000003</v>
      </c>
      <c r="AG859" s="38" t="s">
        <v>857</v>
      </c>
      <c r="AH859" s="29"/>
      <c r="AI859" s="30">
        <v>0</v>
      </c>
      <c r="AJ859" s="30">
        <v>0</v>
      </c>
    </row>
    <row r="860" spans="1:36" s="179" customFormat="1" ht="204.75" x14ac:dyDescent="0.25">
      <c r="A860" s="6">
        <v>857</v>
      </c>
      <c r="B860" s="31">
        <v>134962</v>
      </c>
      <c r="C860" s="31">
        <v>858</v>
      </c>
      <c r="D860" s="177" t="s">
        <v>143</v>
      </c>
      <c r="E860" s="83" t="s">
        <v>1623</v>
      </c>
      <c r="F860" s="31" t="s">
        <v>1627</v>
      </c>
      <c r="G860" s="11" t="s">
        <v>1626</v>
      </c>
      <c r="H860" s="8" t="s">
        <v>151</v>
      </c>
      <c r="I860" s="33" t="s">
        <v>3048</v>
      </c>
      <c r="J860" s="25">
        <v>44062</v>
      </c>
      <c r="K860" s="25">
        <v>45157</v>
      </c>
      <c r="L860" s="26">
        <f t="shared" si="297"/>
        <v>83.983862883576052</v>
      </c>
      <c r="M860" s="11" t="s">
        <v>1343</v>
      </c>
      <c r="N860" s="11" t="s">
        <v>261</v>
      </c>
      <c r="O860" s="11" t="s">
        <v>137</v>
      </c>
      <c r="P860" s="27" t="s">
        <v>138</v>
      </c>
      <c r="Q860" s="11" t="s">
        <v>34</v>
      </c>
      <c r="R860" s="1">
        <f t="shared" si="298"/>
        <v>25127215.920000002</v>
      </c>
      <c r="S860" s="2">
        <v>20262910.43</v>
      </c>
      <c r="T860" s="2">
        <v>4864305.4900000012</v>
      </c>
      <c r="U860" s="1">
        <f t="shared" si="299"/>
        <v>0</v>
      </c>
      <c r="V860" s="28">
        <v>0</v>
      </c>
      <c r="W860" s="28">
        <v>0</v>
      </c>
      <c r="X860" s="1">
        <f t="shared" si="300"/>
        <v>4791884.08</v>
      </c>
      <c r="Y860" s="2">
        <v>3575807.71</v>
      </c>
      <c r="Z860" s="2">
        <v>1216076.3700000001</v>
      </c>
      <c r="AA860" s="2">
        <f t="shared" si="301"/>
        <v>0</v>
      </c>
      <c r="AB860" s="2">
        <v>0</v>
      </c>
      <c r="AC860" s="2">
        <v>0</v>
      </c>
      <c r="AD860" s="16">
        <f t="shared" si="296"/>
        <v>29919100</v>
      </c>
      <c r="AE860" s="2">
        <v>0</v>
      </c>
      <c r="AF860" s="2">
        <f t="shared" si="302"/>
        <v>29919100</v>
      </c>
      <c r="AG860" s="38" t="s">
        <v>486</v>
      </c>
      <c r="AH860" s="29"/>
      <c r="AI860" s="30">
        <f>67453.27+112356.03+125753.6+402241.99+268534.8+49812.51+105461.75</f>
        <v>1131613.95</v>
      </c>
      <c r="AJ860" s="30">
        <v>0</v>
      </c>
    </row>
    <row r="861" spans="1:36" s="179" customFormat="1" ht="315" x14ac:dyDescent="0.25">
      <c r="A861" s="6">
        <v>858</v>
      </c>
      <c r="B861" s="31">
        <v>134464</v>
      </c>
      <c r="C861" s="31">
        <v>866</v>
      </c>
      <c r="D861" s="177" t="s">
        <v>143</v>
      </c>
      <c r="E861" s="83" t="s">
        <v>1623</v>
      </c>
      <c r="F861" s="31" t="s">
        <v>1629</v>
      </c>
      <c r="G861" s="11" t="s">
        <v>1628</v>
      </c>
      <c r="H861" s="8" t="s">
        <v>151</v>
      </c>
      <c r="I861" s="33" t="s">
        <v>3049</v>
      </c>
      <c r="J861" s="25">
        <v>44061</v>
      </c>
      <c r="K861" s="25">
        <v>45248</v>
      </c>
      <c r="L861" s="26">
        <f t="shared" si="297"/>
        <v>83.9838633921499</v>
      </c>
      <c r="M861" s="11" t="s">
        <v>1343</v>
      </c>
      <c r="N861" s="11" t="s">
        <v>261</v>
      </c>
      <c r="O861" s="11" t="s">
        <v>137</v>
      </c>
      <c r="P861" s="27" t="s">
        <v>138</v>
      </c>
      <c r="Q861" s="11" t="s">
        <v>34</v>
      </c>
      <c r="R861" s="1">
        <f t="shared" si="298"/>
        <v>6673124.3100000005</v>
      </c>
      <c r="S861" s="2">
        <v>5381293.3700000001</v>
      </c>
      <c r="T861" s="2">
        <v>1291830.9400000002</v>
      </c>
      <c r="U861" s="1">
        <f t="shared" si="299"/>
        <v>0</v>
      </c>
      <c r="V861" s="28">
        <v>0</v>
      </c>
      <c r="W861" s="28">
        <v>0</v>
      </c>
      <c r="X861" s="1">
        <f t="shared" si="300"/>
        <v>1272597.69</v>
      </c>
      <c r="Y861" s="2">
        <v>949639.95</v>
      </c>
      <c r="Z861" s="2">
        <v>322957.74</v>
      </c>
      <c r="AA861" s="2">
        <f t="shared" si="301"/>
        <v>0</v>
      </c>
      <c r="AB861" s="2">
        <v>0</v>
      </c>
      <c r="AC861" s="2">
        <v>0</v>
      </c>
      <c r="AD861" s="16">
        <f t="shared" si="296"/>
        <v>7945722</v>
      </c>
      <c r="AE861" s="2">
        <v>0</v>
      </c>
      <c r="AF861" s="2">
        <f t="shared" si="302"/>
        <v>7945722</v>
      </c>
      <c r="AG861" s="38" t="s">
        <v>486</v>
      </c>
      <c r="AH861" s="29" t="s">
        <v>2195</v>
      </c>
      <c r="AI861" s="30">
        <f>21724.86+44015.51+21840.51+937415.29+216658.25+5731.9+170554.43</f>
        <v>1417940.7499999998</v>
      </c>
      <c r="AJ861" s="30">
        <v>0</v>
      </c>
    </row>
    <row r="862" spans="1:36" s="179" customFormat="1" ht="173.25" x14ac:dyDescent="0.25">
      <c r="A862" s="6">
        <v>859</v>
      </c>
      <c r="B862" s="31">
        <v>136528</v>
      </c>
      <c r="C862" s="31">
        <v>863</v>
      </c>
      <c r="D862" s="177" t="s">
        <v>143</v>
      </c>
      <c r="E862" s="83" t="s">
        <v>1623</v>
      </c>
      <c r="F862" s="31" t="s">
        <v>1635</v>
      </c>
      <c r="G862" s="11" t="s">
        <v>1939</v>
      </c>
      <c r="H862" s="11" t="s">
        <v>1636</v>
      </c>
      <c r="I862" s="33" t="s">
        <v>3050</v>
      </c>
      <c r="J862" s="25">
        <v>44078</v>
      </c>
      <c r="K862" s="25">
        <v>44989</v>
      </c>
      <c r="L862" s="26">
        <f t="shared" si="297"/>
        <v>83.983863209118383</v>
      </c>
      <c r="M862" s="11" t="s">
        <v>1343</v>
      </c>
      <c r="N862" s="11" t="s">
        <v>261</v>
      </c>
      <c r="O862" s="11" t="s">
        <v>137</v>
      </c>
      <c r="P862" s="27" t="s">
        <v>138</v>
      </c>
      <c r="Q862" s="11" t="s">
        <v>34</v>
      </c>
      <c r="R862" s="1">
        <f t="shared" si="298"/>
        <v>3760337.86</v>
      </c>
      <c r="S862" s="2">
        <v>3032384.87</v>
      </c>
      <c r="T862" s="2">
        <v>727952.98999999987</v>
      </c>
      <c r="U862" s="1">
        <f t="shared" si="299"/>
        <v>0</v>
      </c>
      <c r="V862" s="28">
        <v>0</v>
      </c>
      <c r="W862" s="28">
        <v>0</v>
      </c>
      <c r="X862" s="1">
        <f t="shared" si="300"/>
        <v>717114.97</v>
      </c>
      <c r="Y862" s="2">
        <v>535126.72</v>
      </c>
      <c r="Z862" s="2">
        <v>181988.25</v>
      </c>
      <c r="AA862" s="2">
        <f t="shared" si="301"/>
        <v>0</v>
      </c>
      <c r="AB862" s="2">
        <v>0</v>
      </c>
      <c r="AC862" s="2">
        <v>0</v>
      </c>
      <c r="AD862" s="16">
        <f t="shared" si="296"/>
        <v>4477452.83</v>
      </c>
      <c r="AE862" s="2">
        <v>0</v>
      </c>
      <c r="AF862" s="2">
        <f t="shared" si="302"/>
        <v>4477452.83</v>
      </c>
      <c r="AG862" s="38" t="s">
        <v>486</v>
      </c>
      <c r="AH862" s="29" t="s">
        <v>3278</v>
      </c>
      <c r="AI862" s="30">
        <f>404831.05+187670.34+310479.1+186077.16+229514.47+213048.58+162891.74</f>
        <v>1694512.44</v>
      </c>
      <c r="AJ862" s="30">
        <v>0</v>
      </c>
    </row>
    <row r="863" spans="1:36" s="179" customFormat="1" ht="157.5" x14ac:dyDescent="0.25">
      <c r="A863" s="6">
        <v>860</v>
      </c>
      <c r="B863" s="31">
        <v>130103</v>
      </c>
      <c r="C863" s="31">
        <v>737</v>
      </c>
      <c r="D863" s="177" t="s">
        <v>143</v>
      </c>
      <c r="E863" s="83" t="s">
        <v>1056</v>
      </c>
      <c r="F863" s="31" t="s">
        <v>1637</v>
      </c>
      <c r="G863" s="11" t="s">
        <v>1718</v>
      </c>
      <c r="H863" s="8" t="s">
        <v>151</v>
      </c>
      <c r="I863" s="33" t="s">
        <v>3051</v>
      </c>
      <c r="J863" s="25">
        <v>44083</v>
      </c>
      <c r="K863" s="25">
        <v>45208</v>
      </c>
      <c r="L863" s="26">
        <f t="shared" si="297"/>
        <v>83.983862888157404</v>
      </c>
      <c r="M863" s="11" t="s">
        <v>1343</v>
      </c>
      <c r="N863" s="11" t="s">
        <v>261</v>
      </c>
      <c r="O863" s="11" t="s">
        <v>137</v>
      </c>
      <c r="P863" s="27" t="s">
        <v>138</v>
      </c>
      <c r="Q863" s="11" t="s">
        <v>34</v>
      </c>
      <c r="R863" s="1">
        <f t="shared" si="298"/>
        <v>22633067.940000001</v>
      </c>
      <c r="S863" s="2">
        <v>18251597.380000003</v>
      </c>
      <c r="T863" s="2">
        <v>4381470.5599999996</v>
      </c>
      <c r="U863" s="1">
        <f t="shared" si="299"/>
        <v>0</v>
      </c>
      <c r="V863" s="28">
        <v>0</v>
      </c>
      <c r="W863" s="28">
        <v>0</v>
      </c>
      <c r="X863" s="1">
        <f t="shared" si="300"/>
        <v>4316237.75</v>
      </c>
      <c r="Y863" s="2">
        <v>3220870.12</v>
      </c>
      <c r="Z863" s="2">
        <v>1095367.6299999999</v>
      </c>
      <c r="AA863" s="2">
        <f t="shared" si="301"/>
        <v>0</v>
      </c>
      <c r="AB863" s="2">
        <v>0</v>
      </c>
      <c r="AC863" s="2">
        <v>0</v>
      </c>
      <c r="AD863" s="16">
        <f t="shared" si="296"/>
        <v>26949305.690000001</v>
      </c>
      <c r="AE863" s="2">
        <v>0</v>
      </c>
      <c r="AF863" s="2">
        <f t="shared" si="302"/>
        <v>26949305.690000001</v>
      </c>
      <c r="AG863" s="38" t="s">
        <v>486</v>
      </c>
      <c r="AH863" s="29" t="s">
        <v>2056</v>
      </c>
      <c r="AI863" s="30">
        <f>42593.26+71128.38+459089.87</f>
        <v>572811.51</v>
      </c>
      <c r="AJ863" s="30">
        <v>0</v>
      </c>
    </row>
    <row r="864" spans="1:36" s="179" customFormat="1" ht="157.5" x14ac:dyDescent="0.25">
      <c r="A864" s="6">
        <v>861</v>
      </c>
      <c r="B864" s="31">
        <v>130101</v>
      </c>
      <c r="C864" s="31">
        <v>739</v>
      </c>
      <c r="D864" s="177" t="s">
        <v>143</v>
      </c>
      <c r="E864" s="83" t="s">
        <v>1056</v>
      </c>
      <c r="F864" s="31" t="s">
        <v>1638</v>
      </c>
      <c r="G864" s="11" t="s">
        <v>1718</v>
      </c>
      <c r="H864" s="8" t="s">
        <v>151</v>
      </c>
      <c r="I864" s="33" t="s">
        <v>3052</v>
      </c>
      <c r="J864" s="25">
        <v>44083</v>
      </c>
      <c r="K864" s="25">
        <v>45269</v>
      </c>
      <c r="L864" s="26">
        <f t="shared" si="297"/>
        <v>83.983862863627905</v>
      </c>
      <c r="M864" s="11" t="s">
        <v>1343</v>
      </c>
      <c r="N864" s="11" t="s">
        <v>261</v>
      </c>
      <c r="O864" s="11" t="s">
        <v>137</v>
      </c>
      <c r="P864" s="27" t="s">
        <v>138</v>
      </c>
      <c r="Q864" s="11" t="s">
        <v>34</v>
      </c>
      <c r="R864" s="1">
        <f t="shared" si="298"/>
        <v>20113401.539999999</v>
      </c>
      <c r="S864" s="2">
        <v>16219705.949999999</v>
      </c>
      <c r="T864" s="2">
        <v>3893695.5900000003</v>
      </c>
      <c r="U864" s="1">
        <f t="shared" si="299"/>
        <v>0</v>
      </c>
      <c r="V864" s="28">
        <v>0</v>
      </c>
      <c r="W864" s="28">
        <v>0</v>
      </c>
      <c r="X864" s="1">
        <f t="shared" si="300"/>
        <v>3835724.94</v>
      </c>
      <c r="Y864" s="2">
        <v>2862301.05</v>
      </c>
      <c r="Z864" s="2">
        <v>973423.89</v>
      </c>
      <c r="AA864" s="2">
        <f t="shared" si="301"/>
        <v>0</v>
      </c>
      <c r="AB864" s="2">
        <v>0</v>
      </c>
      <c r="AC864" s="2">
        <v>0</v>
      </c>
      <c r="AD864" s="16">
        <f t="shared" si="296"/>
        <v>23949126.48</v>
      </c>
      <c r="AE864" s="2">
        <v>0</v>
      </c>
      <c r="AF864" s="2">
        <f t="shared" si="302"/>
        <v>23949126.48</v>
      </c>
      <c r="AG864" s="38" t="s">
        <v>486</v>
      </c>
      <c r="AH864" s="29" t="s">
        <v>2211</v>
      </c>
      <c r="AI864" s="30">
        <f>28995.43+52712.91+315911.2</f>
        <v>397619.54000000004</v>
      </c>
      <c r="AJ864" s="30">
        <v>0</v>
      </c>
    </row>
    <row r="865" spans="1:36" s="179" customFormat="1" ht="141.75" x14ac:dyDescent="0.25">
      <c r="A865" s="6">
        <v>862</v>
      </c>
      <c r="B865" s="31">
        <v>136610</v>
      </c>
      <c r="C865" s="31">
        <v>862</v>
      </c>
      <c r="D865" s="177" t="s">
        <v>143</v>
      </c>
      <c r="E865" s="83" t="s">
        <v>1623</v>
      </c>
      <c r="F865" s="31" t="s">
        <v>1642</v>
      </c>
      <c r="G865" s="11" t="s">
        <v>1350</v>
      </c>
      <c r="H865" s="11" t="s">
        <v>1643</v>
      </c>
      <c r="I865" s="33" t="s">
        <v>3053</v>
      </c>
      <c r="J865" s="25">
        <v>44090</v>
      </c>
      <c r="K865" s="25">
        <v>45001</v>
      </c>
      <c r="L865" s="26">
        <f t="shared" si="297"/>
        <v>83.983863078236666</v>
      </c>
      <c r="M865" s="11" t="s">
        <v>1343</v>
      </c>
      <c r="N865" s="11" t="s">
        <v>261</v>
      </c>
      <c r="O865" s="11" t="s">
        <v>137</v>
      </c>
      <c r="P865" s="27" t="s">
        <v>138</v>
      </c>
      <c r="Q865" s="11" t="s">
        <v>34</v>
      </c>
      <c r="R865" s="1">
        <f t="shared" si="298"/>
        <v>4326664.34</v>
      </c>
      <c r="S865" s="2">
        <v>3489077.81</v>
      </c>
      <c r="T865" s="2">
        <v>837586.5299999998</v>
      </c>
      <c r="U865" s="1">
        <f t="shared" si="299"/>
        <v>346722.08999999997</v>
      </c>
      <c r="V865" s="28">
        <v>256230.53</v>
      </c>
      <c r="W865" s="28">
        <v>90491.56</v>
      </c>
      <c r="X865" s="1">
        <f t="shared" si="300"/>
        <v>478394.14</v>
      </c>
      <c r="Y865" s="2">
        <v>359489.09</v>
      </c>
      <c r="Z865" s="2">
        <v>118905.05</v>
      </c>
      <c r="AA865" s="2">
        <f t="shared" si="301"/>
        <v>0</v>
      </c>
      <c r="AB865" s="2">
        <v>0</v>
      </c>
      <c r="AC865" s="2">
        <v>0</v>
      </c>
      <c r="AD865" s="16">
        <f t="shared" si="296"/>
        <v>5151780.5699999994</v>
      </c>
      <c r="AE865" s="2">
        <v>0</v>
      </c>
      <c r="AF865" s="2">
        <f t="shared" si="302"/>
        <v>5151780.5699999994</v>
      </c>
      <c r="AG865" s="38" t="s">
        <v>486</v>
      </c>
      <c r="AH865" s="29"/>
      <c r="AI865" s="30">
        <f>254057.43+298330.11+256434.88+198041.74+165864.77+214043.07+198564.73</f>
        <v>1585336.73</v>
      </c>
      <c r="AJ865" s="30">
        <f>24107.34+30833.68+40118.42+30029.62+23798.84+31143.31+29897.12</f>
        <v>209928.33</v>
      </c>
    </row>
    <row r="866" spans="1:36" s="179" customFormat="1" ht="157.5" x14ac:dyDescent="0.25">
      <c r="A866" s="6">
        <v>863</v>
      </c>
      <c r="B866" s="31">
        <v>129959</v>
      </c>
      <c r="C866" s="31">
        <v>716</v>
      </c>
      <c r="D866" s="177" t="s">
        <v>143</v>
      </c>
      <c r="E866" s="83" t="s">
        <v>1056</v>
      </c>
      <c r="F866" s="11" t="s">
        <v>1663</v>
      </c>
      <c r="G866" s="11" t="s">
        <v>1716</v>
      </c>
      <c r="H866" s="8" t="s">
        <v>151</v>
      </c>
      <c r="I866" s="33" t="s">
        <v>3054</v>
      </c>
      <c r="J866" s="25">
        <v>44109</v>
      </c>
      <c r="K866" s="25">
        <v>45204</v>
      </c>
      <c r="L866" s="26">
        <f t="shared" si="297"/>
        <v>83.983862963761638</v>
      </c>
      <c r="M866" s="11" t="s">
        <v>1343</v>
      </c>
      <c r="N866" s="11" t="s">
        <v>261</v>
      </c>
      <c r="O866" s="11" t="s">
        <v>137</v>
      </c>
      <c r="P866" s="27" t="s">
        <v>138</v>
      </c>
      <c r="Q866" s="11" t="s">
        <v>34</v>
      </c>
      <c r="R866" s="1">
        <f t="shared" si="298"/>
        <v>14005620.699999999</v>
      </c>
      <c r="S866" s="2">
        <v>11294312.83</v>
      </c>
      <c r="T866" s="2">
        <v>2711307.87</v>
      </c>
      <c r="U866" s="1">
        <f t="shared" si="299"/>
        <v>0</v>
      </c>
      <c r="V866" s="28">
        <v>0</v>
      </c>
      <c r="W866" s="28">
        <v>0</v>
      </c>
      <c r="X866" s="1">
        <f t="shared" si="300"/>
        <v>2670940.9700000002</v>
      </c>
      <c r="Y866" s="2">
        <v>1993114.04</v>
      </c>
      <c r="Z866" s="2">
        <v>677826.93</v>
      </c>
      <c r="AA866" s="2">
        <f t="shared" si="301"/>
        <v>0</v>
      </c>
      <c r="AB866" s="2">
        <v>0</v>
      </c>
      <c r="AC866" s="2">
        <v>0</v>
      </c>
      <c r="AD866" s="16">
        <f t="shared" si="296"/>
        <v>16676561.67</v>
      </c>
      <c r="AE866" s="2">
        <v>0</v>
      </c>
      <c r="AF866" s="2">
        <f t="shared" si="302"/>
        <v>16676561.67</v>
      </c>
      <c r="AG866" s="38" t="s">
        <v>486</v>
      </c>
      <c r="AH866" s="29"/>
      <c r="AI866" s="30">
        <f>105759.32+272225.63</f>
        <v>377984.95</v>
      </c>
      <c r="AJ866" s="30">
        <v>0</v>
      </c>
    </row>
    <row r="867" spans="1:36" s="179" customFormat="1" ht="204.75" x14ac:dyDescent="0.25">
      <c r="A867" s="6">
        <v>864</v>
      </c>
      <c r="B867" s="31">
        <v>129982</v>
      </c>
      <c r="C867" s="31">
        <v>720</v>
      </c>
      <c r="D867" s="177" t="s">
        <v>143</v>
      </c>
      <c r="E867" s="83" t="s">
        <v>1056</v>
      </c>
      <c r="F867" s="31" t="s">
        <v>1667</v>
      </c>
      <c r="G867" s="11" t="s">
        <v>1715</v>
      </c>
      <c r="H867" s="11" t="s">
        <v>1668</v>
      </c>
      <c r="I867" s="33" t="s">
        <v>3055</v>
      </c>
      <c r="J867" s="25">
        <v>44118</v>
      </c>
      <c r="K867" s="25">
        <v>44848</v>
      </c>
      <c r="L867" s="26">
        <f t="shared" si="297"/>
        <v>83.983862641097033</v>
      </c>
      <c r="M867" s="11" t="s">
        <v>1343</v>
      </c>
      <c r="N867" s="11" t="s">
        <v>261</v>
      </c>
      <c r="O867" s="11" t="s">
        <v>137</v>
      </c>
      <c r="P867" s="27" t="s">
        <v>138</v>
      </c>
      <c r="Q867" s="11" t="s">
        <v>34</v>
      </c>
      <c r="R867" s="1">
        <f t="shared" si="298"/>
        <v>7678495.0699999984</v>
      </c>
      <c r="S867" s="2">
        <v>6192037.2799999984</v>
      </c>
      <c r="T867" s="2">
        <v>1486457.7900000003</v>
      </c>
      <c r="U867" s="1">
        <f t="shared" si="299"/>
        <v>0</v>
      </c>
      <c r="V867" s="28">
        <v>0</v>
      </c>
      <c r="W867" s="28">
        <v>0</v>
      </c>
      <c r="X867" s="1">
        <f t="shared" si="300"/>
        <v>1464326.93</v>
      </c>
      <c r="Y867" s="2">
        <v>1092712.48</v>
      </c>
      <c r="Z867" s="2">
        <v>371614.45</v>
      </c>
      <c r="AA867" s="2">
        <f t="shared" si="301"/>
        <v>0</v>
      </c>
      <c r="AB867" s="2">
        <v>0</v>
      </c>
      <c r="AC867" s="2">
        <v>0</v>
      </c>
      <c r="AD867" s="16">
        <f t="shared" si="296"/>
        <v>9142821.9999999981</v>
      </c>
      <c r="AE867" s="2">
        <v>0</v>
      </c>
      <c r="AF867" s="2">
        <f t="shared" si="302"/>
        <v>9142821.9999999981</v>
      </c>
      <c r="AG867" s="38" t="s">
        <v>486</v>
      </c>
      <c r="AH867" s="29"/>
      <c r="AI867" s="30">
        <v>0</v>
      </c>
      <c r="AJ867" s="30">
        <v>0</v>
      </c>
    </row>
    <row r="868" spans="1:36" s="179" customFormat="1" ht="141.75" x14ac:dyDescent="0.25">
      <c r="A868" s="6">
        <v>865</v>
      </c>
      <c r="B868" s="31">
        <v>130587</v>
      </c>
      <c r="C868" s="31">
        <v>750</v>
      </c>
      <c r="D868" s="177" t="s">
        <v>143</v>
      </c>
      <c r="E868" s="83" t="s">
        <v>1675</v>
      </c>
      <c r="F868" s="31" t="s">
        <v>1676</v>
      </c>
      <c r="G868" s="27" t="s">
        <v>1719</v>
      </c>
      <c r="H868" s="32" t="s">
        <v>1677</v>
      </c>
      <c r="I868" s="33" t="s">
        <v>3056</v>
      </c>
      <c r="J868" s="25">
        <v>44162</v>
      </c>
      <c r="K868" s="25">
        <v>45257</v>
      </c>
      <c r="L868" s="26">
        <f t="shared" si="297"/>
        <v>82.822280549048671</v>
      </c>
      <c r="M868" s="11" t="s">
        <v>1343</v>
      </c>
      <c r="N868" s="11" t="s">
        <v>261</v>
      </c>
      <c r="O868" s="11" t="s">
        <v>137</v>
      </c>
      <c r="P868" s="27" t="s">
        <v>138</v>
      </c>
      <c r="Q868" s="11" t="s">
        <v>34</v>
      </c>
      <c r="R868" s="1">
        <f t="shared" si="298"/>
        <v>17080376.949999999</v>
      </c>
      <c r="S868" s="2">
        <v>13773835.85</v>
      </c>
      <c r="T868" s="2">
        <v>3306541.0999999996</v>
      </c>
      <c r="U868" s="1">
        <f t="shared" si="299"/>
        <v>2238506.0100000002</v>
      </c>
      <c r="V868" s="28">
        <v>1670421.7100000004</v>
      </c>
      <c r="W868" s="28">
        <v>568084.29999999981</v>
      </c>
      <c r="X868" s="1">
        <f t="shared" si="300"/>
        <v>1304042.22</v>
      </c>
      <c r="Y868" s="2">
        <v>987523.49</v>
      </c>
      <c r="Z868" s="2">
        <v>316518.73</v>
      </c>
      <c r="AA868" s="2">
        <f t="shared" si="301"/>
        <v>0</v>
      </c>
      <c r="AB868" s="2">
        <v>0</v>
      </c>
      <c r="AC868" s="2">
        <v>0</v>
      </c>
      <c r="AD868" s="16">
        <f t="shared" si="296"/>
        <v>20622925.18</v>
      </c>
      <c r="AE868" s="2">
        <v>19040</v>
      </c>
      <c r="AF868" s="2">
        <f t="shared" si="302"/>
        <v>20641965.18</v>
      </c>
      <c r="AG868" s="38" t="s">
        <v>486</v>
      </c>
      <c r="AH868" s="29"/>
      <c r="AI868" s="30">
        <f>1407602.94-83676.6+598428.39+1322256.95+21721.63+963448.32</f>
        <v>4229781.63</v>
      </c>
      <c r="AJ868" s="30">
        <f>96500.94+61354.02+186804.59+202660.51</f>
        <v>547320.06000000006</v>
      </c>
    </row>
    <row r="869" spans="1:36" s="179" customFormat="1" ht="141.75" x14ac:dyDescent="0.25">
      <c r="A869" s="6">
        <v>866</v>
      </c>
      <c r="B869" s="31">
        <v>129878</v>
      </c>
      <c r="C869" s="31">
        <v>704</v>
      </c>
      <c r="D869" s="177" t="s">
        <v>143</v>
      </c>
      <c r="E869" s="83" t="s">
        <v>1056</v>
      </c>
      <c r="F869" s="31" t="s">
        <v>1680</v>
      </c>
      <c r="G869" s="11" t="s">
        <v>1679</v>
      </c>
      <c r="H869" s="32" t="s">
        <v>1681</v>
      </c>
      <c r="I869" s="33" t="s">
        <v>1682</v>
      </c>
      <c r="J869" s="25">
        <v>44168</v>
      </c>
      <c r="K869" s="25">
        <v>45263</v>
      </c>
      <c r="L869" s="26">
        <f t="shared" si="297"/>
        <v>83.983863170721136</v>
      </c>
      <c r="M869" s="11" t="s">
        <v>1343</v>
      </c>
      <c r="N869" s="11" t="s">
        <v>261</v>
      </c>
      <c r="O869" s="11" t="s">
        <v>137</v>
      </c>
      <c r="P869" s="27" t="s">
        <v>138</v>
      </c>
      <c r="Q869" s="11" t="s">
        <v>34</v>
      </c>
      <c r="R869" s="1">
        <f t="shared" si="298"/>
        <v>13658794.540000003</v>
      </c>
      <c r="S869" s="2">
        <v>11014627.770000001</v>
      </c>
      <c r="T869" s="2">
        <v>2644166.7700000009</v>
      </c>
      <c r="U869" s="1">
        <f t="shared" si="299"/>
        <v>2279527.6000000006</v>
      </c>
      <c r="V869" s="28">
        <v>1684590.0500000003</v>
      </c>
      <c r="W869" s="28">
        <v>594937.55000000016</v>
      </c>
      <c r="X869" s="1">
        <f t="shared" si="300"/>
        <v>325271.87</v>
      </c>
      <c r="Y869" s="2">
        <v>259167.74</v>
      </c>
      <c r="Z869" s="2">
        <v>66104.13</v>
      </c>
      <c r="AA869" s="2">
        <f t="shared" si="301"/>
        <v>0</v>
      </c>
      <c r="AB869" s="2">
        <v>0</v>
      </c>
      <c r="AC869" s="2">
        <v>0</v>
      </c>
      <c r="AD869" s="16">
        <f t="shared" si="296"/>
        <v>16263594.010000004</v>
      </c>
      <c r="AE869" s="2">
        <v>0</v>
      </c>
      <c r="AF869" s="2">
        <f t="shared" si="302"/>
        <v>16263594.010000004</v>
      </c>
      <c r="AG869" s="38" t="s">
        <v>486</v>
      </c>
      <c r="AH869" s="29" t="s">
        <v>2010</v>
      </c>
      <c r="AI869" s="30">
        <f>80297.81+845318.83+955358.43+1023235.03+1157821.99+1063429.71</f>
        <v>5125461.8</v>
      </c>
      <c r="AJ869" s="30">
        <f>13400.97+141075.96+159440.57+170768.55+193229.87+177476.67</f>
        <v>855392.59</v>
      </c>
    </row>
    <row r="870" spans="1:36" s="179" customFormat="1" ht="299.25" x14ac:dyDescent="0.25">
      <c r="A870" s="6">
        <v>867</v>
      </c>
      <c r="B870" s="31">
        <v>134950</v>
      </c>
      <c r="C870" s="31">
        <v>869</v>
      </c>
      <c r="D870" s="177" t="s">
        <v>143</v>
      </c>
      <c r="E870" s="83" t="s">
        <v>1623</v>
      </c>
      <c r="F870" s="31" t="s">
        <v>1683</v>
      </c>
      <c r="G870" s="11" t="s">
        <v>1397</v>
      </c>
      <c r="H870" s="32" t="s">
        <v>1684</v>
      </c>
      <c r="I870" s="33" t="s">
        <v>3057</v>
      </c>
      <c r="J870" s="25">
        <v>44173</v>
      </c>
      <c r="K870" s="25">
        <v>45024</v>
      </c>
      <c r="L870" s="26">
        <f t="shared" si="297"/>
        <v>83.983862791468823</v>
      </c>
      <c r="M870" s="11" t="s">
        <v>1343</v>
      </c>
      <c r="N870" s="11" t="s">
        <v>261</v>
      </c>
      <c r="O870" s="11" t="s">
        <v>137</v>
      </c>
      <c r="P870" s="27" t="s">
        <v>138</v>
      </c>
      <c r="Q870" s="11" t="s">
        <v>34</v>
      </c>
      <c r="R870" s="1">
        <f t="shared" si="298"/>
        <v>3740241.2000000007</v>
      </c>
      <c r="S870" s="2">
        <v>3016178.6400000006</v>
      </c>
      <c r="T870" s="2">
        <v>724062.55999999994</v>
      </c>
      <c r="U870" s="1">
        <f t="shared" si="299"/>
        <v>0</v>
      </c>
      <c r="V870" s="28">
        <v>0</v>
      </c>
      <c r="W870" s="28">
        <v>0</v>
      </c>
      <c r="X870" s="1">
        <f t="shared" si="300"/>
        <v>713282.46</v>
      </c>
      <c r="Y870" s="2">
        <v>532266.84</v>
      </c>
      <c r="Z870" s="2">
        <v>181015.62</v>
      </c>
      <c r="AA870" s="2">
        <f t="shared" si="301"/>
        <v>0</v>
      </c>
      <c r="AB870" s="2">
        <v>0</v>
      </c>
      <c r="AC870" s="2">
        <v>0</v>
      </c>
      <c r="AD870" s="16">
        <f t="shared" si="296"/>
        <v>4453523.66</v>
      </c>
      <c r="AE870" s="2">
        <v>0</v>
      </c>
      <c r="AF870" s="2">
        <f t="shared" si="302"/>
        <v>4453523.66</v>
      </c>
      <c r="AG870" s="38" t="s">
        <v>486</v>
      </c>
      <c r="AH870" s="29" t="s">
        <v>2161</v>
      </c>
      <c r="AI870" s="30">
        <f>77354.96+78742.24+53823.73+81477.99+43197.14</f>
        <v>334596.06000000006</v>
      </c>
      <c r="AJ870" s="30">
        <v>0</v>
      </c>
    </row>
    <row r="871" spans="1:36" s="179" customFormat="1" ht="173.25" x14ac:dyDescent="0.25">
      <c r="A871" s="6">
        <v>868</v>
      </c>
      <c r="B871" s="31">
        <v>140086</v>
      </c>
      <c r="C871" s="31">
        <v>870</v>
      </c>
      <c r="D871" s="177" t="s">
        <v>146</v>
      </c>
      <c r="E871" s="83" t="s">
        <v>1687</v>
      </c>
      <c r="F871" s="31" t="s">
        <v>1685</v>
      </c>
      <c r="G871" s="11" t="s">
        <v>133</v>
      </c>
      <c r="H871" s="32" t="s">
        <v>1686</v>
      </c>
      <c r="I871" s="33" t="s">
        <v>3058</v>
      </c>
      <c r="J871" s="25">
        <v>44173</v>
      </c>
      <c r="K871" s="25">
        <v>45238</v>
      </c>
      <c r="L871" s="26">
        <f t="shared" si="297"/>
        <v>83.983863166666666</v>
      </c>
      <c r="M871" s="11" t="s">
        <v>1343</v>
      </c>
      <c r="N871" s="11" t="s">
        <v>261</v>
      </c>
      <c r="O871" s="11" t="s">
        <v>137</v>
      </c>
      <c r="P871" s="27" t="s">
        <v>138</v>
      </c>
      <c r="Q871" s="11" t="s">
        <v>34</v>
      </c>
      <c r="R871" s="1">
        <f t="shared" si="298"/>
        <v>10078063.58</v>
      </c>
      <c r="S871" s="2">
        <v>8127080.1999999993</v>
      </c>
      <c r="T871" s="2">
        <v>1950983.3800000001</v>
      </c>
      <c r="U871" s="1">
        <f t="shared" si="299"/>
        <v>347356.29</v>
      </c>
      <c r="V871" s="28">
        <v>256699.24</v>
      </c>
      <c r="W871" s="28">
        <v>90657.05</v>
      </c>
      <c r="X871" s="1">
        <f t="shared" si="300"/>
        <v>1574580.1300000001</v>
      </c>
      <c r="Y871" s="2">
        <v>1177491.3700000001</v>
      </c>
      <c r="Z871" s="2">
        <v>397088.76</v>
      </c>
      <c r="AA871" s="2">
        <f t="shared" si="301"/>
        <v>0</v>
      </c>
      <c r="AB871" s="2">
        <v>0</v>
      </c>
      <c r="AC871" s="2">
        <v>0</v>
      </c>
      <c r="AD871" s="16">
        <f t="shared" si="296"/>
        <v>12000000</v>
      </c>
      <c r="AE871" s="2">
        <v>221760</v>
      </c>
      <c r="AF871" s="2">
        <f t="shared" si="302"/>
        <v>12221760</v>
      </c>
      <c r="AG871" s="38" t="s">
        <v>486</v>
      </c>
      <c r="AH871" s="29" t="s">
        <v>2219</v>
      </c>
      <c r="AI871" s="30">
        <f>21467.12+49840.23+117936.7+261795.59+223790.27+286537.33</f>
        <v>961367.24</v>
      </c>
      <c r="AJ871" s="30">
        <f>166.51+868.29+2873+1391.8+2907.81+12088.96</f>
        <v>20296.37</v>
      </c>
    </row>
    <row r="872" spans="1:36" s="179" customFormat="1" ht="283.5" x14ac:dyDescent="0.25">
      <c r="A872" s="6">
        <v>869</v>
      </c>
      <c r="B872" s="31">
        <v>129968</v>
      </c>
      <c r="C872" s="31">
        <v>697</v>
      </c>
      <c r="D872" s="177" t="s">
        <v>143</v>
      </c>
      <c r="E872" s="83" t="s">
        <v>1056</v>
      </c>
      <c r="F872" s="31" t="s">
        <v>1691</v>
      </c>
      <c r="G872" s="11" t="s">
        <v>1690</v>
      </c>
      <c r="H872" s="8" t="s">
        <v>151</v>
      </c>
      <c r="I872" s="33" t="s">
        <v>3059</v>
      </c>
      <c r="J872" s="25">
        <v>44180</v>
      </c>
      <c r="K872" s="25">
        <v>45214</v>
      </c>
      <c r="L872" s="26">
        <f t="shared" si="297"/>
        <v>83.983862447702634</v>
      </c>
      <c r="M872" s="11" t="s">
        <v>1343</v>
      </c>
      <c r="N872" s="11" t="s">
        <v>280</v>
      </c>
      <c r="O872" s="11" t="s">
        <v>280</v>
      </c>
      <c r="P872" s="27" t="s">
        <v>138</v>
      </c>
      <c r="Q872" s="11" t="s">
        <v>34</v>
      </c>
      <c r="R872" s="1">
        <f t="shared" si="298"/>
        <v>4995589.0699999994</v>
      </c>
      <c r="S872" s="2">
        <v>4028507.3399999994</v>
      </c>
      <c r="T872" s="2">
        <v>967081.7300000001</v>
      </c>
      <c r="U872" s="1">
        <f t="shared" si="299"/>
        <v>833718.07</v>
      </c>
      <c r="V872" s="28">
        <v>616124.67999999993</v>
      </c>
      <c r="W872" s="28">
        <v>217593.39</v>
      </c>
      <c r="X872" s="1">
        <f t="shared" si="300"/>
        <v>118965.45000000001</v>
      </c>
      <c r="Y872" s="2">
        <v>94788.41</v>
      </c>
      <c r="Z872" s="2">
        <v>24177.040000000001</v>
      </c>
      <c r="AA872" s="2">
        <f t="shared" si="301"/>
        <v>0</v>
      </c>
      <c r="AB872" s="2">
        <v>0</v>
      </c>
      <c r="AC872" s="2">
        <v>0</v>
      </c>
      <c r="AD872" s="16">
        <f t="shared" si="296"/>
        <v>5948272.5899999999</v>
      </c>
      <c r="AE872" s="2">
        <v>0</v>
      </c>
      <c r="AF872" s="2">
        <f t="shared" si="302"/>
        <v>5948272.5899999999</v>
      </c>
      <c r="AG872" s="38" t="s">
        <v>486</v>
      </c>
      <c r="AH872" s="29" t="s">
        <v>2218</v>
      </c>
      <c r="AI872" s="30">
        <f>61603.51+58170.71+104286.12+39835.23+64680.74</f>
        <v>328576.31</v>
      </c>
      <c r="AJ872" s="30">
        <f>10281.06+9708.16+17404.4+6648.14+10794.63</f>
        <v>54836.39</v>
      </c>
    </row>
    <row r="873" spans="1:36" s="179" customFormat="1" ht="236.25" x14ac:dyDescent="0.25">
      <c r="A873" s="6">
        <v>870</v>
      </c>
      <c r="B873" s="31">
        <v>129831</v>
      </c>
      <c r="C873" s="31">
        <v>735</v>
      </c>
      <c r="D873" s="177" t="s">
        <v>143</v>
      </c>
      <c r="E873" s="83" t="s">
        <v>1056</v>
      </c>
      <c r="F873" s="31" t="s">
        <v>1692</v>
      </c>
      <c r="G873" s="11" t="s">
        <v>1372</v>
      </c>
      <c r="H873" s="8" t="s">
        <v>151</v>
      </c>
      <c r="I873" s="33" t="s">
        <v>3060</v>
      </c>
      <c r="J873" s="25">
        <v>44180</v>
      </c>
      <c r="K873" s="25">
        <v>45092</v>
      </c>
      <c r="L873" s="26">
        <f t="shared" si="297"/>
        <v>83.983862896657286</v>
      </c>
      <c r="M873" s="11" t="s">
        <v>1343</v>
      </c>
      <c r="N873" s="11" t="s">
        <v>261</v>
      </c>
      <c r="O873" s="11" t="s">
        <v>137</v>
      </c>
      <c r="P873" s="27" t="s">
        <v>138</v>
      </c>
      <c r="Q873" s="11" t="s">
        <v>34</v>
      </c>
      <c r="R873" s="1">
        <f t="shared" si="298"/>
        <v>22026311.919999998</v>
      </c>
      <c r="S873" s="2">
        <v>17762301.509999998</v>
      </c>
      <c r="T873" s="2">
        <v>4264010.41</v>
      </c>
      <c r="U873" s="1">
        <f t="shared" si="299"/>
        <v>0</v>
      </c>
      <c r="V873" s="28">
        <v>0</v>
      </c>
      <c r="W873" s="28">
        <v>0</v>
      </c>
      <c r="X873" s="1">
        <f t="shared" si="300"/>
        <v>4200526.38</v>
      </c>
      <c r="Y873" s="2">
        <v>3134523.79</v>
      </c>
      <c r="Z873" s="2">
        <v>1066002.5900000001</v>
      </c>
      <c r="AA873" s="2">
        <f t="shared" si="301"/>
        <v>0</v>
      </c>
      <c r="AB873" s="2">
        <v>0</v>
      </c>
      <c r="AC873" s="2">
        <v>0</v>
      </c>
      <c r="AD873" s="16">
        <f t="shared" si="296"/>
        <v>26226838.299999997</v>
      </c>
      <c r="AE873" s="2">
        <v>0</v>
      </c>
      <c r="AF873" s="2">
        <f t="shared" si="302"/>
        <v>26226838.299999997</v>
      </c>
      <c r="AG873" s="38" t="s">
        <v>486</v>
      </c>
      <c r="AH873" s="29"/>
      <c r="AI873" s="30">
        <f>21447.73+46034.92+1736722.95</f>
        <v>1804205.5999999999</v>
      </c>
      <c r="AJ873" s="30">
        <v>0</v>
      </c>
    </row>
    <row r="874" spans="1:36" s="179" customFormat="1" ht="141.75" x14ac:dyDescent="0.25">
      <c r="A874" s="6">
        <v>871</v>
      </c>
      <c r="B874" s="31">
        <v>147622</v>
      </c>
      <c r="C874" s="31">
        <v>872</v>
      </c>
      <c r="D874" s="177" t="s">
        <v>143</v>
      </c>
      <c r="E874" s="83" t="s">
        <v>1693</v>
      </c>
      <c r="F874" s="31" t="s">
        <v>1694</v>
      </c>
      <c r="G874" s="11" t="s">
        <v>1350</v>
      </c>
      <c r="H874" s="8" t="s">
        <v>151</v>
      </c>
      <c r="I874" s="33" t="s">
        <v>2269</v>
      </c>
      <c r="J874" s="25">
        <v>44182</v>
      </c>
      <c r="K874" s="25">
        <v>44912</v>
      </c>
      <c r="L874" s="26">
        <f t="shared" si="297"/>
        <v>83.911615729320985</v>
      </c>
      <c r="M874" s="11" t="s">
        <v>1343</v>
      </c>
      <c r="N874" s="11" t="s">
        <v>261</v>
      </c>
      <c r="O874" s="11" t="s">
        <v>137</v>
      </c>
      <c r="P874" s="27" t="s">
        <v>138</v>
      </c>
      <c r="Q874" s="11" t="s">
        <v>34</v>
      </c>
      <c r="R874" s="1">
        <f t="shared" si="298"/>
        <v>5698223.4299999988</v>
      </c>
      <c r="S874" s="2">
        <v>4515672.5999999987</v>
      </c>
      <c r="T874" s="2">
        <v>1182550.83</v>
      </c>
      <c r="U874" s="1">
        <f t="shared" si="299"/>
        <v>0</v>
      </c>
      <c r="V874" s="28">
        <v>0</v>
      </c>
      <c r="W874" s="28">
        <v>0</v>
      </c>
      <c r="X874" s="1">
        <f t="shared" si="300"/>
        <v>1092521.07</v>
      </c>
      <c r="Y874" s="2">
        <v>796883.4</v>
      </c>
      <c r="Z874" s="2">
        <v>295637.67</v>
      </c>
      <c r="AA874" s="2">
        <f t="shared" si="301"/>
        <v>0</v>
      </c>
      <c r="AB874" s="2">
        <v>0</v>
      </c>
      <c r="AC874" s="2">
        <v>0</v>
      </c>
      <c r="AD874" s="16">
        <f t="shared" si="296"/>
        <v>6790744.4999999991</v>
      </c>
      <c r="AE874" s="2">
        <v>0</v>
      </c>
      <c r="AF874" s="2">
        <f t="shared" si="302"/>
        <v>6790744.4999999991</v>
      </c>
      <c r="AG874" s="38" t="s">
        <v>486</v>
      </c>
      <c r="AH874" s="29" t="s">
        <v>2268</v>
      </c>
      <c r="AI874" s="30">
        <f>4503721.85+76276.87+7975.8</f>
        <v>4587974.5199999996</v>
      </c>
      <c r="AJ874" s="30">
        <v>0</v>
      </c>
    </row>
    <row r="875" spans="1:36" s="179" customFormat="1" ht="230.25" customHeight="1" x14ac:dyDescent="0.25">
      <c r="A875" s="6">
        <v>872</v>
      </c>
      <c r="B875" s="31">
        <v>129973</v>
      </c>
      <c r="C875" s="31">
        <v>698</v>
      </c>
      <c r="D875" s="177" t="s">
        <v>143</v>
      </c>
      <c r="E875" s="83" t="s">
        <v>1056</v>
      </c>
      <c r="F875" s="31" t="s">
        <v>1696</v>
      </c>
      <c r="G875" s="11" t="s">
        <v>1695</v>
      </c>
      <c r="H875" s="8" t="s">
        <v>151</v>
      </c>
      <c r="I875" s="33" t="s">
        <v>3061</v>
      </c>
      <c r="J875" s="25">
        <v>44186</v>
      </c>
      <c r="K875" s="25">
        <v>45098</v>
      </c>
      <c r="L875" s="26">
        <f t="shared" si="297"/>
        <v>83.983862827834926</v>
      </c>
      <c r="M875" s="11" t="s">
        <v>1343</v>
      </c>
      <c r="N875" s="11" t="s">
        <v>261</v>
      </c>
      <c r="O875" s="11" t="s">
        <v>137</v>
      </c>
      <c r="P875" s="27" t="s">
        <v>138</v>
      </c>
      <c r="Q875" s="11" t="s">
        <v>34</v>
      </c>
      <c r="R875" s="1">
        <f t="shared" si="298"/>
        <v>11483727.939999996</v>
      </c>
      <c r="S875" s="2">
        <v>9260626.0799999963</v>
      </c>
      <c r="T875" s="2">
        <v>2223101.86</v>
      </c>
      <c r="U875" s="1">
        <f t="shared" si="299"/>
        <v>0</v>
      </c>
      <c r="V875" s="28">
        <v>0</v>
      </c>
      <c r="W875" s="28">
        <v>0</v>
      </c>
      <c r="X875" s="1">
        <f t="shared" si="300"/>
        <v>2190003.6</v>
      </c>
      <c r="Y875" s="2">
        <v>1634228.11</v>
      </c>
      <c r="Z875" s="2">
        <v>555775.49</v>
      </c>
      <c r="AA875" s="2">
        <f t="shared" si="301"/>
        <v>0</v>
      </c>
      <c r="AB875" s="2">
        <v>0</v>
      </c>
      <c r="AC875" s="2">
        <v>0</v>
      </c>
      <c r="AD875" s="16">
        <f t="shared" si="296"/>
        <v>13673731.539999995</v>
      </c>
      <c r="AE875" s="2">
        <v>0</v>
      </c>
      <c r="AF875" s="2">
        <f t="shared" si="302"/>
        <v>13673731.539999995</v>
      </c>
      <c r="AG875" s="38" t="s">
        <v>486</v>
      </c>
      <c r="AH875" s="29"/>
      <c r="AI875" s="30">
        <f>10340.09+112233.26</f>
        <v>122573.34999999999</v>
      </c>
      <c r="AJ875" s="30">
        <v>0</v>
      </c>
    </row>
    <row r="876" spans="1:36" s="179" customFormat="1" ht="252" x14ac:dyDescent="0.25">
      <c r="A876" s="6">
        <v>873</v>
      </c>
      <c r="B876" s="31">
        <v>130045</v>
      </c>
      <c r="C876" s="31">
        <v>742</v>
      </c>
      <c r="D876" s="177" t="s">
        <v>143</v>
      </c>
      <c r="E876" s="83" t="s">
        <v>1056</v>
      </c>
      <c r="F876" s="31" t="s">
        <v>1698</v>
      </c>
      <c r="G876" s="11" t="s">
        <v>1697</v>
      </c>
      <c r="H876" s="8" t="s">
        <v>151</v>
      </c>
      <c r="I876" s="33" t="s">
        <v>3062</v>
      </c>
      <c r="J876" s="25">
        <v>44187</v>
      </c>
      <c r="K876" s="25">
        <v>45099</v>
      </c>
      <c r="L876" s="26">
        <f t="shared" si="297"/>
        <v>83.983862773667468</v>
      </c>
      <c r="M876" s="11" t="s">
        <v>1343</v>
      </c>
      <c r="N876" s="11" t="s">
        <v>261</v>
      </c>
      <c r="O876" s="11" t="s">
        <v>137</v>
      </c>
      <c r="P876" s="27" t="s">
        <v>138</v>
      </c>
      <c r="Q876" s="11" t="s">
        <v>34</v>
      </c>
      <c r="R876" s="1">
        <f t="shared" si="298"/>
        <v>11892012.710000001</v>
      </c>
      <c r="S876" s="2">
        <v>9589872.1699999999</v>
      </c>
      <c r="T876" s="2">
        <v>2302140.5400000005</v>
      </c>
      <c r="U876" s="1">
        <f t="shared" si="299"/>
        <v>0</v>
      </c>
      <c r="V876" s="28">
        <v>0</v>
      </c>
      <c r="W876" s="28">
        <v>0</v>
      </c>
      <c r="X876" s="1">
        <f t="shared" si="300"/>
        <v>2267865.5299999998</v>
      </c>
      <c r="Y876" s="2">
        <v>1692330.38</v>
      </c>
      <c r="Z876" s="2">
        <v>575535.15</v>
      </c>
      <c r="AA876" s="2">
        <f t="shared" si="301"/>
        <v>0</v>
      </c>
      <c r="AB876" s="2">
        <v>0</v>
      </c>
      <c r="AC876" s="2">
        <v>0</v>
      </c>
      <c r="AD876" s="16">
        <f t="shared" si="296"/>
        <v>14159878.24</v>
      </c>
      <c r="AE876" s="2">
        <v>0</v>
      </c>
      <c r="AF876" s="2">
        <f t="shared" si="302"/>
        <v>14159878.24</v>
      </c>
      <c r="AG876" s="38" t="s">
        <v>486</v>
      </c>
      <c r="AH876" s="29" t="s">
        <v>3282</v>
      </c>
      <c r="AI876" s="30">
        <v>15385.84</v>
      </c>
      <c r="AJ876" s="30">
        <v>0</v>
      </c>
    </row>
    <row r="877" spans="1:36" s="179" customFormat="1" ht="220.5" x14ac:dyDescent="0.25">
      <c r="A877" s="6">
        <v>874</v>
      </c>
      <c r="B877" s="31">
        <v>130054</v>
      </c>
      <c r="C877" s="31">
        <v>743</v>
      </c>
      <c r="D877" s="177" t="s">
        <v>143</v>
      </c>
      <c r="E877" s="83" t="s">
        <v>1056</v>
      </c>
      <c r="F877" s="31" t="s">
        <v>1700</v>
      </c>
      <c r="G877" s="11" t="s">
        <v>1699</v>
      </c>
      <c r="H877" s="8" t="s">
        <v>151</v>
      </c>
      <c r="I877" s="33" t="s">
        <v>3063</v>
      </c>
      <c r="J877" s="25">
        <v>44186</v>
      </c>
      <c r="K877" s="25">
        <v>45098</v>
      </c>
      <c r="L877" s="26">
        <f t="shared" si="297"/>
        <v>83.983862881970154</v>
      </c>
      <c r="M877" s="11" t="s">
        <v>1343</v>
      </c>
      <c r="N877" s="11" t="s">
        <v>261</v>
      </c>
      <c r="O877" s="11" t="s">
        <v>137</v>
      </c>
      <c r="P877" s="27" t="s">
        <v>138</v>
      </c>
      <c r="Q877" s="11" t="s">
        <v>34</v>
      </c>
      <c r="R877" s="1">
        <f t="shared" si="298"/>
        <v>12463109.93</v>
      </c>
      <c r="S877" s="2">
        <v>10050412.300000001</v>
      </c>
      <c r="T877" s="2">
        <v>2412697.63</v>
      </c>
      <c r="U877" s="1">
        <f t="shared" si="299"/>
        <v>0</v>
      </c>
      <c r="V877" s="28">
        <v>0</v>
      </c>
      <c r="W877" s="28">
        <v>0</v>
      </c>
      <c r="X877" s="1">
        <f t="shared" si="300"/>
        <v>2376776.5699999998</v>
      </c>
      <c r="Y877" s="2">
        <v>1773602.17</v>
      </c>
      <c r="Z877" s="2">
        <v>603174.40000000002</v>
      </c>
      <c r="AA877" s="2">
        <f t="shared" si="301"/>
        <v>0</v>
      </c>
      <c r="AB877" s="2">
        <v>0</v>
      </c>
      <c r="AC877" s="2">
        <v>0</v>
      </c>
      <c r="AD877" s="16">
        <f t="shared" si="296"/>
        <v>14839886.5</v>
      </c>
      <c r="AE877" s="2">
        <v>0</v>
      </c>
      <c r="AF877" s="2">
        <f t="shared" si="302"/>
        <v>14839886.5</v>
      </c>
      <c r="AG877" s="38" t="s">
        <v>486</v>
      </c>
      <c r="AH877" s="29"/>
      <c r="AI877" s="30">
        <v>33593.550000000003</v>
      </c>
      <c r="AJ877" s="30">
        <v>0</v>
      </c>
    </row>
    <row r="878" spans="1:36" s="179" customFormat="1" ht="189" x14ac:dyDescent="0.25">
      <c r="A878" s="6">
        <v>875</v>
      </c>
      <c r="B878" s="31">
        <v>135024</v>
      </c>
      <c r="C878" s="31">
        <v>868</v>
      </c>
      <c r="D878" s="177" t="s">
        <v>143</v>
      </c>
      <c r="E878" s="83" t="s">
        <v>1623</v>
      </c>
      <c r="F878" s="31" t="s">
        <v>1701</v>
      </c>
      <c r="G878" s="11" t="s">
        <v>515</v>
      </c>
      <c r="H878" s="11" t="s">
        <v>1702</v>
      </c>
      <c r="I878" s="33" t="s">
        <v>3064</v>
      </c>
      <c r="J878" s="25">
        <v>44186</v>
      </c>
      <c r="K878" s="25">
        <v>45098</v>
      </c>
      <c r="L878" s="26">
        <f>R878/AD878*100</f>
        <v>83.98386335793829</v>
      </c>
      <c r="M878" s="11" t="s">
        <v>1343</v>
      </c>
      <c r="N878" s="11" t="s">
        <v>261</v>
      </c>
      <c r="O878" s="11" t="s">
        <v>137</v>
      </c>
      <c r="P878" s="27" t="s">
        <v>138</v>
      </c>
      <c r="Q878" s="11" t="s">
        <v>34</v>
      </c>
      <c r="R878" s="1">
        <f t="shared" si="298"/>
        <v>10518279.300000001</v>
      </c>
      <c r="S878" s="2">
        <v>8482075.9199999999</v>
      </c>
      <c r="T878" s="2">
        <v>2036203.38</v>
      </c>
      <c r="U878" s="1">
        <f t="shared" si="299"/>
        <v>826424.82000000007</v>
      </c>
      <c r="V878" s="28">
        <v>610734.86</v>
      </c>
      <c r="W878" s="28">
        <v>215689.96000000002</v>
      </c>
      <c r="X878" s="1">
        <f t="shared" si="300"/>
        <v>1179462.8800000001</v>
      </c>
      <c r="Y878" s="2">
        <v>886101.92</v>
      </c>
      <c r="Z878" s="2">
        <v>293360.96000000002</v>
      </c>
      <c r="AA878" s="2">
        <f t="shared" si="301"/>
        <v>0</v>
      </c>
      <c r="AB878" s="2">
        <v>0</v>
      </c>
      <c r="AC878" s="2">
        <v>0</v>
      </c>
      <c r="AD878" s="16">
        <f t="shared" si="296"/>
        <v>12524167.000000002</v>
      </c>
      <c r="AE878" s="2">
        <v>0</v>
      </c>
      <c r="AF878" s="2">
        <f t="shared" si="302"/>
        <v>12524167.000000002</v>
      </c>
      <c r="AG878" s="38" t="s">
        <v>486</v>
      </c>
      <c r="AH878" s="29"/>
      <c r="AI878" s="30">
        <f>31769.95+23519.68+153435.5+38677.92+32238.93+307239.04+109273.92</f>
        <v>696154.94000000006</v>
      </c>
      <c r="AJ878" s="30">
        <f>5302.12+3856.54+3923.68+2567.06+5380.38+51003.13+18236.82</f>
        <v>90269.73000000001</v>
      </c>
    </row>
    <row r="879" spans="1:36" s="179" customFormat="1" ht="330.75" x14ac:dyDescent="0.25">
      <c r="A879" s="6">
        <v>876</v>
      </c>
      <c r="B879" s="31">
        <v>129541</v>
      </c>
      <c r="C879" s="31">
        <v>709</v>
      </c>
      <c r="D879" s="177" t="s">
        <v>143</v>
      </c>
      <c r="E879" s="83" t="s">
        <v>1056</v>
      </c>
      <c r="F879" s="31" t="s">
        <v>1704</v>
      </c>
      <c r="G879" s="11" t="s">
        <v>1703</v>
      </c>
      <c r="H879" s="11" t="s">
        <v>1705</v>
      </c>
      <c r="I879" s="33" t="s">
        <v>3065</v>
      </c>
      <c r="J879" s="25">
        <v>44187</v>
      </c>
      <c r="K879" s="25">
        <v>45038</v>
      </c>
      <c r="L879" s="26">
        <f t="shared" ref="L879:L892" si="303">R879/AD879*100</f>
        <v>83.98386306929801</v>
      </c>
      <c r="M879" s="11" t="s">
        <v>1343</v>
      </c>
      <c r="N879" s="11" t="s">
        <v>261</v>
      </c>
      <c r="O879" s="11" t="s">
        <v>137</v>
      </c>
      <c r="P879" s="27" t="s">
        <v>138</v>
      </c>
      <c r="Q879" s="11" t="s">
        <v>34</v>
      </c>
      <c r="R879" s="1">
        <f t="shared" si="298"/>
        <v>5951029.3500000043</v>
      </c>
      <c r="S879" s="2">
        <v>4798986.7300000042</v>
      </c>
      <c r="T879" s="2">
        <v>1152042.6200000003</v>
      </c>
      <c r="U879" s="1">
        <f t="shared" si="299"/>
        <v>551557.41999999993</v>
      </c>
      <c r="V879" s="28">
        <v>407605.53999999986</v>
      </c>
      <c r="W879" s="28">
        <v>143951.88</v>
      </c>
      <c r="X879" s="1">
        <f t="shared" si="300"/>
        <v>583333.23</v>
      </c>
      <c r="Y879" s="2">
        <v>439274.4</v>
      </c>
      <c r="Z879" s="2">
        <v>144058.82999999999</v>
      </c>
      <c r="AA879" s="2">
        <f t="shared" si="301"/>
        <v>0</v>
      </c>
      <c r="AB879" s="2">
        <v>0</v>
      </c>
      <c r="AC879" s="2">
        <v>0</v>
      </c>
      <c r="AD879" s="16">
        <f t="shared" si="296"/>
        <v>7085920.0000000037</v>
      </c>
      <c r="AE879" s="2">
        <v>0</v>
      </c>
      <c r="AF879" s="2">
        <f t="shared" si="302"/>
        <v>7085920.0000000037</v>
      </c>
      <c r="AG879" s="38" t="s">
        <v>486</v>
      </c>
      <c r="AH879" s="29"/>
      <c r="AI879" s="30">
        <f>52982.07+161729.07+1008893.61+1441425.72</f>
        <v>2665030.4699999997</v>
      </c>
      <c r="AJ879" s="30">
        <f>26991.1+134421.09+156722.83</f>
        <v>318135.02</v>
      </c>
    </row>
    <row r="880" spans="1:36" s="179" customFormat="1" ht="141.75" x14ac:dyDescent="0.25">
      <c r="A880" s="6">
        <v>877</v>
      </c>
      <c r="B880" s="31">
        <v>134024</v>
      </c>
      <c r="C880" s="31">
        <v>754</v>
      </c>
      <c r="D880" s="177" t="s">
        <v>143</v>
      </c>
      <c r="E880" s="83" t="s">
        <v>1623</v>
      </c>
      <c r="F880" s="31" t="s">
        <v>1706</v>
      </c>
      <c r="G880" s="11" t="s">
        <v>74</v>
      </c>
      <c r="H880" s="11" t="s">
        <v>1707</v>
      </c>
      <c r="I880" s="33" t="s">
        <v>1708</v>
      </c>
      <c r="J880" s="25">
        <v>44186</v>
      </c>
      <c r="K880" s="25">
        <v>45037</v>
      </c>
      <c r="L880" s="26">
        <f t="shared" si="303"/>
        <v>83.208378225753307</v>
      </c>
      <c r="M880" s="11" t="s">
        <v>1343</v>
      </c>
      <c r="N880" s="11" t="s">
        <v>261</v>
      </c>
      <c r="O880" s="11" t="s">
        <v>137</v>
      </c>
      <c r="P880" s="27" t="s">
        <v>138</v>
      </c>
      <c r="Q880" s="11" t="s">
        <v>34</v>
      </c>
      <c r="R880" s="1">
        <f t="shared" si="298"/>
        <v>9711600.1300000008</v>
      </c>
      <c r="S880" s="2">
        <v>7831559.3700000001</v>
      </c>
      <c r="T880" s="2">
        <v>1880040.7600000005</v>
      </c>
      <c r="U880" s="1">
        <f t="shared" si="299"/>
        <v>845775.4</v>
      </c>
      <c r="V880" s="28">
        <v>631135.92000000004</v>
      </c>
      <c r="W880" s="28">
        <v>214639.48</v>
      </c>
      <c r="X880" s="1">
        <f t="shared" si="300"/>
        <v>1006274.6499999999</v>
      </c>
      <c r="Y880" s="2">
        <v>750903.95</v>
      </c>
      <c r="Z880" s="2">
        <v>255370.7</v>
      </c>
      <c r="AA880" s="2">
        <f t="shared" si="301"/>
        <v>107770.81999999999</v>
      </c>
      <c r="AB880" s="2">
        <v>85868.84</v>
      </c>
      <c r="AC880" s="2">
        <v>21901.98</v>
      </c>
      <c r="AD880" s="16">
        <f t="shared" si="296"/>
        <v>11671421.000000002</v>
      </c>
      <c r="AE880" s="2">
        <v>0</v>
      </c>
      <c r="AF880" s="2">
        <f t="shared" si="302"/>
        <v>11671421.000000002</v>
      </c>
      <c r="AG880" s="38" t="s">
        <v>486</v>
      </c>
      <c r="AH880" s="29"/>
      <c r="AI880" s="30">
        <f>538854.1+63624.76+538184.06+226337.66+311578.82+187470.88+333222.73+578301.93+19594.69+364744.85+165671.93+332886.8+374787.25</f>
        <v>4035260.46</v>
      </c>
      <c r="AJ880" s="30">
        <f>44378.82+49792.27+49902.89+53369.41+55778.96+58418.04+53315.61+55557.94</f>
        <v>420513.93999999994</v>
      </c>
    </row>
    <row r="881" spans="1:36" s="179" customFormat="1" ht="141.75" x14ac:dyDescent="0.25">
      <c r="A881" s="6">
        <v>878</v>
      </c>
      <c r="B881" s="31">
        <v>129365</v>
      </c>
      <c r="C881" s="31">
        <v>695</v>
      </c>
      <c r="D881" s="177" t="s">
        <v>143</v>
      </c>
      <c r="E881" s="83" t="s">
        <v>1056</v>
      </c>
      <c r="F881" s="31" t="s">
        <v>1709</v>
      </c>
      <c r="G881" s="11" t="s">
        <v>74</v>
      </c>
      <c r="H881" s="8" t="s">
        <v>151</v>
      </c>
      <c r="I881" s="33" t="s">
        <v>3066</v>
      </c>
      <c r="J881" s="25">
        <v>44188</v>
      </c>
      <c r="K881" s="25">
        <v>45253</v>
      </c>
      <c r="L881" s="26">
        <f t="shared" si="303"/>
        <v>83.983862328307552</v>
      </c>
      <c r="M881" s="11" t="s">
        <v>1343</v>
      </c>
      <c r="N881" s="11" t="s">
        <v>261</v>
      </c>
      <c r="O881" s="11" t="s">
        <v>137</v>
      </c>
      <c r="P881" s="27" t="s">
        <v>138</v>
      </c>
      <c r="Q881" s="11" t="s">
        <v>34</v>
      </c>
      <c r="R881" s="1">
        <f t="shared" si="298"/>
        <v>5064322.6399999997</v>
      </c>
      <c r="S881" s="2">
        <v>4083934.8599999994</v>
      </c>
      <c r="T881" s="2">
        <v>980387.78</v>
      </c>
      <c r="U881" s="1">
        <f t="shared" si="299"/>
        <v>0</v>
      </c>
      <c r="V881" s="28">
        <v>0</v>
      </c>
      <c r="W881" s="28">
        <v>0</v>
      </c>
      <c r="X881" s="1">
        <f t="shared" si="300"/>
        <v>965791.3600000001</v>
      </c>
      <c r="Y881" s="2">
        <v>720694.56</v>
      </c>
      <c r="Z881" s="2">
        <v>245096.8</v>
      </c>
      <c r="AA881" s="2">
        <f t="shared" si="301"/>
        <v>0</v>
      </c>
      <c r="AB881" s="2">
        <v>0</v>
      </c>
      <c r="AC881" s="2">
        <v>0</v>
      </c>
      <c r="AD881" s="16">
        <f t="shared" si="296"/>
        <v>6030114</v>
      </c>
      <c r="AE881" s="2">
        <v>0</v>
      </c>
      <c r="AF881" s="2">
        <f t="shared" si="302"/>
        <v>6030114</v>
      </c>
      <c r="AG881" s="38" t="s">
        <v>486</v>
      </c>
      <c r="AH881" s="29" t="s">
        <v>1988</v>
      </c>
      <c r="AI881" s="30">
        <f>66550.23+165036.84+105796.69+558757.48+121282.91</f>
        <v>1017424.15</v>
      </c>
      <c r="AJ881" s="30">
        <v>0</v>
      </c>
    </row>
    <row r="882" spans="1:36" s="179" customFormat="1" ht="204.75" x14ac:dyDescent="0.25">
      <c r="A882" s="6">
        <v>879</v>
      </c>
      <c r="B882" s="31">
        <v>136668</v>
      </c>
      <c r="C882" s="31">
        <v>865</v>
      </c>
      <c r="D882" s="177" t="s">
        <v>143</v>
      </c>
      <c r="E882" s="83" t="s">
        <v>1623</v>
      </c>
      <c r="F882" s="31" t="s">
        <v>1710</v>
      </c>
      <c r="G882" s="11" t="s">
        <v>515</v>
      </c>
      <c r="H882" s="11" t="s">
        <v>1643</v>
      </c>
      <c r="I882" s="33" t="s">
        <v>3067</v>
      </c>
      <c r="J882" s="25">
        <v>44188</v>
      </c>
      <c r="K882" s="25">
        <v>45089</v>
      </c>
      <c r="L882" s="26">
        <f t="shared" si="303"/>
        <v>83.983862732578785</v>
      </c>
      <c r="M882" s="11" t="s">
        <v>1343</v>
      </c>
      <c r="N882" s="11" t="s">
        <v>261</v>
      </c>
      <c r="O882" s="11" t="s">
        <v>137</v>
      </c>
      <c r="P882" s="27" t="s">
        <v>138</v>
      </c>
      <c r="Q882" s="11" t="s">
        <v>34</v>
      </c>
      <c r="R882" s="1">
        <f t="shared" si="298"/>
        <v>9968940.4899999965</v>
      </c>
      <c r="S882" s="2">
        <v>8039081.9599999972</v>
      </c>
      <c r="T882" s="2">
        <v>1929858.5299999996</v>
      </c>
      <c r="U882" s="1">
        <f t="shared" si="299"/>
        <v>698109.6399999999</v>
      </c>
      <c r="V882" s="28">
        <v>515908.92</v>
      </c>
      <c r="W882" s="28">
        <v>182200.71999999997</v>
      </c>
      <c r="X882" s="1">
        <f t="shared" si="300"/>
        <v>1203016.53</v>
      </c>
      <c r="Y882" s="2">
        <v>902752.61</v>
      </c>
      <c r="Z882" s="2">
        <v>300263.92</v>
      </c>
      <c r="AA882" s="2">
        <f t="shared" si="301"/>
        <v>0</v>
      </c>
      <c r="AB882" s="2">
        <v>0</v>
      </c>
      <c r="AC882" s="2">
        <v>0</v>
      </c>
      <c r="AD882" s="16">
        <f t="shared" si="296"/>
        <v>11870066.659999996</v>
      </c>
      <c r="AE882" s="2">
        <v>0</v>
      </c>
      <c r="AF882" s="2">
        <f t="shared" si="302"/>
        <v>11870066.659999996</v>
      </c>
      <c r="AG882" s="38" t="s">
        <v>486</v>
      </c>
      <c r="AH882" s="29"/>
      <c r="AI882" s="30">
        <f>498000+242382.68+364875.45-38132.16+498000+370588.88-37963.87+276403.02</f>
        <v>2174154</v>
      </c>
      <c r="AJ882" s="30">
        <f>40451.45+60894.37+73825.81+55566.97+39531.66</f>
        <v>270270.26</v>
      </c>
    </row>
    <row r="883" spans="1:36" s="179" customFormat="1" ht="141.75" x14ac:dyDescent="0.25">
      <c r="A883" s="6">
        <v>880</v>
      </c>
      <c r="B883" s="31">
        <v>136584</v>
      </c>
      <c r="C883" s="31">
        <v>867</v>
      </c>
      <c r="D883" s="177" t="s">
        <v>143</v>
      </c>
      <c r="E883" s="83" t="s">
        <v>1623</v>
      </c>
      <c r="F883" s="31" t="s">
        <v>1711</v>
      </c>
      <c r="G883" s="11" t="s">
        <v>1774</v>
      </c>
      <c r="H883" s="11" t="s">
        <v>1643</v>
      </c>
      <c r="I883" s="33" t="s">
        <v>1712</v>
      </c>
      <c r="J883" s="25">
        <v>44188</v>
      </c>
      <c r="K883" s="25">
        <v>45283</v>
      </c>
      <c r="L883" s="26">
        <f t="shared" si="303"/>
        <v>83.983863185742621</v>
      </c>
      <c r="M883" s="11" t="s">
        <v>1343</v>
      </c>
      <c r="N883" s="11" t="s">
        <v>261</v>
      </c>
      <c r="O883" s="11" t="s">
        <v>137</v>
      </c>
      <c r="P883" s="27" t="s">
        <v>138</v>
      </c>
      <c r="Q883" s="11" t="s">
        <v>34</v>
      </c>
      <c r="R883" s="1">
        <f t="shared" si="298"/>
        <v>8836684.2599999998</v>
      </c>
      <c r="S883" s="2">
        <v>7126015.9400000004</v>
      </c>
      <c r="T883" s="2">
        <v>1710668.3199999987</v>
      </c>
      <c r="U883" s="1">
        <f t="shared" si="299"/>
        <v>721551.53999999992</v>
      </c>
      <c r="V883" s="28">
        <v>533232.69999999995</v>
      </c>
      <c r="W883" s="28">
        <v>188318.83999999997</v>
      </c>
      <c r="X883" s="1">
        <f t="shared" si="300"/>
        <v>963647.72</v>
      </c>
      <c r="Y883" s="2">
        <v>724299.51</v>
      </c>
      <c r="Z883" s="2">
        <v>239348.21</v>
      </c>
      <c r="AA883" s="2">
        <f t="shared" si="301"/>
        <v>0</v>
      </c>
      <c r="AB883" s="2">
        <v>0</v>
      </c>
      <c r="AC883" s="2">
        <v>0</v>
      </c>
      <c r="AD883" s="16">
        <f t="shared" si="296"/>
        <v>10521883.52</v>
      </c>
      <c r="AE883" s="2">
        <v>0</v>
      </c>
      <c r="AF883" s="2">
        <f t="shared" si="302"/>
        <v>10521883.52</v>
      </c>
      <c r="AG883" s="38" t="s">
        <v>486</v>
      </c>
      <c r="AH883" s="29"/>
      <c r="AI883" s="30">
        <f>500000-26815.53+689230.27+19749.06+356445.7+316299.12</f>
        <v>1854908.62</v>
      </c>
      <c r="AJ883" s="30">
        <f>26815.53+71461.81+65389.76+47413.08+42561.12</f>
        <v>253641.3</v>
      </c>
    </row>
    <row r="884" spans="1:36" s="179" customFormat="1" ht="141.75" x14ac:dyDescent="0.25">
      <c r="A884" s="6">
        <v>881</v>
      </c>
      <c r="B884" s="31">
        <v>142520</v>
      </c>
      <c r="C884" s="31">
        <v>871</v>
      </c>
      <c r="D884" s="177" t="s">
        <v>1733</v>
      </c>
      <c r="E884" s="83" t="s">
        <v>1732</v>
      </c>
      <c r="F884" s="31" t="s">
        <v>1730</v>
      </c>
      <c r="G884" s="11" t="s">
        <v>99</v>
      </c>
      <c r="H884" s="11" t="s">
        <v>1731</v>
      </c>
      <c r="I884" s="33" t="s">
        <v>3068</v>
      </c>
      <c r="J884" s="25">
        <v>44237</v>
      </c>
      <c r="K884" s="25">
        <v>45291</v>
      </c>
      <c r="L884" s="26">
        <f t="shared" si="303"/>
        <v>83.983862835167429</v>
      </c>
      <c r="M884" s="11" t="s">
        <v>1343</v>
      </c>
      <c r="N884" s="11" t="s">
        <v>261</v>
      </c>
      <c r="O884" s="11" t="s">
        <v>137</v>
      </c>
      <c r="P884" s="27" t="s">
        <v>138</v>
      </c>
      <c r="Q884" s="11" t="s">
        <v>34</v>
      </c>
      <c r="R884" s="1">
        <f t="shared" si="298"/>
        <v>80565489.459999993</v>
      </c>
      <c r="S884" s="2">
        <v>64969047.969999999</v>
      </c>
      <c r="T884" s="2">
        <v>15596441.49</v>
      </c>
      <c r="U884" s="1">
        <f t="shared" si="299"/>
        <v>0</v>
      </c>
      <c r="V884" s="28">
        <v>0</v>
      </c>
      <c r="W884" s="28">
        <v>0</v>
      </c>
      <c r="X884" s="1">
        <f t="shared" si="300"/>
        <v>15364236.489999998</v>
      </c>
      <c r="Y884" s="2">
        <v>11465126.109999999</v>
      </c>
      <c r="Z884" s="2">
        <v>3899110.38</v>
      </c>
      <c r="AA884" s="2">
        <f t="shared" si="301"/>
        <v>0</v>
      </c>
      <c r="AB884" s="2">
        <v>0</v>
      </c>
      <c r="AC884" s="2">
        <v>0</v>
      </c>
      <c r="AD884" s="16">
        <f t="shared" si="296"/>
        <v>95929725.949999988</v>
      </c>
      <c r="AE884" s="2">
        <v>38533625.200000003</v>
      </c>
      <c r="AF884" s="2">
        <f t="shared" si="302"/>
        <v>134463351.14999998</v>
      </c>
      <c r="AG884" s="38" t="s">
        <v>1412</v>
      </c>
      <c r="AH884" s="29" t="s">
        <v>3255</v>
      </c>
      <c r="AI884" s="30">
        <f>61524.06+249198.6</f>
        <v>310722.66000000003</v>
      </c>
      <c r="AJ884" s="30">
        <v>0</v>
      </c>
    </row>
    <row r="885" spans="1:36" s="179" customFormat="1" ht="141.75" x14ac:dyDescent="0.25">
      <c r="A885" s="6">
        <v>882</v>
      </c>
      <c r="B885" s="31">
        <v>134321</v>
      </c>
      <c r="C885" s="31">
        <v>860</v>
      </c>
      <c r="D885" s="177" t="s">
        <v>143</v>
      </c>
      <c r="E885" s="83" t="s">
        <v>1623</v>
      </c>
      <c r="F885" s="31" t="s">
        <v>1738</v>
      </c>
      <c r="G885" s="11" t="s">
        <v>1737</v>
      </c>
      <c r="H885" s="8" t="s">
        <v>151</v>
      </c>
      <c r="I885" s="33" t="s">
        <v>3069</v>
      </c>
      <c r="J885" s="25">
        <v>44252</v>
      </c>
      <c r="K885" s="25">
        <v>45163</v>
      </c>
      <c r="L885" s="26">
        <f t="shared" si="303"/>
        <v>83.983862849138816</v>
      </c>
      <c r="M885" s="11" t="s">
        <v>1343</v>
      </c>
      <c r="N885" s="11" t="s">
        <v>261</v>
      </c>
      <c r="O885" s="11" t="s">
        <v>137</v>
      </c>
      <c r="P885" s="27" t="s">
        <v>138</v>
      </c>
      <c r="Q885" s="11" t="s">
        <v>34</v>
      </c>
      <c r="R885" s="1">
        <f t="shared" si="298"/>
        <v>6163224.3899999987</v>
      </c>
      <c r="S885" s="2">
        <v>4970103.5099999988</v>
      </c>
      <c r="T885" s="2">
        <v>1193120.8799999999</v>
      </c>
      <c r="U885" s="1">
        <f t="shared" si="299"/>
        <v>0</v>
      </c>
      <c r="V885" s="28">
        <v>0</v>
      </c>
      <c r="W885" s="28">
        <v>0</v>
      </c>
      <c r="X885" s="1">
        <f t="shared" si="300"/>
        <v>1175357.31</v>
      </c>
      <c r="Y885" s="2">
        <v>877077.08</v>
      </c>
      <c r="Z885" s="2">
        <v>298280.23</v>
      </c>
      <c r="AA885" s="2">
        <f t="shared" si="301"/>
        <v>0</v>
      </c>
      <c r="AB885" s="2">
        <v>0</v>
      </c>
      <c r="AC885" s="2">
        <v>0</v>
      </c>
      <c r="AD885" s="16">
        <f t="shared" si="296"/>
        <v>7338581.6999999993</v>
      </c>
      <c r="AE885" s="2">
        <v>0</v>
      </c>
      <c r="AF885" s="2">
        <f t="shared" si="302"/>
        <v>7338581.6999999993</v>
      </c>
      <c r="AG885" s="38" t="s">
        <v>1412</v>
      </c>
      <c r="AH885" s="29"/>
      <c r="AI885" s="30">
        <f>42780.58+115847.56+129660.59+158178.99+427483.43+672351.67</f>
        <v>1546302.8199999998</v>
      </c>
      <c r="AJ885" s="30">
        <v>0</v>
      </c>
    </row>
    <row r="886" spans="1:36" s="179" customFormat="1" ht="157.5" x14ac:dyDescent="0.25">
      <c r="A886" s="6">
        <v>883</v>
      </c>
      <c r="B886" s="31">
        <v>134092</v>
      </c>
      <c r="C886" s="31">
        <v>864</v>
      </c>
      <c r="D886" s="177" t="s">
        <v>143</v>
      </c>
      <c r="E886" s="83" t="s">
        <v>1623</v>
      </c>
      <c r="F886" s="31" t="s">
        <v>1743</v>
      </c>
      <c r="G886" s="11" t="s">
        <v>1742</v>
      </c>
      <c r="H886" s="11" t="s">
        <v>1744</v>
      </c>
      <c r="I886" s="33" t="s">
        <v>3070</v>
      </c>
      <c r="J886" s="25">
        <v>44267</v>
      </c>
      <c r="K886" s="25">
        <v>44997</v>
      </c>
      <c r="L886" s="26">
        <f t="shared" si="303"/>
        <v>83.983862883683784</v>
      </c>
      <c r="M886" s="11" t="s">
        <v>1343</v>
      </c>
      <c r="N886" s="11" t="s">
        <v>261</v>
      </c>
      <c r="O886" s="11" t="s">
        <v>137</v>
      </c>
      <c r="P886" s="27" t="s">
        <v>138</v>
      </c>
      <c r="Q886" s="11" t="s">
        <v>34</v>
      </c>
      <c r="R886" s="1">
        <f t="shared" si="298"/>
        <v>3719903.0000000009</v>
      </c>
      <c r="S886" s="2">
        <v>2999777.6600000006</v>
      </c>
      <c r="T886" s="2">
        <v>720125.34000000008</v>
      </c>
      <c r="U886" s="1">
        <f t="shared" si="299"/>
        <v>0</v>
      </c>
      <c r="V886" s="28">
        <v>0</v>
      </c>
      <c r="W886" s="28">
        <v>0</v>
      </c>
      <c r="X886" s="1">
        <f t="shared" si="300"/>
        <v>709403.8600000001</v>
      </c>
      <c r="Y886" s="2">
        <v>529372.54</v>
      </c>
      <c r="Z886" s="2">
        <v>180031.32</v>
      </c>
      <c r="AA886" s="2">
        <f t="shared" si="301"/>
        <v>0</v>
      </c>
      <c r="AB886" s="2">
        <v>0</v>
      </c>
      <c r="AC886" s="2">
        <v>0</v>
      </c>
      <c r="AD886" s="16">
        <f t="shared" si="296"/>
        <v>4429306.8600000013</v>
      </c>
      <c r="AE886" s="2">
        <v>0</v>
      </c>
      <c r="AF886" s="2">
        <f t="shared" si="302"/>
        <v>4429306.8600000013</v>
      </c>
      <c r="AG886" s="38" t="s">
        <v>1412</v>
      </c>
      <c r="AH886" s="29" t="s">
        <v>1947</v>
      </c>
      <c r="AI886" s="30">
        <f>117020.46+141164.27+882824.9+42649.53</f>
        <v>1183659.1599999999</v>
      </c>
      <c r="AJ886" s="30">
        <v>0</v>
      </c>
    </row>
    <row r="887" spans="1:36" s="179" customFormat="1" ht="173.25" x14ac:dyDescent="0.25">
      <c r="A887" s="6">
        <v>884</v>
      </c>
      <c r="B887" s="31">
        <v>129984</v>
      </c>
      <c r="C887" s="31">
        <v>727</v>
      </c>
      <c r="D887" s="177" t="s">
        <v>143</v>
      </c>
      <c r="E887" s="83" t="s">
        <v>1056</v>
      </c>
      <c r="F887" s="31" t="s">
        <v>1746</v>
      </c>
      <c r="G887" s="11" t="s">
        <v>1747</v>
      </c>
      <c r="H887" s="8" t="s">
        <v>151</v>
      </c>
      <c r="I887" s="33" t="s">
        <v>3071</v>
      </c>
      <c r="J887" s="25">
        <v>44273</v>
      </c>
      <c r="K887" s="25">
        <v>45003</v>
      </c>
      <c r="L887" s="26">
        <f t="shared" si="303"/>
        <v>83.983862919401076</v>
      </c>
      <c r="M887" s="11" t="s">
        <v>1343</v>
      </c>
      <c r="N887" s="11" t="s">
        <v>261</v>
      </c>
      <c r="O887" s="11" t="s">
        <v>137</v>
      </c>
      <c r="P887" s="27" t="s">
        <v>138</v>
      </c>
      <c r="Q887" s="11" t="s">
        <v>34</v>
      </c>
      <c r="R887" s="1">
        <f t="shared" si="298"/>
        <v>4109527.38</v>
      </c>
      <c r="S887" s="2">
        <v>3313975.8</v>
      </c>
      <c r="T887" s="2">
        <v>795551.58000000007</v>
      </c>
      <c r="U887" s="1">
        <f t="shared" si="299"/>
        <v>0</v>
      </c>
      <c r="V887" s="28">
        <v>0</v>
      </c>
      <c r="W887" s="28">
        <v>0</v>
      </c>
      <c r="X887" s="1">
        <f t="shared" si="300"/>
        <v>783707.15</v>
      </c>
      <c r="Y887" s="2">
        <v>584819.24</v>
      </c>
      <c r="Z887" s="2">
        <v>198887.91</v>
      </c>
      <c r="AA887" s="2">
        <f t="shared" si="301"/>
        <v>0</v>
      </c>
      <c r="AB887" s="2">
        <v>0</v>
      </c>
      <c r="AC887" s="2">
        <v>0</v>
      </c>
      <c r="AD887" s="16">
        <f t="shared" si="296"/>
        <v>4893234.53</v>
      </c>
      <c r="AE887" s="2">
        <v>0</v>
      </c>
      <c r="AF887" s="2">
        <f t="shared" si="302"/>
        <v>4893234.53</v>
      </c>
      <c r="AG887" s="38" t="s">
        <v>1412</v>
      </c>
      <c r="AH887" s="29"/>
      <c r="AI887" s="30">
        <v>31972.73</v>
      </c>
      <c r="AJ887" s="30">
        <v>0</v>
      </c>
    </row>
    <row r="888" spans="1:36" s="179" customFormat="1" ht="173.25" x14ac:dyDescent="0.25">
      <c r="A888" s="6">
        <v>885</v>
      </c>
      <c r="B888" s="31">
        <v>151956</v>
      </c>
      <c r="C888" s="31">
        <v>1100</v>
      </c>
      <c r="D888" s="177" t="s">
        <v>144</v>
      </c>
      <c r="E888" s="83" t="s">
        <v>1794</v>
      </c>
      <c r="F888" s="31" t="s">
        <v>1795</v>
      </c>
      <c r="G888" s="11" t="s">
        <v>1153</v>
      </c>
      <c r="H888" s="8" t="s">
        <v>151</v>
      </c>
      <c r="I888" s="33" t="s">
        <v>3072</v>
      </c>
      <c r="J888" s="25">
        <v>44425</v>
      </c>
      <c r="K888" s="25">
        <v>45094</v>
      </c>
      <c r="L888" s="26">
        <f t="shared" si="303"/>
        <v>83.858993688811864</v>
      </c>
      <c r="M888" s="11" t="s">
        <v>1343</v>
      </c>
      <c r="N888" s="11" t="s">
        <v>261</v>
      </c>
      <c r="O888" s="11" t="s">
        <v>137</v>
      </c>
      <c r="P888" s="27" t="s">
        <v>138</v>
      </c>
      <c r="Q888" s="11" t="s">
        <v>34</v>
      </c>
      <c r="R888" s="1">
        <f t="shared" si="298"/>
        <v>6320507.5</v>
      </c>
      <c r="S888" s="2">
        <v>4944533.01</v>
      </c>
      <c r="T888" s="2">
        <v>1375974.49</v>
      </c>
      <c r="U888" s="1">
        <f t="shared" si="299"/>
        <v>1065816.9500000002</v>
      </c>
      <c r="V888" s="28">
        <v>756222.70000000007</v>
      </c>
      <c r="W888" s="28">
        <v>309594.25</v>
      </c>
      <c r="X888" s="1">
        <f t="shared" si="300"/>
        <v>150741.31</v>
      </c>
      <c r="Y888" s="2">
        <v>116341.95</v>
      </c>
      <c r="Z888" s="2">
        <v>34399.360000000001</v>
      </c>
      <c r="AA888" s="2">
        <f t="shared" si="301"/>
        <v>0</v>
      </c>
      <c r="AB888" s="2">
        <v>0</v>
      </c>
      <c r="AC888" s="2">
        <v>0</v>
      </c>
      <c r="AD888" s="16">
        <f t="shared" si="296"/>
        <v>7537065.7599999998</v>
      </c>
      <c r="AE888" s="2">
        <v>0</v>
      </c>
      <c r="AF888" s="2">
        <f t="shared" si="302"/>
        <v>7537065.7599999998</v>
      </c>
      <c r="AG888" s="38" t="s">
        <v>1412</v>
      </c>
      <c r="AH888" s="29" t="s">
        <v>1814</v>
      </c>
      <c r="AI888" s="30">
        <f>6619.83+16332.38</f>
        <v>22952.21</v>
      </c>
      <c r="AJ888" s="30">
        <f>1116.29+2754.1</f>
        <v>3870.39</v>
      </c>
    </row>
    <row r="889" spans="1:36" s="179" customFormat="1" ht="173.25" x14ac:dyDescent="0.25">
      <c r="A889" s="6">
        <v>886</v>
      </c>
      <c r="B889" s="31">
        <v>152441</v>
      </c>
      <c r="C889" s="31">
        <v>1156</v>
      </c>
      <c r="D889" s="177" t="s">
        <v>1641</v>
      </c>
      <c r="E889" s="83" t="s">
        <v>1967</v>
      </c>
      <c r="F889" s="31" t="s">
        <v>1966</v>
      </c>
      <c r="G889" s="11" t="s">
        <v>424</v>
      </c>
      <c r="H889" s="8" t="s">
        <v>151</v>
      </c>
      <c r="I889" s="33" t="s">
        <v>3073</v>
      </c>
      <c r="J889" s="25">
        <v>44553</v>
      </c>
      <c r="K889" s="25">
        <v>45283</v>
      </c>
      <c r="L889" s="26">
        <f t="shared" si="303"/>
        <v>83.983863246453154</v>
      </c>
      <c r="M889" s="11" t="s">
        <v>1343</v>
      </c>
      <c r="N889" s="11" t="s">
        <v>261</v>
      </c>
      <c r="O889" s="11" t="s">
        <v>137</v>
      </c>
      <c r="P889" s="27" t="s">
        <v>138</v>
      </c>
      <c r="Q889" s="11" t="s">
        <v>34</v>
      </c>
      <c r="R889" s="1">
        <f t="shared" si="298"/>
        <v>4554571.1400000006</v>
      </c>
      <c r="S889" s="2">
        <v>3672864.8200000003</v>
      </c>
      <c r="T889" s="2">
        <v>881706.32</v>
      </c>
      <c r="U889" s="1">
        <f t="shared" si="299"/>
        <v>0</v>
      </c>
      <c r="V889" s="28">
        <v>0</v>
      </c>
      <c r="W889" s="28">
        <v>0</v>
      </c>
      <c r="X889" s="1">
        <f t="shared" si="300"/>
        <v>868579.17</v>
      </c>
      <c r="Y889" s="2">
        <v>648152.57860638108</v>
      </c>
      <c r="Z889" s="2">
        <v>220426.59139361896</v>
      </c>
      <c r="AA889" s="2">
        <f t="shared" si="301"/>
        <v>0</v>
      </c>
      <c r="AB889" s="2">
        <v>0</v>
      </c>
      <c r="AC889" s="2">
        <v>0</v>
      </c>
      <c r="AD889" s="16">
        <f t="shared" si="296"/>
        <v>5423150.3100000005</v>
      </c>
      <c r="AE889" s="2">
        <v>0</v>
      </c>
      <c r="AF889" s="2">
        <f t="shared" si="302"/>
        <v>5423150.3100000005</v>
      </c>
      <c r="AG889" s="38" t="s">
        <v>1412</v>
      </c>
      <c r="AH889" s="29"/>
      <c r="AI889" s="30">
        <v>153334.04</v>
      </c>
      <c r="AJ889" s="30">
        <v>0</v>
      </c>
    </row>
    <row r="890" spans="1:36" s="179" customFormat="1" ht="157.5" x14ac:dyDescent="0.25">
      <c r="A890" s="6">
        <v>887</v>
      </c>
      <c r="B890" s="31">
        <v>152674</v>
      </c>
      <c r="C890" s="31">
        <v>1158</v>
      </c>
      <c r="D890" s="177" t="s">
        <v>1640</v>
      </c>
      <c r="E890" s="83" t="s">
        <v>2007</v>
      </c>
      <c r="F890" s="31" t="s">
        <v>2005</v>
      </c>
      <c r="G890" s="11" t="s">
        <v>2004</v>
      </c>
      <c r="H890" s="32" t="s">
        <v>2006</v>
      </c>
      <c r="I890" s="33" t="s">
        <v>3074</v>
      </c>
      <c r="J890" s="25">
        <v>44614</v>
      </c>
      <c r="K890" s="25">
        <v>45160</v>
      </c>
      <c r="L890" s="26">
        <f t="shared" si="303"/>
        <v>83.444127847847483</v>
      </c>
      <c r="M890" s="11" t="s">
        <v>1343</v>
      </c>
      <c r="N890" s="11" t="s">
        <v>261</v>
      </c>
      <c r="O890" s="11" t="s">
        <v>137</v>
      </c>
      <c r="P890" s="27" t="s">
        <v>138</v>
      </c>
      <c r="Q890" s="11" t="s">
        <v>34</v>
      </c>
      <c r="R890" s="1">
        <f t="shared" si="298"/>
        <v>6265616.1400000006</v>
      </c>
      <c r="S890" s="2">
        <v>5052673.5700000012</v>
      </c>
      <c r="T890" s="2">
        <v>1212942.5699999998</v>
      </c>
      <c r="U890" s="1">
        <f t="shared" si="299"/>
        <v>378709.87999999995</v>
      </c>
      <c r="V890" s="28">
        <v>282601.51999999996</v>
      </c>
      <c r="W890" s="28">
        <v>96108.36</v>
      </c>
      <c r="X890" s="1">
        <f t="shared" si="300"/>
        <v>76470.42</v>
      </c>
      <c r="Y890" s="2">
        <v>59503.26</v>
      </c>
      <c r="Z890" s="2">
        <v>16967.16</v>
      </c>
      <c r="AA890" s="2">
        <f t="shared" si="301"/>
        <v>787959.78</v>
      </c>
      <c r="AB890" s="2">
        <v>587992.63</v>
      </c>
      <c r="AC890" s="2">
        <v>199967.15</v>
      </c>
      <c r="AD890" s="16">
        <f t="shared" si="296"/>
        <v>7508756.2200000007</v>
      </c>
      <c r="AE890" s="2">
        <v>0</v>
      </c>
      <c r="AF890" s="2">
        <f t="shared" si="302"/>
        <v>7508756.2200000007</v>
      </c>
      <c r="AG890" s="38" t="s">
        <v>1412</v>
      </c>
      <c r="AH890" s="29"/>
      <c r="AI890" s="30">
        <f>241280.8+175627.99+304508.95</f>
        <v>721417.74</v>
      </c>
      <c r="AJ890" s="30">
        <f>33493.12+4967.73</f>
        <v>38460.850000000006</v>
      </c>
    </row>
    <row r="891" spans="1:36" s="179" customFormat="1" ht="141.75" x14ac:dyDescent="0.25">
      <c r="A891" s="6">
        <v>888</v>
      </c>
      <c r="B891" s="31">
        <v>152912</v>
      </c>
      <c r="C891" s="31">
        <v>1157</v>
      </c>
      <c r="D891" s="177" t="s">
        <v>1641</v>
      </c>
      <c r="E891" s="83" t="s">
        <v>1967</v>
      </c>
      <c r="F891" s="31" t="s">
        <v>2014</v>
      </c>
      <c r="G891" s="11" t="s">
        <v>122</v>
      </c>
      <c r="H891" s="8" t="s">
        <v>151</v>
      </c>
      <c r="I891" s="33" t="s">
        <v>3075</v>
      </c>
      <c r="J891" s="25">
        <v>44621</v>
      </c>
      <c r="K891" s="25">
        <v>45261</v>
      </c>
      <c r="L891" s="26">
        <f t="shared" si="303"/>
        <v>83.983862463265709</v>
      </c>
      <c r="M891" s="11" t="s">
        <v>1343</v>
      </c>
      <c r="N891" s="11" t="s">
        <v>261</v>
      </c>
      <c r="O891" s="11" t="s">
        <v>137</v>
      </c>
      <c r="P891" s="27" t="s">
        <v>138</v>
      </c>
      <c r="Q891" s="11" t="s">
        <v>34</v>
      </c>
      <c r="R891" s="1">
        <f t="shared" si="298"/>
        <v>3188751.36</v>
      </c>
      <c r="S891" s="2">
        <v>2571450.15</v>
      </c>
      <c r="T891" s="2">
        <v>617301.21</v>
      </c>
      <c r="U891" s="1">
        <f t="shared" si="299"/>
        <v>0</v>
      </c>
      <c r="V891" s="28">
        <v>0</v>
      </c>
      <c r="W891" s="28">
        <v>0</v>
      </c>
      <c r="X891" s="1">
        <f t="shared" si="300"/>
        <v>608110.64</v>
      </c>
      <c r="Y891" s="2">
        <v>453785.34</v>
      </c>
      <c r="Z891" s="2">
        <v>154325.29999999999</v>
      </c>
      <c r="AA891" s="2">
        <f t="shared" si="301"/>
        <v>0</v>
      </c>
      <c r="AB891" s="2">
        <v>0</v>
      </c>
      <c r="AC891" s="2">
        <v>0</v>
      </c>
      <c r="AD891" s="16">
        <f t="shared" si="296"/>
        <v>3796862</v>
      </c>
      <c r="AE891" s="2">
        <v>0</v>
      </c>
      <c r="AF891" s="2">
        <f t="shared" si="302"/>
        <v>3796862</v>
      </c>
      <c r="AG891" s="38" t="s">
        <v>1412</v>
      </c>
      <c r="AH891" s="29"/>
      <c r="AI891" s="30">
        <v>12045.8</v>
      </c>
      <c r="AJ891" s="30">
        <v>0</v>
      </c>
    </row>
    <row r="892" spans="1:36" s="179" customFormat="1" ht="157.5" x14ac:dyDescent="0.25">
      <c r="A892" s="6">
        <v>889</v>
      </c>
      <c r="B892" s="31">
        <v>155637</v>
      </c>
      <c r="C892" s="31">
        <v>1262</v>
      </c>
      <c r="D892" s="177" t="s">
        <v>1641</v>
      </c>
      <c r="E892" s="83" t="s">
        <v>2265</v>
      </c>
      <c r="F892" s="31" t="s">
        <v>2264</v>
      </c>
      <c r="G892" s="11" t="s">
        <v>742</v>
      </c>
      <c r="H892" s="8" t="s">
        <v>151</v>
      </c>
      <c r="I892" s="33" t="s">
        <v>3076</v>
      </c>
      <c r="J892" s="25">
        <v>44719</v>
      </c>
      <c r="K892" s="25">
        <v>45176</v>
      </c>
      <c r="L892" s="26">
        <f t="shared" si="303"/>
        <v>82.304185424500574</v>
      </c>
      <c r="M892" s="11" t="s">
        <v>1343</v>
      </c>
      <c r="N892" s="11" t="s">
        <v>261</v>
      </c>
      <c r="O892" s="11" t="s">
        <v>137</v>
      </c>
      <c r="P892" s="27" t="s">
        <v>138</v>
      </c>
      <c r="Q892" s="11" t="s">
        <v>34</v>
      </c>
      <c r="R892" s="1">
        <f t="shared" si="298"/>
        <v>4114631.4299999997</v>
      </c>
      <c r="S892" s="2">
        <v>3318091.76</v>
      </c>
      <c r="T892" s="2">
        <v>796539.67</v>
      </c>
      <c r="U892" s="1">
        <f t="shared" si="299"/>
        <v>784680.5299999998</v>
      </c>
      <c r="V892" s="28">
        <v>585545.59999999986</v>
      </c>
      <c r="W892" s="28">
        <v>199134.93</v>
      </c>
      <c r="X892" s="1">
        <f t="shared" si="300"/>
        <v>99985.96</v>
      </c>
      <c r="Y892" s="2">
        <v>79666.080000000002</v>
      </c>
      <c r="Z892" s="2">
        <v>20319.88</v>
      </c>
      <c r="AA892" s="2">
        <f t="shared" si="301"/>
        <v>0</v>
      </c>
      <c r="AB892" s="2">
        <v>0</v>
      </c>
      <c r="AC892" s="2">
        <v>0</v>
      </c>
      <c r="AD892" s="16">
        <f t="shared" si="296"/>
        <v>4999297.919999999</v>
      </c>
      <c r="AE892" s="2">
        <v>0</v>
      </c>
      <c r="AF892" s="2">
        <f t="shared" si="302"/>
        <v>4999297.919999999</v>
      </c>
      <c r="AG892" s="38" t="s">
        <v>1412</v>
      </c>
      <c r="AH892" s="29"/>
      <c r="AI892" s="30">
        <v>155000</v>
      </c>
      <c r="AJ892" s="30">
        <v>0</v>
      </c>
    </row>
    <row r="893" spans="1:36" s="179" customFormat="1" x14ac:dyDescent="0.25">
      <c r="F893" s="119"/>
      <c r="G893" s="119"/>
      <c r="H893" s="180"/>
      <c r="J893" s="181"/>
      <c r="K893" s="181"/>
      <c r="L893" s="181"/>
      <c r="M893" s="181"/>
      <c r="N893" s="181"/>
      <c r="O893" s="181"/>
      <c r="P893" s="181"/>
      <c r="Q893" s="181"/>
      <c r="R893" s="183">
        <f>SUM(R4:R892)</f>
        <v>3542111466.982892</v>
      </c>
      <c r="S893" s="183">
        <f t="shared" ref="S893:AJ893" si="304">SUM(S4:S892)</f>
        <v>2968486166.3099985</v>
      </c>
      <c r="T893" s="183">
        <f t="shared" si="304"/>
        <v>573625300.67289269</v>
      </c>
      <c r="U893" s="183">
        <f t="shared" si="304"/>
        <v>191029137.25999972</v>
      </c>
      <c r="V893" s="183">
        <f t="shared" si="304"/>
        <v>160255699.55000001</v>
      </c>
      <c r="W893" s="183">
        <f t="shared" si="304"/>
        <v>30773437.710000008</v>
      </c>
      <c r="X893" s="183">
        <f t="shared" si="304"/>
        <v>475564944.43999982</v>
      </c>
      <c r="Y893" s="183">
        <f t="shared" si="304"/>
        <v>363165543.32647836</v>
      </c>
      <c r="Z893" s="183">
        <f t="shared" si="304"/>
        <v>112399401.11352156</v>
      </c>
      <c r="AA893" s="183">
        <f t="shared" si="304"/>
        <v>5909369.6300000008</v>
      </c>
      <c r="AB893" s="183">
        <f t="shared" si="304"/>
        <v>4820411.8499999996</v>
      </c>
      <c r="AC893" s="183">
        <f t="shared" si="304"/>
        <v>1088957.78</v>
      </c>
      <c r="AD893" s="183">
        <f t="shared" si="304"/>
        <v>4214614918.3128934</v>
      </c>
      <c r="AE893" s="183">
        <f t="shared" si="304"/>
        <v>70508141.579999998</v>
      </c>
      <c r="AF893" s="183">
        <f t="shared" si="304"/>
        <v>4285123059.8928943</v>
      </c>
      <c r="AG893" s="183">
        <f t="shared" si="304"/>
        <v>0</v>
      </c>
      <c r="AH893" s="183">
        <f t="shared" si="304"/>
        <v>43818</v>
      </c>
      <c r="AI893" s="183">
        <f t="shared" si="304"/>
        <v>1512305583.6999993</v>
      </c>
      <c r="AJ893" s="183">
        <f t="shared" si="304"/>
        <v>87279702.457299978</v>
      </c>
    </row>
    <row r="894" spans="1:36" s="179" customFormat="1" x14ac:dyDescent="0.25">
      <c r="F894" s="119"/>
      <c r="G894" s="119"/>
      <c r="H894" s="180"/>
      <c r="J894" s="181"/>
      <c r="K894" s="181"/>
      <c r="L894" s="181"/>
      <c r="M894" s="181"/>
      <c r="N894" s="181"/>
      <c r="O894" s="181"/>
      <c r="P894" s="181"/>
      <c r="Q894" s="181"/>
      <c r="R894" s="183"/>
      <c r="S894" s="183"/>
      <c r="T894" s="183"/>
      <c r="U894" s="183"/>
      <c r="V894" s="182"/>
      <c r="W894" s="182"/>
      <c r="X894" s="183"/>
      <c r="Y894" s="183"/>
      <c r="Z894" s="183"/>
      <c r="AA894" s="183"/>
      <c r="AB894" s="183"/>
      <c r="AC894" s="183"/>
      <c r="AD894" s="183"/>
      <c r="AE894" s="183"/>
      <c r="AH894" s="43"/>
    </row>
    <row r="895" spans="1:36" s="179" customFormat="1" x14ac:dyDescent="0.25">
      <c r="F895" s="119"/>
      <c r="G895" s="119"/>
      <c r="H895" s="180"/>
      <c r="J895" s="181"/>
      <c r="K895" s="181"/>
      <c r="L895" s="181"/>
      <c r="M895" s="181"/>
      <c r="N895" s="181"/>
      <c r="O895" s="181"/>
      <c r="P895" s="181"/>
      <c r="Q895" s="181"/>
      <c r="R895" s="183"/>
      <c r="S895" s="183"/>
      <c r="T895" s="183"/>
      <c r="U895" s="183"/>
      <c r="V895" s="182"/>
      <c r="W895" s="182"/>
      <c r="X895" s="183"/>
      <c r="Y895" s="183"/>
      <c r="Z895" s="183"/>
      <c r="AA895" s="183"/>
      <c r="AB895" s="183"/>
      <c r="AC895" s="183"/>
      <c r="AD895" s="183"/>
      <c r="AE895" s="183"/>
      <c r="AH895" s="43"/>
    </row>
    <row r="896" spans="1:36" s="179" customFormat="1" x14ac:dyDescent="0.25">
      <c r="F896" s="119"/>
      <c r="G896" s="119"/>
      <c r="H896" s="180"/>
      <c r="J896" s="181"/>
      <c r="K896" s="181"/>
      <c r="L896" s="181"/>
      <c r="M896" s="181"/>
      <c r="N896" s="181"/>
      <c r="O896" s="181"/>
      <c r="P896" s="181"/>
      <c r="Q896" s="181"/>
      <c r="R896" s="183"/>
      <c r="S896" s="183"/>
      <c r="T896" s="183"/>
      <c r="U896" s="183"/>
      <c r="V896" s="182"/>
      <c r="W896" s="182"/>
      <c r="X896" s="183"/>
      <c r="Y896" s="183"/>
      <c r="Z896" s="3" t="s">
        <v>3302</v>
      </c>
      <c r="AA896" s="4">
        <v>4.8657000000000004</v>
      </c>
      <c r="AB896" s="183"/>
      <c r="AC896" s="183"/>
      <c r="AD896" s="183">
        <f>AD893/AA896</f>
        <v>866188815.239923</v>
      </c>
      <c r="AE896" s="183"/>
      <c r="AH896" s="43"/>
    </row>
    <row r="897" spans="6:34" s="179" customFormat="1" x14ac:dyDescent="0.25">
      <c r="F897" s="119"/>
      <c r="G897" s="119"/>
      <c r="H897" s="180"/>
      <c r="J897" s="181"/>
      <c r="K897" s="181"/>
      <c r="L897" s="181"/>
      <c r="M897" s="181"/>
      <c r="N897" s="181"/>
      <c r="O897" s="181"/>
      <c r="P897" s="181"/>
      <c r="Q897" s="181"/>
      <c r="R897" s="183"/>
      <c r="S897" s="183"/>
      <c r="T897" s="183"/>
      <c r="U897" s="183"/>
      <c r="V897" s="182"/>
      <c r="W897" s="182"/>
      <c r="X897" s="183"/>
      <c r="Y897" s="183"/>
      <c r="Z897" s="183"/>
      <c r="AA897" s="183"/>
      <c r="AB897" s="183"/>
      <c r="AC897" s="183"/>
      <c r="AD897" s="183"/>
      <c r="AE897" s="183"/>
      <c r="AH897" s="43"/>
    </row>
    <row r="898" spans="6:34" s="179" customFormat="1" x14ac:dyDescent="0.25">
      <c r="F898" s="119"/>
      <c r="G898" s="119"/>
      <c r="H898" s="180"/>
      <c r="J898" s="181"/>
      <c r="K898" s="181"/>
      <c r="L898" s="181"/>
      <c r="M898" s="181"/>
      <c r="N898" s="181"/>
      <c r="O898" s="181"/>
      <c r="P898" s="181"/>
      <c r="Q898" s="181"/>
      <c r="R898" s="183"/>
      <c r="S898" s="183"/>
      <c r="T898" s="183"/>
      <c r="U898" s="183"/>
      <c r="V898" s="182"/>
      <c r="W898" s="182"/>
      <c r="X898" s="183"/>
      <c r="Y898" s="183"/>
      <c r="Z898" s="183"/>
      <c r="AA898" s="183"/>
      <c r="AB898" s="183"/>
      <c r="AC898" s="183"/>
      <c r="AD898" s="183"/>
      <c r="AE898" s="183"/>
      <c r="AH898" s="43"/>
    </row>
    <row r="899" spans="6:34" s="179" customFormat="1" x14ac:dyDescent="0.25">
      <c r="F899" s="119"/>
      <c r="G899" s="119"/>
      <c r="H899" s="180"/>
      <c r="J899" s="181"/>
      <c r="K899" s="181"/>
      <c r="L899" s="181"/>
      <c r="M899" s="181"/>
      <c r="N899" s="181"/>
      <c r="O899" s="181"/>
      <c r="P899" s="181"/>
      <c r="Q899" s="181"/>
      <c r="R899" s="183"/>
      <c r="S899" s="183"/>
      <c r="T899" s="183"/>
      <c r="U899" s="183"/>
      <c r="V899" s="182"/>
      <c r="W899" s="182"/>
      <c r="X899" s="183"/>
      <c r="Y899" s="183"/>
      <c r="Z899" s="183"/>
      <c r="AA899" s="183"/>
      <c r="AB899" s="183"/>
      <c r="AC899" s="183"/>
      <c r="AD899" s="183"/>
      <c r="AE899" s="183"/>
      <c r="AH899" s="43"/>
    </row>
    <row r="900" spans="6:34" s="179" customFormat="1" x14ac:dyDescent="0.25">
      <c r="F900" s="119"/>
      <c r="G900" s="119"/>
      <c r="H900" s="180"/>
      <c r="J900" s="181"/>
      <c r="K900" s="181"/>
      <c r="L900" s="181"/>
      <c r="M900" s="181"/>
      <c r="N900" s="181"/>
      <c r="O900" s="181"/>
      <c r="P900" s="181"/>
      <c r="Q900" s="181"/>
      <c r="R900" s="183"/>
      <c r="S900" s="183"/>
      <c r="T900" s="183"/>
      <c r="U900" s="183"/>
      <c r="V900" s="182"/>
      <c r="W900" s="182"/>
      <c r="X900" s="183"/>
      <c r="Y900" s="183"/>
      <c r="Z900" s="183"/>
      <c r="AA900" s="183"/>
      <c r="AB900" s="183"/>
      <c r="AC900" s="183"/>
      <c r="AD900" s="183"/>
      <c r="AE900" s="183"/>
      <c r="AH900" s="43"/>
    </row>
    <row r="901" spans="6:34" s="179" customFormat="1" x14ac:dyDescent="0.25">
      <c r="F901" s="119"/>
      <c r="G901" s="119"/>
      <c r="H901" s="180"/>
      <c r="J901" s="181"/>
      <c r="K901" s="181"/>
      <c r="L901" s="181"/>
      <c r="M901" s="181"/>
      <c r="N901" s="181"/>
      <c r="O901" s="181"/>
      <c r="P901" s="181"/>
      <c r="Q901" s="181"/>
      <c r="R901" s="183"/>
      <c r="S901" s="183"/>
      <c r="T901" s="183"/>
      <c r="U901" s="183"/>
      <c r="V901" s="182"/>
      <c r="W901" s="182"/>
      <c r="X901" s="183"/>
      <c r="Y901" s="183"/>
      <c r="Z901" s="183"/>
      <c r="AA901" s="183"/>
      <c r="AB901" s="183"/>
      <c r="AC901" s="183"/>
      <c r="AD901" s="183"/>
      <c r="AE901" s="183"/>
      <c r="AH901" s="43"/>
    </row>
    <row r="902" spans="6:34" s="179" customFormat="1" x14ac:dyDescent="0.25">
      <c r="F902" s="119"/>
      <c r="G902" s="119"/>
      <c r="H902" s="180"/>
      <c r="J902" s="181"/>
      <c r="K902" s="181"/>
      <c r="L902" s="181"/>
      <c r="M902" s="181"/>
      <c r="N902" s="181"/>
      <c r="O902" s="181"/>
      <c r="P902" s="181"/>
      <c r="Q902" s="181"/>
      <c r="R902" s="183"/>
      <c r="S902" s="183"/>
      <c r="T902" s="183"/>
      <c r="U902" s="183"/>
      <c r="V902" s="182"/>
      <c r="W902" s="182"/>
      <c r="X902" s="183"/>
      <c r="Y902" s="183"/>
      <c r="Z902" s="183"/>
      <c r="AA902" s="183"/>
      <c r="AB902" s="183"/>
      <c r="AC902" s="183"/>
      <c r="AD902" s="183"/>
      <c r="AE902" s="183"/>
      <c r="AH902" s="43"/>
    </row>
    <row r="903" spans="6:34" s="179" customFormat="1" x14ac:dyDescent="0.25">
      <c r="F903" s="119"/>
      <c r="G903" s="119"/>
      <c r="H903" s="180"/>
      <c r="J903" s="181"/>
      <c r="K903" s="181"/>
      <c r="L903" s="181"/>
      <c r="M903" s="181"/>
      <c r="N903" s="181"/>
      <c r="O903" s="181"/>
      <c r="P903" s="181"/>
      <c r="Q903" s="181"/>
      <c r="R903" s="183"/>
      <c r="S903" s="183"/>
      <c r="T903" s="183"/>
      <c r="U903" s="183"/>
      <c r="V903" s="182"/>
      <c r="W903" s="182"/>
      <c r="X903" s="183"/>
      <c r="Y903" s="183"/>
      <c r="Z903" s="183"/>
      <c r="AA903" s="183"/>
      <c r="AB903" s="183"/>
      <c r="AC903" s="183"/>
      <c r="AD903" s="183"/>
      <c r="AE903" s="183"/>
      <c r="AH903" s="43"/>
    </row>
    <row r="904" spans="6:34" s="179" customFormat="1" x14ac:dyDescent="0.25">
      <c r="F904" s="119"/>
      <c r="G904" s="119"/>
      <c r="H904" s="180"/>
      <c r="J904" s="181"/>
      <c r="K904" s="181"/>
      <c r="L904" s="181"/>
      <c r="M904" s="181"/>
      <c r="N904" s="181"/>
      <c r="O904" s="181"/>
      <c r="P904" s="181"/>
      <c r="Q904" s="181"/>
      <c r="R904" s="183"/>
      <c r="S904" s="183"/>
      <c r="T904" s="183"/>
      <c r="U904" s="183"/>
      <c r="V904" s="182"/>
      <c r="W904" s="182"/>
      <c r="X904" s="183"/>
      <c r="Y904" s="183"/>
      <c r="Z904" s="183"/>
      <c r="AA904" s="183"/>
      <c r="AB904" s="183"/>
      <c r="AC904" s="183"/>
      <c r="AD904" s="183"/>
      <c r="AE904" s="183"/>
      <c r="AH904" s="43"/>
    </row>
    <row r="905" spans="6:34" s="179" customFormat="1" x14ac:dyDescent="0.25">
      <c r="F905" s="119"/>
      <c r="G905" s="119"/>
      <c r="H905" s="180"/>
      <c r="J905" s="181"/>
      <c r="K905" s="181"/>
      <c r="L905" s="181"/>
      <c r="M905" s="181"/>
      <c r="N905" s="181"/>
      <c r="O905" s="181"/>
      <c r="P905" s="181"/>
      <c r="Q905" s="181"/>
      <c r="R905" s="183"/>
      <c r="S905" s="183"/>
      <c r="T905" s="183"/>
      <c r="U905" s="183"/>
      <c r="V905" s="182"/>
      <c r="W905" s="182"/>
      <c r="X905" s="183"/>
      <c r="Y905" s="183"/>
      <c r="Z905" s="183"/>
      <c r="AA905" s="183"/>
      <c r="AB905" s="183"/>
      <c r="AC905" s="183"/>
      <c r="AD905" s="183"/>
      <c r="AE905" s="183"/>
      <c r="AH905" s="43"/>
    </row>
    <row r="906" spans="6:34" s="179" customFormat="1" x14ac:dyDescent="0.25">
      <c r="F906" s="119"/>
      <c r="G906" s="119"/>
      <c r="H906" s="180"/>
      <c r="J906" s="181"/>
      <c r="K906" s="181"/>
      <c r="L906" s="181"/>
      <c r="M906" s="181"/>
      <c r="N906" s="181"/>
      <c r="O906" s="181"/>
      <c r="P906" s="181"/>
      <c r="Q906" s="181"/>
      <c r="R906" s="183"/>
      <c r="S906" s="183"/>
      <c r="T906" s="183"/>
      <c r="U906" s="183"/>
      <c r="V906" s="182"/>
      <c r="W906" s="182"/>
      <c r="X906" s="183"/>
      <c r="Y906" s="183"/>
      <c r="Z906" s="183"/>
      <c r="AA906" s="183"/>
      <c r="AB906" s="183"/>
      <c r="AC906" s="183"/>
      <c r="AD906" s="183"/>
      <c r="AE906" s="183"/>
      <c r="AH906" s="43"/>
    </row>
    <row r="907" spans="6:34" s="179" customFormat="1" x14ac:dyDescent="0.25">
      <c r="F907" s="119"/>
      <c r="G907" s="119"/>
      <c r="H907" s="180"/>
      <c r="J907" s="181"/>
      <c r="K907" s="181"/>
      <c r="L907" s="181"/>
      <c r="M907" s="181"/>
      <c r="N907" s="181"/>
      <c r="O907" s="181"/>
      <c r="P907" s="181"/>
      <c r="Q907" s="181"/>
      <c r="R907" s="183"/>
      <c r="S907" s="183"/>
      <c r="T907" s="183"/>
      <c r="U907" s="183"/>
      <c r="V907" s="182"/>
      <c r="W907" s="182"/>
      <c r="X907" s="183"/>
      <c r="Y907" s="183"/>
      <c r="Z907" s="183"/>
      <c r="AA907" s="183"/>
      <c r="AB907" s="183"/>
      <c r="AC907" s="183"/>
      <c r="AD907" s="183"/>
      <c r="AE907" s="183"/>
      <c r="AH907" s="43"/>
    </row>
    <row r="908" spans="6:34" s="179" customFormat="1" x14ac:dyDescent="0.25">
      <c r="F908" s="119"/>
      <c r="G908" s="119"/>
      <c r="H908" s="180"/>
      <c r="J908" s="181"/>
      <c r="K908" s="181"/>
      <c r="L908" s="181"/>
      <c r="M908" s="181"/>
      <c r="N908" s="181"/>
      <c r="O908" s="181"/>
      <c r="P908" s="181"/>
      <c r="Q908" s="181"/>
      <c r="R908" s="183"/>
      <c r="S908" s="183"/>
      <c r="T908" s="183"/>
      <c r="U908" s="183"/>
      <c r="V908" s="182"/>
      <c r="W908" s="182"/>
      <c r="X908" s="183"/>
      <c r="Y908" s="183"/>
      <c r="Z908" s="183"/>
      <c r="AA908" s="183"/>
      <c r="AB908" s="183"/>
      <c r="AC908" s="183"/>
      <c r="AD908" s="183"/>
      <c r="AE908" s="183"/>
      <c r="AH908" s="43"/>
    </row>
    <row r="909" spans="6:34" s="179" customFormat="1" x14ac:dyDescent="0.25">
      <c r="F909" s="119"/>
      <c r="G909" s="119"/>
      <c r="H909" s="180"/>
      <c r="J909" s="181"/>
      <c r="K909" s="181"/>
      <c r="L909" s="181"/>
      <c r="M909" s="181"/>
      <c r="N909" s="181"/>
      <c r="O909" s="181"/>
      <c r="P909" s="181"/>
      <c r="Q909" s="181"/>
      <c r="R909" s="183"/>
      <c r="S909" s="183"/>
      <c r="T909" s="183"/>
      <c r="U909" s="183"/>
      <c r="V909" s="182"/>
      <c r="W909" s="182"/>
      <c r="X909" s="183"/>
      <c r="Y909" s="183"/>
      <c r="Z909" s="183"/>
      <c r="AA909" s="183"/>
      <c r="AB909" s="183"/>
      <c r="AC909" s="183"/>
      <c r="AD909" s="183"/>
      <c r="AE909" s="183"/>
      <c r="AH909" s="43"/>
    </row>
    <row r="910" spans="6:34" s="179" customFormat="1" x14ac:dyDescent="0.25">
      <c r="F910" s="119"/>
      <c r="G910" s="119"/>
      <c r="H910" s="180"/>
      <c r="J910" s="181"/>
      <c r="K910" s="181"/>
      <c r="L910" s="181"/>
      <c r="M910" s="181"/>
      <c r="N910" s="181"/>
      <c r="O910" s="181"/>
      <c r="P910" s="181"/>
      <c r="Q910" s="181"/>
      <c r="R910" s="183"/>
      <c r="S910" s="183"/>
      <c r="T910" s="183"/>
      <c r="U910" s="183"/>
      <c r="V910" s="182"/>
      <c r="W910" s="182"/>
      <c r="X910" s="183"/>
      <c r="Y910" s="183"/>
      <c r="Z910" s="183"/>
      <c r="AA910" s="183"/>
      <c r="AB910" s="183"/>
      <c r="AC910" s="183"/>
      <c r="AD910" s="183"/>
      <c r="AE910" s="183"/>
      <c r="AH910" s="43"/>
    </row>
    <row r="911" spans="6:34" s="179" customFormat="1" x14ac:dyDescent="0.25">
      <c r="F911" s="119"/>
      <c r="G911" s="119"/>
      <c r="H911" s="180"/>
      <c r="J911" s="181"/>
      <c r="K911" s="181"/>
      <c r="L911" s="181"/>
      <c r="M911" s="181"/>
      <c r="N911" s="181"/>
      <c r="O911" s="181"/>
      <c r="P911" s="181"/>
      <c r="Q911" s="181"/>
      <c r="V911" s="182"/>
      <c r="W911" s="182"/>
      <c r="AH911" s="43"/>
    </row>
    <row r="912" spans="6:34" s="179" customFormat="1" x14ac:dyDescent="0.25">
      <c r="F912" s="119"/>
      <c r="G912" s="119"/>
      <c r="H912" s="180"/>
      <c r="J912" s="181"/>
      <c r="K912" s="181"/>
      <c r="L912" s="181"/>
      <c r="M912" s="181"/>
      <c r="N912" s="181"/>
      <c r="O912" s="181"/>
      <c r="P912" s="181"/>
      <c r="Q912" s="181"/>
      <c r="V912" s="182"/>
      <c r="W912" s="182"/>
      <c r="AH912" s="43"/>
    </row>
    <row r="913" spans="6:34" s="179" customFormat="1" x14ac:dyDescent="0.25">
      <c r="F913" s="119"/>
      <c r="G913" s="119"/>
      <c r="H913" s="180"/>
      <c r="J913" s="181"/>
      <c r="K913" s="181"/>
      <c r="L913" s="181"/>
      <c r="M913" s="181"/>
      <c r="N913" s="181"/>
      <c r="O913" s="181"/>
      <c r="P913" s="181"/>
      <c r="Q913" s="181"/>
      <c r="V913" s="182"/>
      <c r="W913" s="182"/>
      <c r="AH913" s="43"/>
    </row>
    <row r="914" spans="6:34" s="179" customFormat="1" x14ac:dyDescent="0.25">
      <c r="F914" s="119"/>
      <c r="G914" s="119"/>
      <c r="H914" s="180"/>
      <c r="J914" s="181"/>
      <c r="K914" s="181"/>
      <c r="L914" s="181"/>
      <c r="M914" s="181"/>
      <c r="N914" s="181"/>
      <c r="O914" s="181"/>
      <c r="P914" s="181"/>
      <c r="Q914" s="181"/>
      <c r="V914" s="182"/>
      <c r="W914" s="182"/>
      <c r="AH914" s="43"/>
    </row>
    <row r="915" spans="6:34" s="179" customFormat="1" x14ac:dyDescent="0.25">
      <c r="F915" s="119"/>
      <c r="G915" s="119"/>
      <c r="H915" s="180"/>
      <c r="J915" s="181"/>
      <c r="K915" s="181"/>
      <c r="L915" s="181"/>
      <c r="M915" s="181"/>
      <c r="N915" s="181"/>
      <c r="O915" s="181"/>
      <c r="P915" s="181"/>
      <c r="Q915" s="181"/>
      <c r="V915" s="182"/>
      <c r="W915" s="182"/>
      <c r="AH915" s="43"/>
    </row>
    <row r="916" spans="6:34" s="179" customFormat="1" x14ac:dyDescent="0.25">
      <c r="F916" s="119"/>
      <c r="G916" s="119"/>
      <c r="H916" s="180"/>
      <c r="J916" s="181"/>
      <c r="K916" s="181"/>
      <c r="L916" s="181"/>
      <c r="M916" s="181"/>
      <c r="N916" s="181"/>
      <c r="O916" s="181"/>
      <c r="P916" s="181"/>
      <c r="Q916" s="181"/>
      <c r="V916" s="182"/>
      <c r="W916" s="182"/>
      <c r="AH916" s="43"/>
    </row>
    <row r="917" spans="6:34" s="179" customFormat="1" x14ac:dyDescent="0.25">
      <c r="F917" s="119"/>
      <c r="G917" s="119"/>
      <c r="H917" s="180"/>
      <c r="J917" s="181"/>
      <c r="K917" s="181"/>
      <c r="L917" s="181"/>
      <c r="M917" s="181"/>
      <c r="N917" s="181"/>
      <c r="O917" s="181"/>
      <c r="P917" s="181"/>
      <c r="Q917" s="181"/>
      <c r="V917" s="182"/>
      <c r="W917" s="182"/>
      <c r="AH917" s="43"/>
    </row>
    <row r="918" spans="6:34" s="179" customFormat="1" x14ac:dyDescent="0.25">
      <c r="F918" s="119"/>
      <c r="G918" s="119"/>
      <c r="H918" s="180"/>
      <c r="J918" s="181"/>
      <c r="K918" s="181"/>
      <c r="L918" s="181"/>
      <c r="M918" s="181"/>
      <c r="N918" s="181"/>
      <c r="O918" s="181"/>
      <c r="P918" s="181"/>
      <c r="Q918" s="181"/>
      <c r="V918" s="182"/>
      <c r="W918" s="182"/>
      <c r="AH918" s="43"/>
    </row>
    <row r="919" spans="6:34" s="179" customFormat="1" x14ac:dyDescent="0.25">
      <c r="F919" s="119"/>
      <c r="G919" s="119"/>
      <c r="H919" s="180"/>
      <c r="J919" s="181"/>
      <c r="K919" s="181"/>
      <c r="L919" s="181"/>
      <c r="M919" s="181"/>
      <c r="N919" s="181"/>
      <c r="O919" s="181"/>
      <c r="P919" s="181"/>
      <c r="Q919" s="181"/>
      <c r="V919" s="182"/>
      <c r="W919" s="182"/>
      <c r="AH919" s="43"/>
    </row>
    <row r="920" spans="6:34" s="179" customFormat="1" x14ac:dyDescent="0.25">
      <c r="F920" s="119"/>
      <c r="G920" s="119"/>
      <c r="H920" s="180"/>
      <c r="J920" s="181"/>
      <c r="K920" s="181"/>
      <c r="L920" s="181"/>
      <c r="M920" s="181"/>
      <c r="N920" s="181"/>
      <c r="O920" s="181"/>
      <c r="P920" s="181"/>
      <c r="Q920" s="181"/>
      <c r="V920" s="182"/>
      <c r="W920" s="182"/>
      <c r="AH920" s="43"/>
    </row>
    <row r="921" spans="6:34" s="179" customFormat="1" x14ac:dyDescent="0.25">
      <c r="F921" s="119"/>
      <c r="G921" s="119"/>
      <c r="H921" s="180"/>
      <c r="J921" s="181"/>
      <c r="K921" s="181"/>
      <c r="L921" s="181"/>
      <c r="M921" s="181"/>
      <c r="N921" s="181"/>
      <c r="O921" s="181"/>
      <c r="P921" s="181"/>
      <c r="Q921" s="181"/>
      <c r="V921" s="182"/>
      <c r="W921" s="182"/>
      <c r="AH921" s="43"/>
    </row>
    <row r="922" spans="6:34" s="179" customFormat="1" x14ac:dyDescent="0.25">
      <c r="F922" s="119"/>
      <c r="G922" s="119"/>
      <c r="H922" s="180"/>
      <c r="J922" s="181"/>
      <c r="K922" s="181"/>
      <c r="L922" s="181"/>
      <c r="M922" s="181"/>
      <c r="N922" s="181"/>
      <c r="O922" s="181"/>
      <c r="P922" s="181"/>
      <c r="Q922" s="181"/>
      <c r="V922" s="182"/>
      <c r="W922" s="182"/>
      <c r="AH922" s="43"/>
    </row>
    <row r="923" spans="6:34" s="179" customFormat="1" x14ac:dyDescent="0.25">
      <c r="F923" s="119"/>
      <c r="G923" s="119"/>
      <c r="H923" s="180"/>
      <c r="J923" s="181"/>
      <c r="K923" s="181"/>
      <c r="L923" s="181"/>
      <c r="M923" s="181"/>
      <c r="N923" s="181"/>
      <c r="O923" s="181"/>
      <c r="P923" s="181"/>
      <c r="Q923" s="181"/>
      <c r="V923" s="182"/>
      <c r="W923" s="182"/>
      <c r="AH923" s="43"/>
    </row>
    <row r="924" spans="6:34" s="179" customFormat="1" x14ac:dyDescent="0.25">
      <c r="F924" s="119"/>
      <c r="G924" s="119"/>
      <c r="H924" s="180"/>
      <c r="J924" s="181"/>
      <c r="K924" s="181"/>
      <c r="L924" s="181"/>
      <c r="M924" s="181"/>
      <c r="N924" s="181"/>
      <c r="O924" s="181"/>
      <c r="P924" s="181"/>
      <c r="Q924" s="181"/>
      <c r="V924" s="182"/>
      <c r="W924" s="182"/>
      <c r="AH924" s="43"/>
    </row>
    <row r="925" spans="6:34" s="179" customFormat="1" x14ac:dyDescent="0.25">
      <c r="F925" s="119"/>
      <c r="G925" s="119"/>
      <c r="H925" s="180"/>
      <c r="J925" s="181"/>
      <c r="K925" s="181"/>
      <c r="L925" s="181"/>
      <c r="M925" s="181"/>
      <c r="N925" s="181"/>
      <c r="O925" s="181"/>
      <c r="P925" s="181"/>
      <c r="Q925" s="181"/>
      <c r="V925" s="182"/>
      <c r="W925" s="182"/>
      <c r="AH925" s="43"/>
    </row>
    <row r="926" spans="6:34" s="179" customFormat="1" x14ac:dyDescent="0.25">
      <c r="F926" s="119"/>
      <c r="G926" s="119"/>
      <c r="H926" s="180"/>
      <c r="J926" s="181"/>
      <c r="K926" s="181"/>
      <c r="L926" s="181"/>
      <c r="M926" s="181"/>
      <c r="N926" s="181"/>
      <c r="O926" s="181"/>
      <c r="P926" s="181"/>
      <c r="Q926" s="181"/>
      <c r="V926" s="182"/>
      <c r="W926" s="182"/>
      <c r="AH926" s="43"/>
    </row>
    <row r="927" spans="6:34" s="179" customFormat="1" x14ac:dyDescent="0.25">
      <c r="F927" s="119"/>
      <c r="G927" s="119"/>
      <c r="H927" s="180"/>
      <c r="J927" s="181"/>
      <c r="K927" s="181"/>
      <c r="L927" s="181"/>
      <c r="M927" s="181"/>
      <c r="N927" s="181"/>
      <c r="O927" s="181"/>
      <c r="P927" s="181"/>
      <c r="Q927" s="181"/>
      <c r="V927" s="182"/>
      <c r="W927" s="182"/>
      <c r="AH927" s="43"/>
    </row>
    <row r="928" spans="6:34" s="179" customFormat="1" x14ac:dyDescent="0.25">
      <c r="F928" s="119"/>
      <c r="G928" s="119"/>
      <c r="H928" s="180"/>
      <c r="J928" s="181"/>
      <c r="K928" s="181"/>
      <c r="L928" s="181"/>
      <c r="M928" s="181"/>
      <c r="N928" s="181"/>
      <c r="O928" s="181"/>
      <c r="P928" s="181"/>
      <c r="Q928" s="181"/>
      <c r="V928" s="182"/>
      <c r="W928" s="182"/>
      <c r="AH928" s="43"/>
    </row>
    <row r="929" spans="6:34" s="179" customFormat="1" x14ac:dyDescent="0.25">
      <c r="F929" s="119"/>
      <c r="G929" s="119"/>
      <c r="H929" s="180"/>
      <c r="J929" s="181"/>
      <c r="K929" s="181"/>
      <c r="L929" s="181"/>
      <c r="M929" s="181"/>
      <c r="N929" s="181"/>
      <c r="O929" s="181"/>
      <c r="P929" s="181"/>
      <c r="Q929" s="181"/>
      <c r="V929" s="182"/>
      <c r="W929" s="182"/>
      <c r="AH929" s="43"/>
    </row>
    <row r="930" spans="6:34" s="179" customFormat="1" x14ac:dyDescent="0.25">
      <c r="F930" s="119"/>
      <c r="G930" s="119"/>
      <c r="H930" s="180"/>
      <c r="J930" s="181"/>
      <c r="K930" s="181"/>
      <c r="L930" s="181"/>
      <c r="M930" s="181"/>
      <c r="N930" s="181"/>
      <c r="O930" s="181"/>
      <c r="P930" s="181"/>
      <c r="Q930" s="181"/>
      <c r="V930" s="182"/>
      <c r="W930" s="182"/>
      <c r="AH930" s="43"/>
    </row>
    <row r="931" spans="6:34" s="179" customFormat="1" x14ac:dyDescent="0.25">
      <c r="F931" s="119"/>
      <c r="G931" s="119"/>
      <c r="H931" s="180"/>
      <c r="J931" s="181"/>
      <c r="K931" s="181"/>
      <c r="L931" s="181"/>
      <c r="M931" s="181"/>
      <c r="N931" s="181"/>
      <c r="O931" s="181"/>
      <c r="P931" s="181"/>
      <c r="Q931" s="181"/>
      <c r="V931" s="182"/>
      <c r="W931" s="182"/>
      <c r="AH931" s="43"/>
    </row>
    <row r="932" spans="6:34" s="179" customFormat="1" x14ac:dyDescent="0.25">
      <c r="F932" s="119"/>
      <c r="G932" s="119"/>
      <c r="H932" s="180"/>
      <c r="J932" s="181"/>
      <c r="K932" s="181"/>
      <c r="L932" s="181"/>
      <c r="M932" s="181"/>
      <c r="N932" s="181"/>
      <c r="O932" s="181"/>
      <c r="P932" s="181"/>
      <c r="Q932" s="181"/>
      <c r="V932" s="182"/>
      <c r="W932" s="182"/>
      <c r="AH932" s="43"/>
    </row>
    <row r="933" spans="6:34" s="179" customFormat="1" x14ac:dyDescent="0.25">
      <c r="F933" s="119"/>
      <c r="G933" s="119"/>
      <c r="H933" s="180"/>
      <c r="J933" s="181"/>
      <c r="K933" s="181"/>
      <c r="L933" s="181"/>
      <c r="M933" s="181"/>
      <c r="N933" s="181"/>
      <c r="O933" s="181"/>
      <c r="P933" s="181"/>
      <c r="Q933" s="181"/>
      <c r="V933" s="182"/>
      <c r="W933" s="182"/>
      <c r="AH933" s="43"/>
    </row>
    <row r="934" spans="6:34" s="179" customFormat="1" x14ac:dyDescent="0.25">
      <c r="F934" s="119"/>
      <c r="G934" s="119"/>
      <c r="H934" s="180"/>
      <c r="J934" s="181"/>
      <c r="K934" s="181"/>
      <c r="L934" s="181"/>
      <c r="M934" s="181"/>
      <c r="N934" s="181"/>
      <c r="O934" s="181"/>
      <c r="P934" s="181"/>
      <c r="Q934" s="181"/>
      <c r="V934" s="182"/>
      <c r="W934" s="182"/>
      <c r="AH934" s="43"/>
    </row>
    <row r="935" spans="6:34" s="179" customFormat="1" x14ac:dyDescent="0.25">
      <c r="F935" s="119"/>
      <c r="G935" s="119"/>
      <c r="H935" s="180"/>
      <c r="J935" s="181"/>
      <c r="K935" s="181"/>
      <c r="L935" s="181"/>
      <c r="M935" s="181"/>
      <c r="N935" s="181"/>
      <c r="O935" s="181"/>
      <c r="P935" s="181"/>
      <c r="Q935" s="181"/>
      <c r="V935" s="182"/>
      <c r="W935" s="182"/>
      <c r="AH935" s="43"/>
    </row>
    <row r="936" spans="6:34" s="179" customFormat="1" x14ac:dyDescent="0.25">
      <c r="F936" s="119"/>
      <c r="G936" s="119"/>
      <c r="H936" s="180"/>
      <c r="J936" s="181"/>
      <c r="K936" s="181"/>
      <c r="L936" s="181"/>
      <c r="M936" s="181"/>
      <c r="N936" s="181"/>
      <c r="O936" s="181"/>
      <c r="P936" s="181"/>
      <c r="Q936" s="181"/>
      <c r="V936" s="182"/>
      <c r="W936" s="182"/>
      <c r="AH936" s="43"/>
    </row>
    <row r="937" spans="6:34" s="179" customFormat="1" x14ac:dyDescent="0.25">
      <c r="F937" s="119"/>
      <c r="G937" s="119"/>
      <c r="H937" s="180"/>
      <c r="J937" s="181"/>
      <c r="K937" s="181"/>
      <c r="L937" s="181"/>
      <c r="M937" s="181"/>
      <c r="N937" s="181"/>
      <c r="O937" s="181"/>
      <c r="P937" s="181"/>
      <c r="Q937" s="181"/>
      <c r="V937" s="182"/>
      <c r="W937" s="182"/>
      <c r="AH937" s="43"/>
    </row>
    <row r="938" spans="6:34" s="179" customFormat="1" x14ac:dyDescent="0.25">
      <c r="F938" s="119"/>
      <c r="G938" s="119"/>
      <c r="H938" s="180"/>
      <c r="J938" s="181"/>
      <c r="K938" s="181"/>
      <c r="L938" s="181"/>
      <c r="M938" s="181"/>
      <c r="N938" s="181"/>
      <c r="O938" s="181"/>
      <c r="P938" s="181"/>
      <c r="Q938" s="181"/>
      <c r="V938" s="182"/>
      <c r="W938" s="182"/>
      <c r="AH938" s="43"/>
    </row>
    <row r="939" spans="6:34" s="179" customFormat="1" x14ac:dyDescent="0.25">
      <c r="F939" s="119"/>
      <c r="G939" s="119"/>
      <c r="H939" s="180"/>
      <c r="J939" s="181"/>
      <c r="K939" s="181"/>
      <c r="L939" s="181"/>
      <c r="M939" s="181"/>
      <c r="N939" s="181"/>
      <c r="O939" s="181"/>
      <c r="P939" s="181"/>
      <c r="Q939" s="181"/>
      <c r="V939" s="182"/>
      <c r="W939" s="182"/>
      <c r="AH939" s="43"/>
    </row>
    <row r="940" spans="6:34" s="179" customFormat="1" x14ac:dyDescent="0.25">
      <c r="F940" s="119"/>
      <c r="G940" s="119"/>
      <c r="H940" s="180"/>
      <c r="J940" s="181"/>
      <c r="K940" s="181"/>
      <c r="L940" s="181"/>
      <c r="M940" s="181"/>
      <c r="N940" s="181"/>
      <c r="O940" s="181"/>
      <c r="P940" s="181"/>
      <c r="Q940" s="181"/>
      <c r="V940" s="182"/>
      <c r="W940" s="182"/>
      <c r="AH940" s="43"/>
    </row>
    <row r="941" spans="6:34" s="179" customFormat="1" x14ac:dyDescent="0.25">
      <c r="F941" s="119"/>
      <c r="G941" s="119"/>
      <c r="H941" s="180"/>
      <c r="J941" s="181"/>
      <c r="K941" s="181"/>
      <c r="L941" s="181"/>
      <c r="M941" s="181"/>
      <c r="N941" s="181"/>
      <c r="O941" s="181"/>
      <c r="P941" s="181"/>
      <c r="Q941" s="181"/>
      <c r="V941" s="182"/>
      <c r="W941" s="182"/>
      <c r="AH941" s="43"/>
    </row>
    <row r="942" spans="6:34" s="179" customFormat="1" x14ac:dyDescent="0.25">
      <c r="F942" s="119"/>
      <c r="G942" s="119"/>
      <c r="H942" s="180"/>
      <c r="J942" s="181"/>
      <c r="K942" s="181"/>
      <c r="L942" s="181"/>
      <c r="M942" s="181"/>
      <c r="N942" s="181"/>
      <c r="O942" s="181"/>
      <c r="P942" s="181"/>
      <c r="Q942" s="181"/>
      <c r="V942" s="182"/>
      <c r="W942" s="182"/>
      <c r="AH942" s="43"/>
    </row>
    <row r="943" spans="6:34" s="179" customFormat="1" x14ac:dyDescent="0.25">
      <c r="F943" s="119"/>
      <c r="G943" s="119"/>
      <c r="H943" s="180"/>
      <c r="J943" s="181"/>
      <c r="K943" s="181"/>
      <c r="L943" s="181"/>
      <c r="M943" s="181"/>
      <c r="N943" s="181"/>
      <c r="O943" s="181"/>
      <c r="P943" s="181"/>
      <c r="Q943" s="181"/>
      <c r="V943" s="182"/>
      <c r="W943" s="182"/>
      <c r="AH943" s="43"/>
    </row>
    <row r="944" spans="6:34" s="179" customFormat="1" x14ac:dyDescent="0.25">
      <c r="F944" s="119"/>
      <c r="G944" s="119"/>
      <c r="H944" s="180"/>
      <c r="J944" s="181"/>
      <c r="K944" s="181"/>
      <c r="L944" s="181"/>
      <c r="M944" s="181"/>
      <c r="N944" s="181"/>
      <c r="O944" s="181"/>
      <c r="P944" s="181"/>
      <c r="Q944" s="181"/>
      <c r="V944" s="182"/>
      <c r="W944" s="182"/>
      <c r="AH944" s="43"/>
    </row>
    <row r="945" spans="6:34" s="179" customFormat="1" x14ac:dyDescent="0.25">
      <c r="F945" s="119"/>
      <c r="G945" s="119"/>
      <c r="H945" s="180"/>
      <c r="J945" s="181"/>
      <c r="K945" s="181"/>
      <c r="L945" s="181"/>
      <c r="M945" s="181"/>
      <c r="N945" s="181"/>
      <c r="O945" s="181"/>
      <c r="P945" s="181"/>
      <c r="Q945" s="181"/>
      <c r="V945" s="182"/>
      <c r="W945" s="182"/>
      <c r="AH945" s="43"/>
    </row>
    <row r="946" spans="6:34" s="179" customFormat="1" x14ac:dyDescent="0.25">
      <c r="F946" s="119"/>
      <c r="G946" s="119"/>
      <c r="H946" s="180"/>
      <c r="J946" s="181"/>
      <c r="K946" s="181"/>
      <c r="L946" s="181"/>
      <c r="M946" s="181"/>
      <c r="N946" s="181"/>
      <c r="O946" s="181"/>
      <c r="P946" s="181"/>
      <c r="Q946" s="181"/>
      <c r="V946" s="182"/>
      <c r="W946" s="182"/>
      <c r="AH946" s="43"/>
    </row>
    <row r="947" spans="6:34" s="179" customFormat="1" x14ac:dyDescent="0.25">
      <c r="F947" s="119"/>
      <c r="G947" s="119"/>
      <c r="H947" s="180"/>
      <c r="J947" s="181"/>
      <c r="K947" s="181"/>
      <c r="L947" s="181"/>
      <c r="M947" s="181"/>
      <c r="N947" s="181"/>
      <c r="O947" s="181"/>
      <c r="P947" s="181"/>
      <c r="Q947" s="181"/>
      <c r="V947" s="182"/>
      <c r="W947" s="182"/>
      <c r="AH947" s="43"/>
    </row>
    <row r="948" spans="6:34" s="179" customFormat="1" x14ac:dyDescent="0.25">
      <c r="F948" s="119"/>
      <c r="G948" s="119"/>
      <c r="H948" s="180"/>
      <c r="J948" s="181"/>
      <c r="K948" s="181"/>
      <c r="L948" s="181"/>
      <c r="M948" s="181"/>
      <c r="N948" s="181"/>
      <c r="O948" s="181"/>
      <c r="P948" s="181"/>
      <c r="Q948" s="181"/>
      <c r="V948" s="182"/>
      <c r="W948" s="182"/>
      <c r="AH948" s="43"/>
    </row>
    <row r="949" spans="6:34" s="179" customFormat="1" x14ac:dyDescent="0.25">
      <c r="F949" s="119"/>
      <c r="G949" s="119"/>
      <c r="H949" s="180"/>
      <c r="J949" s="181"/>
      <c r="K949" s="181"/>
      <c r="L949" s="181"/>
      <c r="M949" s="181"/>
      <c r="N949" s="181"/>
      <c r="O949" s="181"/>
      <c r="P949" s="181"/>
      <c r="Q949" s="181"/>
      <c r="V949" s="182"/>
      <c r="W949" s="182"/>
      <c r="AH949" s="43"/>
    </row>
    <row r="950" spans="6:34" s="179" customFormat="1" x14ac:dyDescent="0.25">
      <c r="F950" s="119"/>
      <c r="G950" s="119"/>
      <c r="H950" s="180"/>
      <c r="J950" s="181"/>
      <c r="K950" s="181"/>
      <c r="L950" s="181"/>
      <c r="M950" s="181"/>
      <c r="N950" s="181"/>
      <c r="O950" s="181"/>
      <c r="P950" s="181"/>
      <c r="Q950" s="181"/>
      <c r="V950" s="182"/>
      <c r="W950" s="182"/>
      <c r="AH950" s="43"/>
    </row>
    <row r="951" spans="6:34" s="179" customFormat="1" x14ac:dyDescent="0.25">
      <c r="F951" s="119"/>
      <c r="G951" s="119"/>
      <c r="H951" s="180"/>
      <c r="J951" s="181"/>
      <c r="K951" s="181"/>
      <c r="L951" s="181"/>
      <c r="M951" s="181"/>
      <c r="N951" s="181"/>
      <c r="O951" s="181"/>
      <c r="P951" s="181"/>
      <c r="Q951" s="181"/>
      <c r="V951" s="182"/>
      <c r="W951" s="182"/>
      <c r="AH951" s="43"/>
    </row>
    <row r="952" spans="6:34" s="179" customFormat="1" x14ac:dyDescent="0.25">
      <c r="F952" s="119"/>
      <c r="G952" s="119"/>
      <c r="H952" s="180"/>
      <c r="J952" s="181"/>
      <c r="K952" s="181"/>
      <c r="L952" s="181"/>
      <c r="M952" s="181"/>
      <c r="N952" s="181"/>
      <c r="O952" s="181"/>
      <c r="P952" s="181"/>
      <c r="Q952" s="181"/>
      <c r="V952" s="182"/>
      <c r="W952" s="182"/>
      <c r="AH952" s="43"/>
    </row>
    <row r="953" spans="6:34" s="179" customFormat="1" x14ac:dyDescent="0.25">
      <c r="F953" s="119"/>
      <c r="G953" s="119"/>
      <c r="H953" s="180"/>
      <c r="J953" s="181"/>
      <c r="K953" s="181"/>
      <c r="L953" s="181"/>
      <c r="M953" s="181"/>
      <c r="N953" s="181"/>
      <c r="O953" s="181"/>
      <c r="P953" s="181"/>
      <c r="Q953" s="181"/>
      <c r="V953" s="182"/>
      <c r="W953" s="182"/>
      <c r="AH953" s="43"/>
    </row>
    <row r="954" spans="6:34" s="179" customFormat="1" x14ac:dyDescent="0.25">
      <c r="F954" s="119"/>
      <c r="G954" s="119"/>
      <c r="H954" s="180"/>
      <c r="J954" s="181"/>
      <c r="K954" s="181"/>
      <c r="L954" s="181"/>
      <c r="M954" s="181"/>
      <c r="N954" s="181"/>
      <c r="O954" s="181"/>
      <c r="P954" s="181"/>
      <c r="Q954" s="181"/>
      <c r="V954" s="182"/>
      <c r="W954" s="182"/>
      <c r="AH954" s="43"/>
    </row>
    <row r="955" spans="6:34" s="179" customFormat="1" x14ac:dyDescent="0.25">
      <c r="F955" s="119"/>
      <c r="G955" s="119"/>
      <c r="H955" s="180"/>
      <c r="J955" s="181"/>
      <c r="K955" s="181"/>
      <c r="L955" s="181"/>
      <c r="M955" s="181"/>
      <c r="N955" s="181"/>
      <c r="O955" s="181"/>
      <c r="P955" s="181"/>
      <c r="Q955" s="181"/>
      <c r="V955" s="182"/>
      <c r="W955" s="182"/>
      <c r="AH955" s="43"/>
    </row>
    <row r="956" spans="6:34" s="179" customFormat="1" x14ac:dyDescent="0.25">
      <c r="F956" s="119"/>
      <c r="G956" s="119"/>
      <c r="H956" s="180"/>
      <c r="J956" s="181"/>
      <c r="K956" s="181"/>
      <c r="L956" s="181"/>
      <c r="M956" s="181"/>
      <c r="N956" s="181"/>
      <c r="O956" s="181"/>
      <c r="P956" s="181"/>
      <c r="Q956" s="181"/>
      <c r="V956" s="182"/>
      <c r="W956" s="182"/>
      <c r="AH956" s="43"/>
    </row>
    <row r="957" spans="6:34" s="179" customFormat="1" x14ac:dyDescent="0.25">
      <c r="F957" s="119"/>
      <c r="G957" s="119"/>
      <c r="H957" s="180"/>
      <c r="J957" s="181"/>
      <c r="K957" s="181"/>
      <c r="L957" s="181"/>
      <c r="M957" s="181"/>
      <c r="N957" s="181"/>
      <c r="O957" s="181"/>
      <c r="P957" s="181"/>
      <c r="Q957" s="181"/>
      <c r="V957" s="182"/>
      <c r="W957" s="182"/>
      <c r="AH957" s="43"/>
    </row>
    <row r="958" spans="6:34" s="179" customFormat="1" x14ac:dyDescent="0.25">
      <c r="F958" s="119"/>
      <c r="G958" s="119"/>
      <c r="H958" s="180"/>
      <c r="J958" s="181"/>
      <c r="K958" s="181"/>
      <c r="L958" s="181"/>
      <c r="M958" s="181"/>
      <c r="N958" s="181"/>
      <c r="O958" s="181"/>
      <c r="P958" s="181"/>
      <c r="Q958" s="181"/>
      <c r="V958" s="182"/>
      <c r="W958" s="182"/>
      <c r="AH958" s="43"/>
    </row>
    <row r="959" spans="6:34" s="179" customFormat="1" x14ac:dyDescent="0.25">
      <c r="F959" s="119"/>
      <c r="G959" s="119"/>
      <c r="H959" s="180"/>
      <c r="J959" s="181"/>
      <c r="K959" s="181"/>
      <c r="L959" s="181"/>
      <c r="M959" s="181"/>
      <c r="N959" s="181"/>
      <c r="O959" s="181"/>
      <c r="P959" s="181"/>
      <c r="Q959" s="181"/>
      <c r="V959" s="182"/>
      <c r="W959" s="182"/>
      <c r="AH959" s="43"/>
    </row>
    <row r="960" spans="6:34" s="179" customFormat="1" x14ac:dyDescent="0.25">
      <c r="F960" s="119"/>
      <c r="G960" s="119"/>
      <c r="H960" s="180"/>
      <c r="J960" s="181"/>
      <c r="K960" s="181"/>
      <c r="L960" s="181"/>
      <c r="M960" s="181"/>
      <c r="N960" s="181"/>
      <c r="O960" s="181"/>
      <c r="P960" s="181"/>
      <c r="Q960" s="181"/>
      <c r="V960" s="182"/>
      <c r="W960" s="182"/>
      <c r="AH960" s="43"/>
    </row>
    <row r="961" spans="6:34" s="179" customFormat="1" x14ac:dyDescent="0.25">
      <c r="F961" s="119"/>
      <c r="G961" s="119"/>
      <c r="H961" s="180"/>
      <c r="J961" s="181"/>
      <c r="K961" s="181"/>
      <c r="L961" s="181"/>
      <c r="M961" s="181"/>
      <c r="N961" s="181"/>
      <c r="O961" s="181"/>
      <c r="P961" s="181"/>
      <c r="Q961" s="181"/>
      <c r="V961" s="182"/>
      <c r="W961" s="182"/>
      <c r="AH961" s="43"/>
    </row>
    <row r="962" spans="6:34" s="179" customFormat="1" x14ac:dyDescent="0.25">
      <c r="F962" s="119"/>
      <c r="G962" s="119"/>
      <c r="H962" s="180"/>
      <c r="J962" s="181"/>
      <c r="K962" s="181"/>
      <c r="L962" s="181"/>
      <c r="M962" s="181"/>
      <c r="N962" s="181"/>
      <c r="O962" s="181"/>
      <c r="P962" s="181"/>
      <c r="Q962" s="181"/>
      <c r="V962" s="182"/>
      <c r="W962" s="182"/>
      <c r="AH962" s="43"/>
    </row>
    <row r="963" spans="6:34" s="179" customFormat="1" x14ac:dyDescent="0.25">
      <c r="F963" s="119"/>
      <c r="G963" s="119"/>
      <c r="H963" s="180"/>
      <c r="J963" s="181"/>
      <c r="K963" s="181"/>
      <c r="L963" s="181"/>
      <c r="M963" s="181"/>
      <c r="N963" s="181"/>
      <c r="O963" s="181"/>
      <c r="P963" s="181"/>
      <c r="Q963" s="181"/>
      <c r="V963" s="182"/>
      <c r="W963" s="182"/>
      <c r="AH963" s="43"/>
    </row>
    <row r="964" spans="6:34" s="179" customFormat="1" x14ac:dyDescent="0.25">
      <c r="F964" s="119"/>
      <c r="G964" s="119"/>
      <c r="H964" s="180"/>
      <c r="J964" s="181"/>
      <c r="K964" s="181"/>
      <c r="L964" s="181"/>
      <c r="M964" s="181"/>
      <c r="N964" s="181"/>
      <c r="O964" s="181"/>
      <c r="P964" s="181"/>
      <c r="Q964" s="181"/>
      <c r="V964" s="182"/>
      <c r="W964" s="182"/>
      <c r="AH964" s="43"/>
    </row>
    <row r="965" spans="6:34" s="179" customFormat="1" x14ac:dyDescent="0.25">
      <c r="F965" s="119"/>
      <c r="G965" s="119"/>
      <c r="H965" s="180"/>
      <c r="J965" s="181"/>
      <c r="K965" s="181"/>
      <c r="L965" s="181"/>
      <c r="M965" s="181"/>
      <c r="N965" s="181"/>
      <c r="O965" s="181"/>
      <c r="P965" s="181"/>
      <c r="Q965" s="181"/>
      <c r="V965" s="182"/>
      <c r="W965" s="182"/>
      <c r="AH965" s="43"/>
    </row>
    <row r="966" spans="6:34" s="179" customFormat="1" x14ac:dyDescent="0.25">
      <c r="F966" s="119"/>
      <c r="G966" s="119"/>
      <c r="H966" s="180"/>
      <c r="J966" s="181"/>
      <c r="K966" s="181"/>
      <c r="L966" s="181"/>
      <c r="M966" s="181"/>
      <c r="N966" s="181"/>
      <c r="O966" s="181"/>
      <c r="P966" s="181"/>
      <c r="Q966" s="181"/>
      <c r="V966" s="182"/>
      <c r="W966" s="182"/>
      <c r="AH966" s="43"/>
    </row>
    <row r="967" spans="6:34" s="179" customFormat="1" x14ac:dyDescent="0.25">
      <c r="F967" s="119"/>
      <c r="G967" s="119"/>
      <c r="H967" s="180"/>
      <c r="J967" s="181"/>
      <c r="K967" s="181"/>
      <c r="L967" s="181"/>
      <c r="M967" s="181"/>
      <c r="N967" s="181"/>
      <c r="O967" s="181"/>
      <c r="P967" s="181"/>
      <c r="Q967" s="181"/>
      <c r="V967" s="182"/>
      <c r="W967" s="182"/>
      <c r="AH967" s="43"/>
    </row>
    <row r="968" spans="6:34" s="179" customFormat="1" x14ac:dyDescent="0.25">
      <c r="F968" s="119"/>
      <c r="G968" s="119"/>
      <c r="H968" s="180"/>
      <c r="J968" s="181"/>
      <c r="K968" s="181"/>
      <c r="L968" s="181"/>
      <c r="M968" s="181"/>
      <c r="N968" s="181"/>
      <c r="O968" s="181"/>
      <c r="P968" s="181"/>
      <c r="Q968" s="181"/>
      <c r="V968" s="182"/>
      <c r="W968" s="182"/>
      <c r="AH968" s="43"/>
    </row>
    <row r="969" spans="6:34" s="179" customFormat="1" x14ac:dyDescent="0.25">
      <c r="F969" s="119"/>
      <c r="G969" s="119"/>
      <c r="H969" s="180"/>
      <c r="J969" s="181"/>
      <c r="K969" s="181"/>
      <c r="L969" s="181"/>
      <c r="M969" s="181"/>
      <c r="N969" s="181"/>
      <c r="O969" s="181"/>
      <c r="P969" s="181"/>
      <c r="Q969" s="181"/>
      <c r="V969" s="182"/>
      <c r="W969" s="182"/>
      <c r="AH969" s="43"/>
    </row>
    <row r="970" spans="6:34" s="179" customFormat="1" x14ac:dyDescent="0.25">
      <c r="F970" s="119"/>
      <c r="G970" s="119"/>
      <c r="H970" s="180"/>
      <c r="J970" s="181"/>
      <c r="K970" s="181"/>
      <c r="L970" s="181"/>
      <c r="M970" s="181"/>
      <c r="N970" s="181"/>
      <c r="O970" s="181"/>
      <c r="P970" s="181"/>
      <c r="Q970" s="181"/>
      <c r="V970" s="182"/>
      <c r="W970" s="182"/>
      <c r="AH970" s="43"/>
    </row>
    <row r="971" spans="6:34" s="179" customFormat="1" x14ac:dyDescent="0.25">
      <c r="F971" s="119"/>
      <c r="G971" s="119"/>
      <c r="H971" s="180"/>
      <c r="J971" s="181"/>
      <c r="K971" s="181"/>
      <c r="L971" s="181"/>
      <c r="M971" s="181"/>
      <c r="N971" s="181"/>
      <c r="O971" s="181"/>
      <c r="P971" s="181"/>
      <c r="Q971" s="181"/>
      <c r="V971" s="182"/>
      <c r="W971" s="182"/>
      <c r="AH971" s="43"/>
    </row>
    <row r="972" spans="6:34" s="179" customFormat="1" x14ac:dyDescent="0.25">
      <c r="F972" s="119"/>
      <c r="G972" s="119"/>
      <c r="H972" s="180"/>
      <c r="J972" s="181"/>
      <c r="K972" s="181"/>
      <c r="L972" s="181"/>
      <c r="M972" s="181"/>
      <c r="N972" s="181"/>
      <c r="O972" s="181"/>
      <c r="P972" s="181"/>
      <c r="Q972" s="181"/>
      <c r="V972" s="182"/>
      <c r="W972" s="182"/>
      <c r="AH972" s="43"/>
    </row>
    <row r="973" spans="6:34" s="179" customFormat="1" x14ac:dyDescent="0.25">
      <c r="F973" s="119"/>
      <c r="G973" s="119"/>
      <c r="H973" s="180"/>
      <c r="J973" s="181"/>
      <c r="K973" s="181"/>
      <c r="L973" s="181"/>
      <c r="M973" s="181"/>
      <c r="N973" s="181"/>
      <c r="O973" s="181"/>
      <c r="P973" s="181"/>
      <c r="Q973" s="181"/>
      <c r="V973" s="182"/>
      <c r="W973" s="182"/>
      <c r="AH973" s="43"/>
    </row>
    <row r="974" spans="6:34" s="179" customFormat="1" x14ac:dyDescent="0.25">
      <c r="F974" s="119"/>
      <c r="G974" s="119"/>
      <c r="H974" s="180"/>
      <c r="J974" s="181"/>
      <c r="K974" s="181"/>
      <c r="L974" s="181"/>
      <c r="M974" s="181"/>
      <c r="N974" s="181"/>
      <c r="O974" s="181"/>
      <c r="P974" s="181"/>
      <c r="Q974" s="181"/>
      <c r="V974" s="182"/>
      <c r="W974" s="182"/>
      <c r="AH974" s="43"/>
    </row>
    <row r="975" spans="6:34" s="179" customFormat="1" x14ac:dyDescent="0.25">
      <c r="F975" s="119"/>
      <c r="G975" s="119"/>
      <c r="H975" s="180"/>
      <c r="J975" s="181"/>
      <c r="K975" s="181"/>
      <c r="L975" s="181"/>
      <c r="M975" s="181"/>
      <c r="N975" s="181"/>
      <c r="O975" s="181"/>
      <c r="P975" s="181"/>
      <c r="Q975" s="181"/>
      <c r="V975" s="182"/>
      <c r="W975" s="182"/>
      <c r="AH975" s="43"/>
    </row>
    <row r="976" spans="6:34" s="179" customFormat="1" x14ac:dyDescent="0.25">
      <c r="F976" s="119"/>
      <c r="G976" s="119"/>
      <c r="H976" s="180"/>
      <c r="J976" s="181"/>
      <c r="K976" s="181"/>
      <c r="L976" s="181"/>
      <c r="M976" s="181"/>
      <c r="N976" s="181"/>
      <c r="O976" s="181"/>
      <c r="P976" s="181"/>
      <c r="Q976" s="181"/>
      <c r="V976" s="182"/>
      <c r="W976" s="182"/>
      <c r="AH976" s="43"/>
    </row>
    <row r="977" spans="6:34" s="179" customFormat="1" x14ac:dyDescent="0.25">
      <c r="F977" s="119"/>
      <c r="G977" s="119"/>
      <c r="H977" s="180"/>
      <c r="J977" s="181"/>
      <c r="K977" s="181"/>
      <c r="L977" s="181"/>
      <c r="M977" s="181"/>
      <c r="N977" s="181"/>
      <c r="O977" s="181"/>
      <c r="P977" s="181"/>
      <c r="Q977" s="181"/>
      <c r="V977" s="182"/>
      <c r="W977" s="182"/>
      <c r="AH977" s="43"/>
    </row>
    <row r="978" spans="6:34" s="179" customFormat="1" x14ac:dyDescent="0.25">
      <c r="F978" s="119"/>
      <c r="G978" s="119"/>
      <c r="H978" s="180"/>
      <c r="J978" s="181"/>
      <c r="K978" s="181"/>
      <c r="L978" s="181"/>
      <c r="M978" s="181"/>
      <c r="N978" s="181"/>
      <c r="O978" s="181"/>
      <c r="P978" s="181"/>
      <c r="Q978" s="181"/>
      <c r="V978" s="182"/>
      <c r="W978" s="182"/>
      <c r="AH978" s="43"/>
    </row>
    <row r="979" spans="6:34" s="179" customFormat="1" x14ac:dyDescent="0.25">
      <c r="F979" s="119"/>
      <c r="G979" s="119"/>
      <c r="H979" s="180"/>
      <c r="J979" s="181"/>
      <c r="K979" s="181"/>
      <c r="L979" s="181"/>
      <c r="M979" s="181"/>
      <c r="N979" s="181"/>
      <c r="O979" s="181"/>
      <c r="P979" s="181"/>
      <c r="Q979" s="181"/>
      <c r="V979" s="182"/>
      <c r="W979" s="182"/>
      <c r="AH979" s="43"/>
    </row>
    <row r="980" spans="6:34" s="179" customFormat="1" x14ac:dyDescent="0.25">
      <c r="F980" s="119"/>
      <c r="G980" s="119"/>
      <c r="H980" s="180"/>
      <c r="J980" s="181"/>
      <c r="K980" s="181"/>
      <c r="L980" s="181"/>
      <c r="M980" s="181"/>
      <c r="N980" s="181"/>
      <c r="O980" s="181"/>
      <c r="P980" s="181"/>
      <c r="Q980" s="181"/>
      <c r="V980" s="182"/>
      <c r="W980" s="182"/>
      <c r="AH980" s="43"/>
    </row>
    <row r="981" spans="6:34" s="179" customFormat="1" x14ac:dyDescent="0.25">
      <c r="F981" s="119"/>
      <c r="G981" s="119"/>
      <c r="H981" s="180"/>
      <c r="J981" s="181"/>
      <c r="K981" s="181"/>
      <c r="L981" s="181"/>
      <c r="M981" s="181"/>
      <c r="N981" s="181"/>
      <c r="O981" s="181"/>
      <c r="P981" s="181"/>
      <c r="Q981" s="181"/>
      <c r="V981" s="182"/>
      <c r="W981" s="182"/>
      <c r="AH981" s="43"/>
    </row>
    <row r="982" spans="6:34" s="179" customFormat="1" x14ac:dyDescent="0.25">
      <c r="F982" s="119"/>
      <c r="G982" s="119"/>
      <c r="H982" s="180"/>
      <c r="J982" s="181"/>
      <c r="K982" s="181"/>
      <c r="L982" s="181"/>
      <c r="M982" s="181"/>
      <c r="N982" s="181"/>
      <c r="O982" s="181"/>
      <c r="P982" s="181"/>
      <c r="Q982" s="181"/>
      <c r="V982" s="182"/>
      <c r="W982" s="182"/>
      <c r="AH982" s="43"/>
    </row>
    <row r="983" spans="6:34" s="179" customFormat="1" x14ac:dyDescent="0.25">
      <c r="F983" s="119"/>
      <c r="G983" s="119"/>
      <c r="H983" s="180"/>
      <c r="J983" s="181"/>
      <c r="K983" s="181"/>
      <c r="L983" s="181"/>
      <c r="M983" s="181"/>
      <c r="N983" s="181"/>
      <c r="O983" s="181"/>
      <c r="P983" s="181"/>
      <c r="Q983" s="181"/>
      <c r="V983" s="182"/>
      <c r="W983" s="182"/>
      <c r="AH983" s="43"/>
    </row>
    <row r="984" spans="6:34" s="179" customFormat="1" x14ac:dyDescent="0.25">
      <c r="F984" s="119"/>
      <c r="G984" s="119"/>
      <c r="H984" s="180"/>
      <c r="J984" s="181"/>
      <c r="K984" s="181"/>
      <c r="L984" s="181"/>
      <c r="M984" s="181"/>
      <c r="N984" s="181"/>
      <c r="O984" s="181"/>
      <c r="P984" s="181"/>
      <c r="Q984" s="181"/>
      <c r="V984" s="182"/>
      <c r="W984" s="182"/>
      <c r="AH984" s="43"/>
    </row>
    <row r="985" spans="6:34" s="179" customFormat="1" x14ac:dyDescent="0.25">
      <c r="F985" s="119"/>
      <c r="G985" s="119"/>
      <c r="H985" s="180"/>
      <c r="J985" s="181"/>
      <c r="K985" s="181"/>
      <c r="L985" s="181"/>
      <c r="M985" s="181"/>
      <c r="N985" s="181"/>
      <c r="O985" s="181"/>
      <c r="P985" s="181"/>
      <c r="Q985" s="181"/>
      <c r="V985" s="182"/>
      <c r="W985" s="182"/>
      <c r="AH985" s="43"/>
    </row>
    <row r="986" spans="6:34" s="179" customFormat="1" x14ac:dyDescent="0.25">
      <c r="F986" s="119"/>
      <c r="G986" s="119"/>
      <c r="H986" s="180"/>
      <c r="J986" s="181"/>
      <c r="K986" s="181"/>
      <c r="L986" s="181"/>
      <c r="M986" s="181"/>
      <c r="N986" s="181"/>
      <c r="O986" s="181"/>
      <c r="P986" s="181"/>
      <c r="Q986" s="181"/>
      <c r="V986" s="182"/>
      <c r="W986" s="182"/>
      <c r="AH986" s="43"/>
    </row>
    <row r="987" spans="6:34" s="179" customFormat="1" x14ac:dyDescent="0.25">
      <c r="F987" s="119"/>
      <c r="G987" s="119"/>
      <c r="H987" s="180"/>
      <c r="J987" s="181"/>
      <c r="K987" s="181"/>
      <c r="L987" s="181"/>
      <c r="M987" s="181"/>
      <c r="N987" s="181"/>
      <c r="O987" s="181"/>
      <c r="P987" s="181"/>
      <c r="Q987" s="181"/>
      <c r="V987" s="182"/>
      <c r="W987" s="182"/>
      <c r="AH987" s="43"/>
    </row>
    <row r="988" spans="6:34" s="179" customFormat="1" x14ac:dyDescent="0.25">
      <c r="F988" s="119"/>
      <c r="G988" s="119"/>
      <c r="H988" s="180"/>
      <c r="J988" s="181"/>
      <c r="K988" s="181"/>
      <c r="L988" s="181"/>
      <c r="M988" s="181"/>
      <c r="N988" s="181"/>
      <c r="O988" s="181"/>
      <c r="P988" s="181"/>
      <c r="Q988" s="181"/>
      <c r="V988" s="182"/>
      <c r="W988" s="182"/>
      <c r="AH988" s="43"/>
    </row>
    <row r="989" spans="6:34" s="179" customFormat="1" x14ac:dyDescent="0.25">
      <c r="F989" s="119"/>
      <c r="G989" s="119"/>
      <c r="H989" s="180"/>
      <c r="J989" s="181"/>
      <c r="K989" s="181"/>
      <c r="L989" s="181"/>
      <c r="M989" s="181"/>
      <c r="N989" s="181"/>
      <c r="O989" s="181"/>
      <c r="P989" s="181"/>
      <c r="Q989" s="181"/>
      <c r="V989" s="182"/>
      <c r="W989" s="182"/>
      <c r="AH989" s="43"/>
    </row>
    <row r="990" spans="6:34" s="179" customFormat="1" x14ac:dyDescent="0.25">
      <c r="F990" s="119"/>
      <c r="G990" s="119"/>
      <c r="H990" s="180"/>
      <c r="J990" s="181"/>
      <c r="K990" s="181"/>
      <c r="L990" s="181"/>
      <c r="M990" s="181"/>
      <c r="N990" s="181"/>
      <c r="O990" s="181"/>
      <c r="P990" s="181"/>
      <c r="Q990" s="181"/>
      <c r="V990" s="182"/>
      <c r="W990" s="182"/>
      <c r="AH990" s="43"/>
    </row>
    <row r="991" spans="6:34" s="179" customFormat="1" x14ac:dyDescent="0.25">
      <c r="F991" s="119"/>
      <c r="G991" s="119"/>
      <c r="H991" s="180"/>
      <c r="J991" s="181"/>
      <c r="K991" s="181"/>
      <c r="L991" s="181"/>
      <c r="M991" s="181"/>
      <c r="N991" s="181"/>
      <c r="O991" s="181"/>
      <c r="P991" s="181"/>
      <c r="Q991" s="181"/>
      <c r="V991" s="182"/>
      <c r="W991" s="182"/>
      <c r="AH991" s="43"/>
    </row>
    <row r="992" spans="6:34" s="179" customFormat="1" x14ac:dyDescent="0.25">
      <c r="F992" s="119"/>
      <c r="G992" s="119"/>
      <c r="H992" s="180"/>
      <c r="J992" s="181"/>
      <c r="K992" s="181"/>
      <c r="L992" s="181"/>
      <c r="M992" s="181"/>
      <c r="N992" s="181"/>
      <c r="O992" s="181"/>
      <c r="P992" s="181"/>
      <c r="Q992" s="181"/>
      <c r="V992" s="182"/>
      <c r="W992" s="182"/>
      <c r="AH992" s="43"/>
    </row>
    <row r="993" spans="6:34" s="179" customFormat="1" x14ac:dyDescent="0.25">
      <c r="F993" s="119"/>
      <c r="G993" s="119"/>
      <c r="H993" s="180"/>
      <c r="J993" s="181"/>
      <c r="K993" s="181"/>
      <c r="L993" s="181"/>
      <c r="M993" s="181"/>
      <c r="N993" s="181"/>
      <c r="O993" s="181"/>
      <c r="P993" s="181"/>
      <c r="Q993" s="181"/>
      <c r="V993" s="182"/>
      <c r="W993" s="182"/>
      <c r="AH993" s="43"/>
    </row>
    <row r="994" spans="6:34" s="179" customFormat="1" x14ac:dyDescent="0.25">
      <c r="F994" s="119"/>
      <c r="G994" s="119"/>
      <c r="H994" s="180"/>
      <c r="J994" s="181"/>
      <c r="K994" s="181"/>
      <c r="L994" s="181"/>
      <c r="M994" s="181"/>
      <c r="N994" s="181"/>
      <c r="O994" s="181"/>
      <c r="P994" s="181"/>
      <c r="Q994" s="181"/>
      <c r="V994" s="182"/>
      <c r="W994" s="182"/>
      <c r="AH994" s="43"/>
    </row>
    <row r="995" spans="6:34" s="179" customFormat="1" x14ac:dyDescent="0.25">
      <c r="F995" s="119"/>
      <c r="G995" s="119"/>
      <c r="H995" s="180"/>
      <c r="J995" s="181"/>
      <c r="K995" s="181"/>
      <c r="L995" s="181"/>
      <c r="M995" s="181"/>
      <c r="N995" s="181"/>
      <c r="O995" s="181"/>
      <c r="P995" s="181"/>
      <c r="Q995" s="181"/>
      <c r="V995" s="182"/>
      <c r="W995" s="182"/>
      <c r="AH995" s="43"/>
    </row>
    <row r="996" spans="6:34" s="179" customFormat="1" x14ac:dyDescent="0.25">
      <c r="F996" s="119"/>
      <c r="G996" s="119"/>
      <c r="H996" s="180"/>
      <c r="J996" s="181"/>
      <c r="K996" s="181"/>
      <c r="L996" s="181"/>
      <c r="M996" s="181"/>
      <c r="N996" s="181"/>
      <c r="O996" s="181"/>
      <c r="P996" s="181"/>
      <c r="Q996" s="181"/>
      <c r="V996" s="182"/>
      <c r="W996" s="182"/>
      <c r="AH996" s="43"/>
    </row>
    <row r="997" spans="6:34" s="179" customFormat="1" x14ac:dyDescent="0.25">
      <c r="F997" s="119"/>
      <c r="G997" s="119"/>
      <c r="H997" s="180"/>
      <c r="J997" s="181"/>
      <c r="K997" s="181"/>
      <c r="L997" s="181"/>
      <c r="M997" s="181"/>
      <c r="N997" s="181"/>
      <c r="O997" s="181"/>
      <c r="P997" s="181"/>
      <c r="Q997" s="181"/>
      <c r="V997" s="182"/>
      <c r="W997" s="182"/>
      <c r="AH997" s="43"/>
    </row>
    <row r="998" spans="6:34" s="179" customFormat="1" x14ac:dyDescent="0.25">
      <c r="F998" s="119"/>
      <c r="G998" s="119"/>
      <c r="H998" s="180"/>
      <c r="J998" s="181"/>
      <c r="K998" s="181"/>
      <c r="L998" s="181"/>
      <c r="M998" s="181"/>
      <c r="N998" s="181"/>
      <c r="O998" s="181"/>
      <c r="P998" s="181"/>
      <c r="Q998" s="181"/>
      <c r="V998" s="182"/>
      <c r="W998" s="182"/>
      <c r="AH998" s="43"/>
    </row>
    <row r="999" spans="6:34" s="179" customFormat="1" x14ac:dyDescent="0.25">
      <c r="F999" s="119"/>
      <c r="G999" s="119"/>
      <c r="H999" s="180"/>
      <c r="J999" s="181"/>
      <c r="K999" s="181"/>
      <c r="L999" s="181"/>
      <c r="M999" s="181"/>
      <c r="N999" s="181"/>
      <c r="O999" s="181"/>
      <c r="P999" s="181"/>
      <c r="Q999" s="181"/>
      <c r="V999" s="182"/>
      <c r="W999" s="182"/>
      <c r="AH999" s="43"/>
    </row>
    <row r="1000" spans="6:34" s="179" customFormat="1" x14ac:dyDescent="0.25">
      <c r="F1000" s="119"/>
      <c r="G1000" s="119"/>
      <c r="H1000" s="180"/>
      <c r="J1000" s="181"/>
      <c r="K1000" s="181"/>
      <c r="L1000" s="181"/>
      <c r="M1000" s="181"/>
      <c r="N1000" s="181"/>
      <c r="O1000" s="181"/>
      <c r="P1000" s="181"/>
      <c r="Q1000" s="181"/>
      <c r="V1000" s="182"/>
      <c r="W1000" s="182"/>
      <c r="AH1000" s="43"/>
    </row>
    <row r="1001" spans="6:34" s="179" customFormat="1" x14ac:dyDescent="0.25">
      <c r="F1001" s="119"/>
      <c r="G1001" s="119"/>
      <c r="H1001" s="180"/>
      <c r="J1001" s="181"/>
      <c r="K1001" s="181"/>
      <c r="L1001" s="181"/>
      <c r="M1001" s="181"/>
      <c r="N1001" s="181"/>
      <c r="O1001" s="181"/>
      <c r="P1001" s="181"/>
      <c r="Q1001" s="181"/>
      <c r="V1001" s="182"/>
      <c r="W1001" s="182"/>
      <c r="AH1001" s="43"/>
    </row>
    <row r="1002" spans="6:34" s="179" customFormat="1" x14ac:dyDescent="0.25">
      <c r="F1002" s="119"/>
      <c r="G1002" s="119"/>
      <c r="H1002" s="180"/>
      <c r="J1002" s="181"/>
      <c r="K1002" s="181"/>
      <c r="L1002" s="181"/>
      <c r="M1002" s="181"/>
      <c r="N1002" s="181"/>
      <c r="O1002" s="181"/>
      <c r="P1002" s="181"/>
      <c r="Q1002" s="181"/>
      <c r="V1002" s="182"/>
      <c r="W1002" s="182"/>
      <c r="AH1002" s="43"/>
    </row>
    <row r="1003" spans="6:34" s="179" customFormat="1" x14ac:dyDescent="0.25">
      <c r="F1003" s="119"/>
      <c r="G1003" s="119"/>
      <c r="H1003" s="180"/>
      <c r="J1003" s="181"/>
      <c r="K1003" s="181"/>
      <c r="L1003" s="181"/>
      <c r="M1003" s="181"/>
      <c r="N1003" s="181"/>
      <c r="O1003" s="181"/>
      <c r="P1003" s="181"/>
      <c r="Q1003" s="181"/>
      <c r="V1003" s="182"/>
      <c r="W1003" s="182"/>
      <c r="AH1003" s="43"/>
    </row>
    <row r="1004" spans="6:34" s="179" customFormat="1" x14ac:dyDescent="0.25">
      <c r="F1004" s="119"/>
      <c r="G1004" s="119"/>
      <c r="H1004" s="180"/>
      <c r="J1004" s="181"/>
      <c r="K1004" s="181"/>
      <c r="L1004" s="181"/>
      <c r="M1004" s="181"/>
      <c r="N1004" s="181"/>
      <c r="O1004" s="181"/>
      <c r="P1004" s="181"/>
      <c r="Q1004" s="181"/>
      <c r="V1004" s="182"/>
      <c r="W1004" s="182"/>
      <c r="AH1004" s="43"/>
    </row>
    <row r="1005" spans="6:34" s="179" customFormat="1" x14ac:dyDescent="0.25">
      <c r="F1005" s="119"/>
      <c r="G1005" s="119"/>
      <c r="H1005" s="180"/>
      <c r="J1005" s="181"/>
      <c r="K1005" s="181"/>
      <c r="L1005" s="181"/>
      <c r="M1005" s="181"/>
      <c r="N1005" s="181"/>
      <c r="O1005" s="181"/>
      <c r="P1005" s="181"/>
      <c r="Q1005" s="181"/>
      <c r="V1005" s="182"/>
      <c r="W1005" s="182"/>
      <c r="AH1005" s="43"/>
    </row>
    <row r="1006" spans="6:34" s="179" customFormat="1" x14ac:dyDescent="0.25">
      <c r="F1006" s="119"/>
      <c r="G1006" s="119"/>
      <c r="H1006" s="180"/>
      <c r="J1006" s="181"/>
      <c r="K1006" s="181"/>
      <c r="L1006" s="181"/>
      <c r="M1006" s="181"/>
      <c r="N1006" s="181"/>
      <c r="O1006" s="181"/>
      <c r="P1006" s="181"/>
      <c r="Q1006" s="181"/>
      <c r="V1006" s="182"/>
      <c r="W1006" s="182"/>
      <c r="AH1006" s="43"/>
    </row>
    <row r="1007" spans="6:34" s="179" customFormat="1" x14ac:dyDescent="0.25">
      <c r="F1007" s="119"/>
      <c r="G1007" s="119"/>
      <c r="H1007" s="180"/>
      <c r="J1007" s="181"/>
      <c r="K1007" s="181"/>
      <c r="L1007" s="181"/>
      <c r="M1007" s="181"/>
      <c r="N1007" s="181"/>
      <c r="O1007" s="181"/>
      <c r="P1007" s="181"/>
      <c r="Q1007" s="181"/>
      <c r="V1007" s="182"/>
      <c r="W1007" s="182"/>
      <c r="AH1007" s="43"/>
    </row>
    <row r="1008" spans="6:34" s="179" customFormat="1" x14ac:dyDescent="0.25">
      <c r="F1008" s="119"/>
      <c r="G1008" s="119"/>
      <c r="H1008" s="180"/>
      <c r="J1008" s="181"/>
      <c r="K1008" s="181"/>
      <c r="L1008" s="181"/>
      <c r="M1008" s="181"/>
      <c r="N1008" s="181"/>
      <c r="O1008" s="181"/>
      <c r="P1008" s="181"/>
      <c r="Q1008" s="181"/>
      <c r="V1008" s="182"/>
      <c r="W1008" s="182"/>
      <c r="AH1008" s="43"/>
    </row>
    <row r="1009" spans="6:34" s="179" customFormat="1" x14ac:dyDescent="0.25">
      <c r="F1009" s="119"/>
      <c r="G1009" s="119"/>
      <c r="H1009" s="180"/>
      <c r="J1009" s="181"/>
      <c r="K1009" s="181"/>
      <c r="L1009" s="181"/>
      <c r="M1009" s="181"/>
      <c r="N1009" s="181"/>
      <c r="O1009" s="181"/>
      <c r="P1009" s="181"/>
      <c r="Q1009" s="181"/>
      <c r="V1009" s="182"/>
      <c r="W1009" s="182"/>
      <c r="AH1009" s="43"/>
    </row>
    <row r="1010" spans="6:34" s="179" customFormat="1" x14ac:dyDescent="0.25">
      <c r="F1010" s="119"/>
      <c r="G1010" s="119"/>
      <c r="H1010" s="180"/>
      <c r="J1010" s="181"/>
      <c r="K1010" s="181"/>
      <c r="L1010" s="181"/>
      <c r="M1010" s="181"/>
      <c r="N1010" s="181"/>
      <c r="O1010" s="181"/>
      <c r="P1010" s="181"/>
      <c r="Q1010" s="181"/>
      <c r="V1010" s="182"/>
      <c r="W1010" s="182"/>
      <c r="AH1010" s="43"/>
    </row>
    <row r="1011" spans="6:34" s="179" customFormat="1" x14ac:dyDescent="0.25">
      <c r="F1011" s="119"/>
      <c r="G1011" s="119"/>
      <c r="H1011" s="180"/>
      <c r="J1011" s="181"/>
      <c r="K1011" s="181"/>
      <c r="L1011" s="181"/>
      <c r="M1011" s="181"/>
      <c r="N1011" s="181"/>
      <c r="O1011" s="181"/>
      <c r="P1011" s="181"/>
      <c r="Q1011" s="181"/>
      <c r="V1011" s="182"/>
      <c r="W1011" s="182"/>
      <c r="AH1011" s="43"/>
    </row>
    <row r="1012" spans="6:34" s="179" customFormat="1" x14ac:dyDescent="0.25">
      <c r="F1012" s="119"/>
      <c r="G1012" s="119"/>
      <c r="H1012" s="180"/>
      <c r="J1012" s="181"/>
      <c r="K1012" s="181"/>
      <c r="L1012" s="181"/>
      <c r="M1012" s="181"/>
      <c r="N1012" s="181"/>
      <c r="O1012" s="181"/>
      <c r="P1012" s="181"/>
      <c r="Q1012" s="181"/>
      <c r="V1012" s="182"/>
      <c r="W1012" s="182"/>
      <c r="AH1012" s="43"/>
    </row>
    <row r="1013" spans="6:34" s="179" customFormat="1" x14ac:dyDescent="0.25">
      <c r="F1013" s="119"/>
      <c r="G1013" s="119"/>
      <c r="H1013" s="180"/>
      <c r="J1013" s="181"/>
      <c r="K1013" s="181"/>
      <c r="L1013" s="181"/>
      <c r="M1013" s="181"/>
      <c r="N1013" s="181"/>
      <c r="O1013" s="181"/>
      <c r="P1013" s="181"/>
      <c r="Q1013" s="181"/>
      <c r="V1013" s="182"/>
      <c r="W1013" s="182"/>
      <c r="AH1013" s="43"/>
    </row>
    <row r="1014" spans="6:34" s="179" customFormat="1" x14ac:dyDescent="0.25">
      <c r="F1014" s="119"/>
      <c r="G1014" s="119"/>
      <c r="H1014" s="180"/>
      <c r="J1014" s="181"/>
      <c r="K1014" s="181"/>
      <c r="L1014" s="181"/>
      <c r="M1014" s="181"/>
      <c r="N1014" s="181"/>
      <c r="O1014" s="181"/>
      <c r="P1014" s="181"/>
      <c r="Q1014" s="181"/>
      <c r="V1014" s="182"/>
      <c r="W1014" s="182"/>
      <c r="AH1014" s="43"/>
    </row>
    <row r="1015" spans="6:34" s="179" customFormat="1" x14ac:dyDescent="0.25">
      <c r="F1015" s="119"/>
      <c r="G1015" s="119"/>
      <c r="H1015" s="180"/>
      <c r="J1015" s="181"/>
      <c r="K1015" s="181"/>
      <c r="L1015" s="181"/>
      <c r="M1015" s="181"/>
      <c r="N1015" s="181"/>
      <c r="O1015" s="181"/>
      <c r="P1015" s="181"/>
      <c r="Q1015" s="181"/>
      <c r="V1015" s="182"/>
      <c r="W1015" s="182"/>
      <c r="AH1015" s="43"/>
    </row>
    <row r="1016" spans="6:34" s="179" customFormat="1" x14ac:dyDescent="0.25">
      <c r="F1016" s="119"/>
      <c r="G1016" s="119"/>
      <c r="H1016" s="180"/>
      <c r="J1016" s="181"/>
      <c r="K1016" s="181"/>
      <c r="L1016" s="181"/>
      <c r="M1016" s="181"/>
      <c r="N1016" s="181"/>
      <c r="O1016" s="181"/>
      <c r="P1016" s="181"/>
      <c r="Q1016" s="181"/>
      <c r="V1016" s="182"/>
      <c r="W1016" s="182"/>
      <c r="AH1016" s="43"/>
    </row>
    <row r="1017" spans="6:34" s="179" customFormat="1" x14ac:dyDescent="0.25">
      <c r="F1017" s="119"/>
      <c r="G1017" s="119"/>
      <c r="H1017" s="180"/>
      <c r="J1017" s="181"/>
      <c r="K1017" s="181"/>
      <c r="L1017" s="181"/>
      <c r="M1017" s="181"/>
      <c r="N1017" s="181"/>
      <c r="O1017" s="181"/>
      <c r="P1017" s="181"/>
      <c r="Q1017" s="181"/>
      <c r="V1017" s="182"/>
      <c r="W1017" s="182"/>
      <c r="AH1017" s="43"/>
    </row>
    <row r="1018" spans="6:34" s="179" customFormat="1" x14ac:dyDescent="0.25">
      <c r="F1018" s="119"/>
      <c r="G1018" s="119"/>
      <c r="H1018" s="180"/>
      <c r="J1018" s="181"/>
      <c r="K1018" s="181"/>
      <c r="L1018" s="181"/>
      <c r="M1018" s="181"/>
      <c r="N1018" s="181"/>
      <c r="O1018" s="181"/>
      <c r="P1018" s="181"/>
      <c r="Q1018" s="181"/>
      <c r="V1018" s="182"/>
      <c r="W1018" s="182"/>
      <c r="AH1018" s="43"/>
    </row>
    <row r="1019" spans="6:34" s="179" customFormat="1" x14ac:dyDescent="0.25">
      <c r="F1019" s="119"/>
      <c r="G1019" s="119"/>
      <c r="H1019" s="180"/>
      <c r="J1019" s="181"/>
      <c r="K1019" s="181"/>
      <c r="L1019" s="181"/>
      <c r="M1019" s="181"/>
      <c r="N1019" s="181"/>
      <c r="O1019" s="181"/>
      <c r="P1019" s="181"/>
      <c r="Q1019" s="181"/>
      <c r="V1019" s="182"/>
      <c r="W1019" s="182"/>
      <c r="AH1019" s="43"/>
    </row>
    <row r="1020" spans="6:34" s="179" customFormat="1" x14ac:dyDescent="0.25">
      <c r="F1020" s="119"/>
      <c r="G1020" s="119"/>
      <c r="H1020" s="180"/>
      <c r="J1020" s="181"/>
      <c r="K1020" s="181"/>
      <c r="L1020" s="181"/>
      <c r="M1020" s="181"/>
      <c r="N1020" s="181"/>
      <c r="O1020" s="181"/>
      <c r="P1020" s="181"/>
      <c r="Q1020" s="181"/>
      <c r="V1020" s="182"/>
      <c r="W1020" s="182"/>
      <c r="AH1020" s="43"/>
    </row>
    <row r="1021" spans="6:34" s="179" customFormat="1" x14ac:dyDescent="0.25">
      <c r="F1021" s="119"/>
      <c r="G1021" s="119"/>
      <c r="H1021" s="180"/>
      <c r="J1021" s="181"/>
      <c r="K1021" s="181"/>
      <c r="L1021" s="181"/>
      <c r="M1021" s="181"/>
      <c r="N1021" s="181"/>
      <c r="O1021" s="181"/>
      <c r="P1021" s="181"/>
      <c r="Q1021" s="181"/>
      <c r="V1021" s="182"/>
      <c r="W1021" s="182"/>
      <c r="AH1021" s="43"/>
    </row>
    <row r="1022" spans="6:34" s="179" customFormat="1" x14ac:dyDescent="0.25">
      <c r="F1022" s="119"/>
      <c r="G1022" s="119"/>
      <c r="H1022" s="180"/>
      <c r="J1022" s="181"/>
      <c r="K1022" s="181"/>
      <c r="L1022" s="181"/>
      <c r="M1022" s="181"/>
      <c r="N1022" s="181"/>
      <c r="O1022" s="181"/>
      <c r="P1022" s="181"/>
      <c r="Q1022" s="181"/>
      <c r="V1022" s="182"/>
      <c r="W1022" s="182"/>
      <c r="AH1022" s="43"/>
    </row>
    <row r="1023" spans="6:34" s="179" customFormat="1" x14ac:dyDescent="0.25">
      <c r="F1023" s="119"/>
      <c r="G1023" s="119"/>
      <c r="H1023" s="180"/>
      <c r="J1023" s="181"/>
      <c r="K1023" s="181"/>
      <c r="L1023" s="181"/>
      <c r="M1023" s="181"/>
      <c r="N1023" s="181"/>
      <c r="O1023" s="181"/>
      <c r="P1023" s="181"/>
      <c r="Q1023" s="181"/>
      <c r="V1023" s="182"/>
      <c r="W1023" s="182"/>
      <c r="AH1023" s="43"/>
    </row>
    <row r="1024" spans="6:34" s="179" customFormat="1" x14ac:dyDescent="0.25">
      <c r="F1024" s="119"/>
      <c r="G1024" s="119"/>
      <c r="H1024" s="180"/>
      <c r="J1024" s="181"/>
      <c r="K1024" s="181"/>
      <c r="L1024" s="181"/>
      <c r="M1024" s="181"/>
      <c r="N1024" s="181"/>
      <c r="O1024" s="181"/>
      <c r="P1024" s="181"/>
      <c r="Q1024" s="181"/>
      <c r="V1024" s="182"/>
      <c r="W1024" s="182"/>
      <c r="AH1024" s="43"/>
    </row>
    <row r="1025" spans="6:34" s="179" customFormat="1" x14ac:dyDescent="0.25">
      <c r="F1025" s="119"/>
      <c r="G1025" s="119"/>
      <c r="H1025" s="180"/>
      <c r="J1025" s="181"/>
      <c r="K1025" s="181"/>
      <c r="L1025" s="181"/>
      <c r="M1025" s="181"/>
      <c r="N1025" s="181"/>
      <c r="O1025" s="181"/>
      <c r="P1025" s="181"/>
      <c r="Q1025" s="181"/>
      <c r="V1025" s="182"/>
      <c r="W1025" s="182"/>
      <c r="AH1025" s="43"/>
    </row>
    <row r="1026" spans="6:34" s="179" customFormat="1" x14ac:dyDescent="0.25">
      <c r="F1026" s="119"/>
      <c r="G1026" s="119"/>
      <c r="H1026" s="180"/>
      <c r="J1026" s="181"/>
      <c r="K1026" s="181"/>
      <c r="L1026" s="181"/>
      <c r="M1026" s="181"/>
      <c r="N1026" s="181"/>
      <c r="O1026" s="181"/>
      <c r="P1026" s="181"/>
      <c r="Q1026" s="181"/>
      <c r="V1026" s="182"/>
      <c r="W1026" s="182"/>
      <c r="AH1026" s="43"/>
    </row>
    <row r="1027" spans="6:34" s="179" customFormat="1" x14ac:dyDescent="0.25">
      <c r="F1027" s="119"/>
      <c r="G1027" s="119"/>
      <c r="H1027" s="180"/>
      <c r="J1027" s="181"/>
      <c r="K1027" s="181"/>
      <c r="L1027" s="181"/>
      <c r="M1027" s="181"/>
      <c r="N1027" s="181"/>
      <c r="O1027" s="181"/>
      <c r="P1027" s="181"/>
      <c r="Q1027" s="181"/>
      <c r="V1027" s="182"/>
      <c r="W1027" s="182"/>
      <c r="AH1027" s="43"/>
    </row>
    <row r="1028" spans="6:34" s="179" customFormat="1" x14ac:dyDescent="0.25">
      <c r="F1028" s="119"/>
      <c r="G1028" s="119"/>
      <c r="H1028" s="180"/>
      <c r="J1028" s="181"/>
      <c r="K1028" s="181"/>
      <c r="L1028" s="181"/>
      <c r="M1028" s="181"/>
      <c r="N1028" s="181"/>
      <c r="O1028" s="181"/>
      <c r="P1028" s="181"/>
      <c r="Q1028" s="181"/>
      <c r="V1028" s="182"/>
      <c r="W1028" s="182"/>
      <c r="AH1028" s="43"/>
    </row>
    <row r="1029" spans="6:34" s="179" customFormat="1" x14ac:dyDescent="0.25">
      <c r="F1029" s="119"/>
      <c r="G1029" s="119"/>
      <c r="H1029" s="180"/>
      <c r="J1029" s="181"/>
      <c r="K1029" s="181"/>
      <c r="L1029" s="181"/>
      <c r="M1029" s="181"/>
      <c r="N1029" s="181"/>
      <c r="O1029" s="181"/>
      <c r="P1029" s="181"/>
      <c r="Q1029" s="181"/>
      <c r="V1029" s="182"/>
      <c r="W1029" s="182"/>
      <c r="AH1029" s="43"/>
    </row>
    <row r="1030" spans="6:34" s="179" customFormat="1" x14ac:dyDescent="0.25">
      <c r="F1030" s="119"/>
      <c r="G1030" s="119"/>
      <c r="H1030" s="180"/>
      <c r="J1030" s="181"/>
      <c r="K1030" s="181"/>
      <c r="L1030" s="181"/>
      <c r="M1030" s="181"/>
      <c r="N1030" s="181"/>
      <c r="O1030" s="181"/>
      <c r="P1030" s="181"/>
      <c r="Q1030" s="181"/>
      <c r="V1030" s="182"/>
      <c r="W1030" s="182"/>
      <c r="AH1030" s="43"/>
    </row>
    <row r="1031" spans="6:34" s="179" customFormat="1" x14ac:dyDescent="0.25">
      <c r="F1031" s="119"/>
      <c r="G1031" s="119"/>
      <c r="H1031" s="180"/>
      <c r="J1031" s="181"/>
      <c r="K1031" s="181"/>
      <c r="L1031" s="181"/>
      <c r="M1031" s="181"/>
      <c r="N1031" s="181"/>
      <c r="O1031" s="181"/>
      <c r="P1031" s="181"/>
      <c r="Q1031" s="181"/>
      <c r="V1031" s="182"/>
      <c r="W1031" s="182"/>
      <c r="AH1031" s="43"/>
    </row>
    <row r="1032" spans="6:34" s="179" customFormat="1" x14ac:dyDescent="0.25">
      <c r="F1032" s="119"/>
      <c r="G1032" s="119"/>
      <c r="H1032" s="180"/>
      <c r="J1032" s="181"/>
      <c r="K1032" s="181"/>
      <c r="L1032" s="181"/>
      <c r="M1032" s="181"/>
      <c r="N1032" s="181"/>
      <c r="O1032" s="181"/>
      <c r="P1032" s="181"/>
      <c r="Q1032" s="181"/>
      <c r="V1032" s="182"/>
      <c r="W1032" s="182"/>
      <c r="AH1032" s="43"/>
    </row>
    <row r="1033" spans="6:34" s="179" customFormat="1" x14ac:dyDescent="0.25">
      <c r="F1033" s="119"/>
      <c r="G1033" s="119"/>
      <c r="H1033" s="180"/>
      <c r="J1033" s="181"/>
      <c r="K1033" s="181"/>
      <c r="L1033" s="181"/>
      <c r="M1033" s="181"/>
      <c r="N1033" s="181"/>
      <c r="O1033" s="181"/>
      <c r="P1033" s="181"/>
      <c r="Q1033" s="181"/>
      <c r="V1033" s="182"/>
      <c r="W1033" s="182"/>
      <c r="AH1033" s="43"/>
    </row>
    <row r="1034" spans="6:34" s="179" customFormat="1" x14ac:dyDescent="0.25">
      <c r="F1034" s="119"/>
      <c r="G1034" s="119"/>
      <c r="H1034" s="180"/>
      <c r="J1034" s="181"/>
      <c r="K1034" s="181"/>
      <c r="L1034" s="181"/>
      <c r="M1034" s="181"/>
      <c r="N1034" s="181"/>
      <c r="O1034" s="181"/>
      <c r="P1034" s="181"/>
      <c r="Q1034" s="181"/>
      <c r="V1034" s="182"/>
      <c r="W1034" s="182"/>
      <c r="AH1034" s="43"/>
    </row>
    <row r="1035" spans="6:34" s="179" customFormat="1" x14ac:dyDescent="0.25">
      <c r="F1035" s="119"/>
      <c r="G1035" s="119"/>
      <c r="H1035" s="180"/>
      <c r="J1035" s="181"/>
      <c r="K1035" s="181"/>
      <c r="L1035" s="181"/>
      <c r="M1035" s="181"/>
      <c r="N1035" s="181"/>
      <c r="O1035" s="181"/>
      <c r="P1035" s="181"/>
      <c r="Q1035" s="181"/>
      <c r="V1035" s="182"/>
      <c r="W1035" s="182"/>
      <c r="AH1035" s="43"/>
    </row>
    <row r="1036" spans="6:34" s="179" customFormat="1" x14ac:dyDescent="0.25">
      <c r="F1036" s="119"/>
      <c r="G1036" s="119"/>
      <c r="H1036" s="180"/>
      <c r="J1036" s="181"/>
      <c r="K1036" s="181"/>
      <c r="L1036" s="181"/>
      <c r="M1036" s="181"/>
      <c r="N1036" s="181"/>
      <c r="O1036" s="181"/>
      <c r="P1036" s="181"/>
      <c r="Q1036" s="181"/>
      <c r="V1036" s="182"/>
      <c r="W1036" s="182"/>
      <c r="AH1036" s="43"/>
    </row>
    <row r="1037" spans="6:34" s="179" customFormat="1" x14ac:dyDescent="0.25">
      <c r="F1037" s="119"/>
      <c r="G1037" s="119"/>
      <c r="H1037" s="180"/>
      <c r="J1037" s="181"/>
      <c r="K1037" s="181"/>
      <c r="L1037" s="181"/>
      <c r="M1037" s="181"/>
      <c r="N1037" s="181"/>
      <c r="O1037" s="181"/>
      <c r="P1037" s="181"/>
      <c r="Q1037" s="181"/>
      <c r="V1037" s="182"/>
      <c r="W1037" s="182"/>
      <c r="AH1037" s="43"/>
    </row>
    <row r="1038" spans="6:34" s="179" customFormat="1" x14ac:dyDescent="0.25">
      <c r="F1038" s="119"/>
      <c r="G1038" s="119"/>
      <c r="H1038" s="180"/>
      <c r="J1038" s="181"/>
      <c r="K1038" s="181"/>
      <c r="L1038" s="181"/>
      <c r="M1038" s="181"/>
      <c r="N1038" s="181"/>
      <c r="O1038" s="181"/>
      <c r="P1038" s="181"/>
      <c r="Q1038" s="181"/>
      <c r="V1038" s="182"/>
      <c r="W1038" s="182"/>
      <c r="AH1038" s="43"/>
    </row>
    <row r="1039" spans="6:34" s="179" customFormat="1" x14ac:dyDescent="0.25">
      <c r="F1039" s="119"/>
      <c r="G1039" s="119"/>
      <c r="H1039" s="180"/>
      <c r="J1039" s="181"/>
      <c r="K1039" s="181"/>
      <c r="L1039" s="181"/>
      <c r="M1039" s="181"/>
      <c r="N1039" s="181"/>
      <c r="O1039" s="181"/>
      <c r="P1039" s="181"/>
      <c r="Q1039" s="181"/>
      <c r="V1039" s="182"/>
      <c r="W1039" s="182"/>
      <c r="AH1039" s="43"/>
    </row>
    <row r="1040" spans="6:34" s="179" customFormat="1" x14ac:dyDescent="0.25">
      <c r="F1040" s="119"/>
      <c r="G1040" s="119"/>
      <c r="H1040" s="180"/>
      <c r="J1040" s="181"/>
      <c r="K1040" s="181"/>
      <c r="L1040" s="181"/>
      <c r="M1040" s="181"/>
      <c r="N1040" s="181"/>
      <c r="O1040" s="181"/>
      <c r="P1040" s="181"/>
      <c r="Q1040" s="181"/>
      <c r="V1040" s="182"/>
      <c r="W1040" s="182"/>
      <c r="AH1040" s="43"/>
    </row>
    <row r="1041" spans="6:34" s="179" customFormat="1" x14ac:dyDescent="0.25">
      <c r="F1041" s="119"/>
      <c r="G1041" s="119"/>
      <c r="H1041" s="180"/>
      <c r="J1041" s="181"/>
      <c r="K1041" s="181"/>
      <c r="L1041" s="181"/>
      <c r="M1041" s="181"/>
      <c r="N1041" s="181"/>
      <c r="O1041" s="181"/>
      <c r="P1041" s="181"/>
      <c r="Q1041" s="181"/>
      <c r="V1041" s="182"/>
      <c r="W1041" s="182"/>
      <c r="AH1041" s="43"/>
    </row>
    <row r="1042" spans="6:34" s="179" customFormat="1" x14ac:dyDescent="0.25">
      <c r="F1042" s="119"/>
      <c r="G1042" s="119"/>
      <c r="H1042" s="180"/>
      <c r="J1042" s="181"/>
      <c r="K1042" s="181"/>
      <c r="L1042" s="181"/>
      <c r="M1042" s="181"/>
      <c r="N1042" s="181"/>
      <c r="O1042" s="181"/>
      <c r="P1042" s="181"/>
      <c r="Q1042" s="181"/>
      <c r="V1042" s="182"/>
      <c r="W1042" s="182"/>
      <c r="AH1042" s="43"/>
    </row>
    <row r="1043" spans="6:34" s="179" customFormat="1" x14ac:dyDescent="0.25">
      <c r="F1043" s="119"/>
      <c r="G1043" s="119"/>
      <c r="H1043" s="180"/>
      <c r="J1043" s="181"/>
      <c r="K1043" s="181"/>
      <c r="L1043" s="181"/>
      <c r="M1043" s="181"/>
      <c r="N1043" s="181"/>
      <c r="O1043" s="181"/>
      <c r="P1043" s="181"/>
      <c r="Q1043" s="181"/>
      <c r="V1043" s="182"/>
      <c r="W1043" s="182"/>
      <c r="AH1043" s="43"/>
    </row>
    <row r="1044" spans="6:34" s="179" customFormat="1" x14ac:dyDescent="0.25">
      <c r="F1044" s="119"/>
      <c r="G1044" s="119"/>
      <c r="H1044" s="180"/>
      <c r="J1044" s="181"/>
      <c r="K1044" s="181"/>
      <c r="L1044" s="181"/>
      <c r="M1044" s="181"/>
      <c r="N1044" s="181"/>
      <c r="O1044" s="181"/>
      <c r="P1044" s="181"/>
      <c r="Q1044" s="181"/>
      <c r="V1044" s="182"/>
      <c r="W1044" s="182"/>
      <c r="AH1044" s="43"/>
    </row>
    <row r="1045" spans="6:34" s="179" customFormat="1" x14ac:dyDescent="0.25">
      <c r="F1045" s="119"/>
      <c r="G1045" s="119"/>
      <c r="H1045" s="180"/>
      <c r="J1045" s="181"/>
      <c r="K1045" s="181"/>
      <c r="L1045" s="181"/>
      <c r="M1045" s="181"/>
      <c r="N1045" s="181"/>
      <c r="O1045" s="181"/>
      <c r="P1045" s="181"/>
      <c r="Q1045" s="181"/>
      <c r="V1045" s="182"/>
      <c r="W1045" s="182"/>
      <c r="AH1045" s="43"/>
    </row>
    <row r="1046" spans="6:34" s="179" customFormat="1" x14ac:dyDescent="0.25">
      <c r="F1046" s="119"/>
      <c r="G1046" s="119"/>
      <c r="H1046" s="180"/>
      <c r="J1046" s="181"/>
      <c r="K1046" s="181"/>
      <c r="L1046" s="181"/>
      <c r="M1046" s="181"/>
      <c r="N1046" s="181"/>
      <c r="O1046" s="181"/>
      <c r="P1046" s="181"/>
      <c r="Q1046" s="181"/>
      <c r="V1046" s="182"/>
      <c r="W1046" s="182"/>
      <c r="AH1046" s="43"/>
    </row>
    <row r="1047" spans="6:34" s="179" customFormat="1" x14ac:dyDescent="0.25">
      <c r="F1047" s="119"/>
      <c r="G1047" s="119"/>
      <c r="H1047" s="180"/>
      <c r="J1047" s="181"/>
      <c r="K1047" s="181"/>
      <c r="L1047" s="181"/>
      <c r="M1047" s="181"/>
      <c r="N1047" s="181"/>
      <c r="O1047" s="181"/>
      <c r="P1047" s="181"/>
      <c r="Q1047" s="181"/>
      <c r="V1047" s="182"/>
      <c r="W1047" s="182"/>
      <c r="AH1047" s="43"/>
    </row>
    <row r="1048" spans="6:34" s="179" customFormat="1" x14ac:dyDescent="0.25">
      <c r="F1048" s="119"/>
      <c r="G1048" s="119"/>
      <c r="H1048" s="180"/>
      <c r="J1048" s="181"/>
      <c r="K1048" s="181"/>
      <c r="L1048" s="181"/>
      <c r="M1048" s="181"/>
      <c r="N1048" s="181"/>
      <c r="O1048" s="181"/>
      <c r="P1048" s="181"/>
      <c r="Q1048" s="181"/>
      <c r="V1048" s="182"/>
      <c r="W1048" s="182"/>
      <c r="AH1048" s="43"/>
    </row>
    <row r="1049" spans="6:34" s="179" customFormat="1" x14ac:dyDescent="0.25">
      <c r="F1049" s="119"/>
      <c r="G1049" s="119"/>
      <c r="H1049" s="180"/>
      <c r="J1049" s="181"/>
      <c r="K1049" s="181"/>
      <c r="L1049" s="181"/>
      <c r="M1049" s="181"/>
      <c r="N1049" s="181"/>
      <c r="O1049" s="181"/>
      <c r="P1049" s="181"/>
      <c r="Q1049" s="181"/>
      <c r="V1049" s="182"/>
      <c r="W1049" s="182"/>
      <c r="AH1049" s="43"/>
    </row>
    <row r="1050" spans="6:34" s="179" customFormat="1" x14ac:dyDescent="0.25">
      <c r="F1050" s="119"/>
      <c r="G1050" s="119"/>
      <c r="H1050" s="180"/>
      <c r="J1050" s="181"/>
      <c r="K1050" s="181"/>
      <c r="L1050" s="181"/>
      <c r="M1050" s="181"/>
      <c r="N1050" s="181"/>
      <c r="O1050" s="181"/>
      <c r="P1050" s="181"/>
      <c r="Q1050" s="181"/>
      <c r="V1050" s="182"/>
      <c r="W1050" s="182"/>
      <c r="AH1050" s="43"/>
    </row>
    <row r="1051" spans="6:34" s="179" customFormat="1" x14ac:dyDescent="0.25">
      <c r="F1051" s="119"/>
      <c r="G1051" s="119"/>
      <c r="H1051" s="180"/>
      <c r="J1051" s="181"/>
      <c r="K1051" s="181"/>
      <c r="L1051" s="181"/>
      <c r="M1051" s="181"/>
      <c r="N1051" s="181"/>
      <c r="O1051" s="181"/>
      <c r="P1051" s="181"/>
      <c r="Q1051" s="181"/>
      <c r="V1051" s="182"/>
      <c r="W1051" s="182"/>
      <c r="AH1051" s="43"/>
    </row>
    <row r="1052" spans="6:34" s="179" customFormat="1" x14ac:dyDescent="0.25">
      <c r="F1052" s="119"/>
      <c r="G1052" s="119"/>
      <c r="H1052" s="180"/>
      <c r="J1052" s="181"/>
      <c r="K1052" s="181"/>
      <c r="L1052" s="181"/>
      <c r="M1052" s="181"/>
      <c r="N1052" s="181"/>
      <c r="O1052" s="181"/>
      <c r="P1052" s="181"/>
      <c r="Q1052" s="181"/>
      <c r="V1052" s="182"/>
      <c r="W1052" s="182"/>
      <c r="AH1052" s="43"/>
    </row>
    <row r="1053" spans="6:34" s="179" customFormat="1" x14ac:dyDescent="0.25">
      <c r="F1053" s="119"/>
      <c r="G1053" s="119"/>
      <c r="H1053" s="180"/>
      <c r="J1053" s="181"/>
      <c r="K1053" s="181"/>
      <c r="L1053" s="181"/>
      <c r="M1053" s="181"/>
      <c r="N1053" s="181"/>
      <c r="O1053" s="181"/>
      <c r="P1053" s="181"/>
      <c r="Q1053" s="181"/>
      <c r="V1053" s="182"/>
      <c r="W1053" s="182"/>
      <c r="AH1053" s="43"/>
    </row>
    <row r="1054" spans="6:34" s="179" customFormat="1" x14ac:dyDescent="0.25">
      <c r="F1054" s="119"/>
      <c r="G1054" s="119"/>
      <c r="H1054" s="180"/>
      <c r="J1054" s="181"/>
      <c r="K1054" s="181"/>
      <c r="L1054" s="181"/>
      <c r="M1054" s="181"/>
      <c r="N1054" s="181"/>
      <c r="O1054" s="181"/>
      <c r="P1054" s="181"/>
      <c r="Q1054" s="181"/>
      <c r="V1054" s="182"/>
      <c r="W1054" s="182"/>
      <c r="AH1054" s="43"/>
    </row>
    <row r="1055" spans="6:34" s="179" customFormat="1" x14ac:dyDescent="0.25">
      <c r="F1055" s="119"/>
      <c r="G1055" s="119"/>
      <c r="H1055" s="180"/>
      <c r="J1055" s="181"/>
      <c r="K1055" s="181"/>
      <c r="L1055" s="181"/>
      <c r="M1055" s="181"/>
      <c r="N1055" s="181"/>
      <c r="O1055" s="181"/>
      <c r="P1055" s="181"/>
      <c r="Q1055" s="181"/>
      <c r="V1055" s="182"/>
      <c r="W1055" s="182"/>
      <c r="AH1055" s="43"/>
    </row>
    <row r="1056" spans="6:34" s="179" customFormat="1" x14ac:dyDescent="0.25">
      <c r="F1056" s="119"/>
      <c r="G1056" s="119"/>
      <c r="H1056" s="180"/>
      <c r="J1056" s="181"/>
      <c r="K1056" s="181"/>
      <c r="L1056" s="181"/>
      <c r="M1056" s="181"/>
      <c r="N1056" s="181"/>
      <c r="O1056" s="181"/>
      <c r="P1056" s="181"/>
      <c r="Q1056" s="181"/>
      <c r="V1056" s="182"/>
      <c r="W1056" s="182"/>
      <c r="AH1056" s="43"/>
    </row>
    <row r="1057" spans="6:34" s="179" customFormat="1" x14ac:dyDescent="0.25">
      <c r="F1057" s="119"/>
      <c r="G1057" s="119"/>
      <c r="H1057" s="180"/>
      <c r="J1057" s="181"/>
      <c r="K1057" s="181"/>
      <c r="L1057" s="181"/>
      <c r="M1057" s="181"/>
      <c r="N1057" s="181"/>
      <c r="O1057" s="181"/>
      <c r="P1057" s="181"/>
      <c r="Q1057" s="181"/>
      <c r="V1057" s="182"/>
      <c r="W1057" s="182"/>
      <c r="AH1057" s="43"/>
    </row>
    <row r="1058" spans="6:34" s="179" customFormat="1" x14ac:dyDescent="0.25">
      <c r="F1058" s="119"/>
      <c r="G1058" s="119"/>
      <c r="H1058" s="180"/>
      <c r="J1058" s="181"/>
      <c r="K1058" s="181"/>
      <c r="L1058" s="181"/>
      <c r="M1058" s="181"/>
      <c r="N1058" s="181"/>
      <c r="O1058" s="181"/>
      <c r="P1058" s="181"/>
      <c r="Q1058" s="181"/>
      <c r="V1058" s="182"/>
      <c r="W1058" s="182"/>
      <c r="AH1058" s="43"/>
    </row>
    <row r="1059" spans="6:34" s="179" customFormat="1" x14ac:dyDescent="0.25">
      <c r="F1059" s="119"/>
      <c r="G1059" s="119"/>
      <c r="H1059" s="180"/>
      <c r="J1059" s="181"/>
      <c r="K1059" s="181"/>
      <c r="L1059" s="181"/>
      <c r="M1059" s="181"/>
      <c r="N1059" s="181"/>
      <c r="O1059" s="181"/>
      <c r="P1059" s="181"/>
      <c r="Q1059" s="181"/>
      <c r="V1059" s="182"/>
      <c r="W1059" s="182"/>
      <c r="AH1059" s="43"/>
    </row>
    <row r="1060" spans="6:34" s="179" customFormat="1" x14ac:dyDescent="0.25">
      <c r="F1060" s="119"/>
      <c r="G1060" s="119"/>
      <c r="H1060" s="180"/>
      <c r="J1060" s="181"/>
      <c r="K1060" s="181"/>
      <c r="L1060" s="181"/>
      <c r="M1060" s="181"/>
      <c r="N1060" s="181"/>
      <c r="O1060" s="181"/>
      <c r="P1060" s="181"/>
      <c r="Q1060" s="181"/>
      <c r="V1060" s="182"/>
      <c r="W1060" s="182"/>
      <c r="AH1060" s="43"/>
    </row>
    <row r="1061" spans="6:34" s="179" customFormat="1" x14ac:dyDescent="0.25">
      <c r="F1061" s="119"/>
      <c r="G1061" s="119"/>
      <c r="H1061" s="180"/>
      <c r="J1061" s="181"/>
      <c r="K1061" s="181"/>
      <c r="L1061" s="181"/>
      <c r="M1061" s="181"/>
      <c r="N1061" s="181"/>
      <c r="O1061" s="181"/>
      <c r="P1061" s="181"/>
      <c r="Q1061" s="181"/>
      <c r="V1061" s="182"/>
      <c r="W1061" s="182"/>
      <c r="AH1061" s="43"/>
    </row>
    <row r="1062" spans="6:34" s="179" customFormat="1" x14ac:dyDescent="0.25">
      <c r="F1062" s="119"/>
      <c r="G1062" s="119"/>
      <c r="H1062" s="180"/>
      <c r="J1062" s="181"/>
      <c r="K1062" s="181"/>
      <c r="L1062" s="181"/>
      <c r="M1062" s="181"/>
      <c r="N1062" s="181"/>
      <c r="O1062" s="181"/>
      <c r="P1062" s="181"/>
      <c r="Q1062" s="181"/>
      <c r="V1062" s="182"/>
      <c r="W1062" s="182"/>
      <c r="AH1062" s="43"/>
    </row>
    <row r="1063" spans="6:34" s="179" customFormat="1" x14ac:dyDescent="0.25">
      <c r="F1063" s="119"/>
      <c r="G1063" s="119"/>
      <c r="H1063" s="180"/>
      <c r="J1063" s="181"/>
      <c r="K1063" s="181"/>
      <c r="L1063" s="181"/>
      <c r="M1063" s="181"/>
      <c r="N1063" s="181"/>
      <c r="O1063" s="181"/>
      <c r="P1063" s="181"/>
      <c r="Q1063" s="181"/>
      <c r="V1063" s="182"/>
      <c r="W1063" s="182"/>
      <c r="AH1063" s="43"/>
    </row>
    <row r="1064" spans="6:34" s="179" customFormat="1" x14ac:dyDescent="0.25">
      <c r="F1064" s="119"/>
      <c r="G1064" s="119"/>
      <c r="H1064" s="180"/>
      <c r="J1064" s="181"/>
      <c r="K1064" s="181"/>
      <c r="L1064" s="181"/>
      <c r="M1064" s="181"/>
      <c r="N1064" s="181"/>
      <c r="O1064" s="181"/>
      <c r="P1064" s="181"/>
      <c r="Q1064" s="181"/>
      <c r="V1064" s="182"/>
      <c r="W1064" s="182"/>
      <c r="AH1064" s="43"/>
    </row>
    <row r="1065" spans="6:34" s="179" customFormat="1" x14ac:dyDescent="0.25">
      <c r="F1065" s="119"/>
      <c r="G1065" s="119"/>
      <c r="H1065" s="180"/>
      <c r="J1065" s="181"/>
      <c r="K1065" s="181"/>
      <c r="L1065" s="181"/>
      <c r="M1065" s="181"/>
      <c r="N1065" s="181"/>
      <c r="O1065" s="181"/>
      <c r="P1065" s="181"/>
      <c r="Q1065" s="181"/>
      <c r="V1065" s="182"/>
      <c r="W1065" s="182"/>
      <c r="AH1065" s="43"/>
    </row>
    <row r="1066" spans="6:34" s="179" customFormat="1" x14ac:dyDescent="0.25">
      <c r="F1066" s="119"/>
      <c r="G1066" s="119"/>
      <c r="H1066" s="180"/>
      <c r="J1066" s="181"/>
      <c r="K1066" s="181"/>
      <c r="L1066" s="181"/>
      <c r="M1066" s="181"/>
      <c r="N1066" s="181"/>
      <c r="O1066" s="181"/>
      <c r="P1066" s="181"/>
      <c r="Q1066" s="181"/>
      <c r="V1066" s="182"/>
      <c r="W1066" s="182"/>
      <c r="AH1066" s="43"/>
    </row>
    <row r="1067" spans="6:34" s="179" customFormat="1" x14ac:dyDescent="0.25">
      <c r="F1067" s="119"/>
      <c r="G1067" s="119"/>
      <c r="H1067" s="180"/>
      <c r="J1067" s="181"/>
      <c r="K1067" s="181"/>
      <c r="L1067" s="181"/>
      <c r="M1067" s="181"/>
      <c r="N1067" s="181"/>
      <c r="O1067" s="181"/>
      <c r="P1067" s="181"/>
      <c r="Q1067" s="181"/>
      <c r="V1067" s="182"/>
      <c r="W1067" s="182"/>
      <c r="AH1067" s="43"/>
    </row>
    <row r="1068" spans="6:34" s="179" customFormat="1" x14ac:dyDescent="0.25">
      <c r="F1068" s="119"/>
      <c r="G1068" s="119"/>
      <c r="H1068" s="180"/>
      <c r="J1068" s="181"/>
      <c r="K1068" s="181"/>
      <c r="L1068" s="181"/>
      <c r="M1068" s="181"/>
      <c r="N1068" s="181"/>
      <c r="O1068" s="181"/>
      <c r="P1068" s="181"/>
      <c r="Q1068" s="181"/>
      <c r="V1068" s="182"/>
      <c r="W1068" s="182"/>
      <c r="AH1068" s="43"/>
    </row>
    <row r="1069" spans="6:34" s="179" customFormat="1" x14ac:dyDescent="0.25">
      <c r="F1069" s="119"/>
      <c r="G1069" s="119"/>
      <c r="H1069" s="180"/>
      <c r="J1069" s="181"/>
      <c r="K1069" s="181"/>
      <c r="L1069" s="181"/>
      <c r="M1069" s="181"/>
      <c r="N1069" s="181"/>
      <c r="O1069" s="181"/>
      <c r="P1069" s="181"/>
      <c r="Q1069" s="181"/>
      <c r="V1069" s="182"/>
      <c r="W1069" s="182"/>
      <c r="AH1069" s="43"/>
    </row>
    <row r="1070" spans="6:34" s="179" customFormat="1" x14ac:dyDescent="0.25">
      <c r="F1070" s="119"/>
      <c r="G1070" s="119"/>
      <c r="H1070" s="180"/>
      <c r="J1070" s="181"/>
      <c r="K1070" s="181"/>
      <c r="L1070" s="181"/>
      <c r="M1070" s="181"/>
      <c r="N1070" s="181"/>
      <c r="O1070" s="181"/>
      <c r="P1070" s="181"/>
      <c r="Q1070" s="181"/>
      <c r="V1070" s="182"/>
      <c r="W1070" s="182"/>
      <c r="AH1070" s="43"/>
    </row>
    <row r="1071" spans="6:34" s="179" customFormat="1" x14ac:dyDescent="0.25">
      <c r="F1071" s="119"/>
      <c r="G1071" s="119"/>
      <c r="H1071" s="180"/>
      <c r="J1071" s="181"/>
      <c r="K1071" s="181"/>
      <c r="L1071" s="181"/>
      <c r="M1071" s="181"/>
      <c r="N1071" s="181"/>
      <c r="O1071" s="181"/>
      <c r="P1071" s="181"/>
      <c r="Q1071" s="181"/>
      <c r="V1071" s="182"/>
      <c r="W1071" s="182"/>
      <c r="AH1071" s="43"/>
    </row>
    <row r="1072" spans="6:34" s="179" customFormat="1" x14ac:dyDescent="0.25">
      <c r="F1072" s="119"/>
      <c r="G1072" s="119"/>
      <c r="H1072" s="180"/>
      <c r="J1072" s="181"/>
      <c r="K1072" s="181"/>
      <c r="L1072" s="181"/>
      <c r="M1072" s="181"/>
      <c r="N1072" s="181"/>
      <c r="O1072" s="181"/>
      <c r="P1072" s="181"/>
      <c r="Q1072" s="181"/>
      <c r="V1072" s="182"/>
      <c r="W1072" s="182"/>
      <c r="AH1072" s="43"/>
    </row>
    <row r="1073" spans="6:34" s="179" customFormat="1" x14ac:dyDescent="0.25">
      <c r="F1073" s="119"/>
      <c r="G1073" s="119"/>
      <c r="H1073" s="180"/>
      <c r="J1073" s="181"/>
      <c r="K1073" s="181"/>
      <c r="L1073" s="181"/>
      <c r="M1073" s="181"/>
      <c r="N1073" s="181"/>
      <c r="O1073" s="181"/>
      <c r="P1073" s="181"/>
      <c r="Q1073" s="181"/>
      <c r="V1073" s="182"/>
      <c r="W1073" s="182"/>
      <c r="AH1073" s="43"/>
    </row>
    <row r="1074" spans="6:34" s="179" customFormat="1" x14ac:dyDescent="0.25">
      <c r="F1074" s="119"/>
      <c r="G1074" s="119"/>
      <c r="H1074" s="180"/>
      <c r="J1074" s="181"/>
      <c r="K1074" s="181"/>
      <c r="L1074" s="181"/>
      <c r="M1074" s="181"/>
      <c r="N1074" s="181"/>
      <c r="O1074" s="181"/>
      <c r="P1074" s="181"/>
      <c r="Q1074" s="181"/>
      <c r="V1074" s="182"/>
      <c r="W1074" s="182"/>
      <c r="AH1074" s="43"/>
    </row>
  </sheetData>
  <protectedRanges>
    <protectedRange sqref="H1:H2 AH680:XFD680 AH673:AJ673 AE671:AE673 S671:T673 V671:W673 Y672:Z673 AB671:AC673 Y7:Z11 V7:W11 S7:T11 AE7:AE11 B29:C29 S21:T22 V21:W22 Y21:Z22 AB21:AC22 AE21:AE22 C746:C758 W29 Z29 AB29:AC29 F750:K751 B233:C239 AE29 AE746:AE765 AH29 S328:T328 S279 V279 Y279 AE199:AE205 AH201:AH205 AB217:AC221 I208:K209 S311:T314 AE233 W208:W210 S316:T326 B71:C75 AH129:AH137 O235 M279 Y180:Z186 T208:T210 B257:C260 B138:B140 F208:F209 V217:W221 T217:T221 S207:T207 V207:W207 Y207:Z207 S233:T233 V233:W233 Y233:Z233 C273 AB180:AC186 B345:C351 C278 O180:O182 AH279:AH284 AB286:AC290 AE286:AE290 S286:T290 V316:W326 V335:Z336 P339 B415:C423 AE79:AE91 F79:F91 F672:K672 B34:C37 T675 AK671:XFD673 E673:K673 E675:K675 V675:W687 S676:T687 AE675:AE687 F676:K677 Y675:Z684 V35:W37 AB47:AC53 Y35:Z37 AB35:AC37 D680:G680 F688:G688 S688:AC688 AB690:AC692 Y316:Z326 AB312:AC314 W130 E699 Y696:Z698 V689:W698 S689:T698 AE689:AE698 C381 AB694:AC698 E696:G698 AH690:AJ691 B21:C22 D700:K702 C372 AH702:AJ702 C344 B214:B216 D709:K709 Q712 Q700:Q709 R119:T119 W119 AE279:AE284 AB279:AC284 E233:G233 R29:T29 Q680:Q698 F311 E29:G29 E455:G455 AH714:AJ714 AB129:AC134 W344:Z344 K344:K351 AK344:XFD351 C303 I47:K53 M29:P29 AE274:AE277 AH273:AH277 F120:K120 AE217:AE221 AH233 E236:K236 E180:G181 M21:M22 AE35:AE37 E12:E13 AE180:AE186 M233:P233 M292:M293 M316:Q316 P292:Q293 F6:K6 E21:G22 P21:P22 AH21:AH22 AK21:XFD22 Q455 V764:W765 AE303 AB764:AC765 E34:G37 G749 F382:G382 F746:G748 Q746:Q765 F207:K207 R129:T130 AB93:AC95 AE604 E747:E754 D705 E381:G381 E292:F293 E679:K679 D689:G689 S303:T303 Y303:Z303 E758:E765 F760:G762 R329:T329 Y217:Z221 AH72:AH75 AH163:AH165 AK180:XFD186 AK199:XFD205 AH257:AH267 AK286:XFD290 AK311:XFD314 B14:C14 M119:P119 S35:T37 F130:K130 E93:G93 I1:XFD3 C327 E767:E769 AH728:AJ730 AE302:AF302 Y746:Z765 AB746:AC746 S746:T765 V746:W762 H747:K749 E437:G438 B119:C122 AB79:AC91 AB207:AC212 AB199:AC201 P201 Z208:Z210 S199:T205 M207:M209 S257:T260 AB257:AC260 AE257:AE260 AH312 AE312:AE314 E234:F235 S234 V234 Y234 M234:N235 C335:C336 E312:G312 I311:K314 Q311 AE335:AE336 AB335:AC336 AB7:AC11 V120:W122 AB122:AC122 AB428:AC428 AH677 AK676:XFD677 AH679 AK679:XFD679 AH681:AH685 AK681:XFD685 AH688:AH689 AH695:AJ695 AH692:AH694 AH696:AH698 AH700:AH701 AH704:AJ704 AH703 AH706:AJ707 AH705 AH708:AH713 AH722:AJ722 AH715:AH721 AH723:AH727 AH731:AH732 AH752:AH753 AI750:AJ753 AK71:XFD75 AH7:AH11 AB71:AC75 E71:F73 I71:K75 B129:C134 V327:Z327 Y71:Z75 AE71:AE75 E99 AB438:AC447 E446:G446 M193:P193 AE450:AE451 B450:C451 AB345:AC361 F450:G451 R450:T451 V450:Z451 AB450:AC451 I450:K451 AH455:XFD602 B163:C165 Y311:Z314 AB177:AC178 S180:T186 I180:K186 AB292:AC295 S292:T301 AE292:AE301 E80:E83 S584:AC590 E383:G383 V188:W194 AE188:AE197 AB188:AC190 Y188:Z195 S188:T195 B62:C64 E189:K189 F195:K195 F132:G134 F257:K257 E428:E431 S236:T239 Y236:Z239 AB236:AC237 V236:W239 E65 E62:K63 AE62:AE64 AH62:AH64 AB268:AC277 S268:S272 E268 S62:T69 AB62:AC69 B6:C11 W195 AE363:AE423 AB363:AC372 B316:C326 Y14:Z14 S14:T14 AB14:AC14 AH14:AH19 E14:F14 M236:O239 F95:G95 Y604:Z604 S604:T604 E150:E151 O257:O260 M257:M260 AH604 B274:C277 AH177:AH178 AB163:AC165 C330 Q330 S330:T330 V328:W330 AE316:AE330 Y328:Z330 AB316:AC330 AB700:AC705 Y455:Z455 AE455 V455:W455 S455:T455 Q724:Q742 E730:K730 AK14:XFD19 B79:C91 AK188:XFD197 B373:C380 AH451:XFD451 S591:AB591 AK331:XFD334 B604 E352:G353 AB676:AC679 AK795:XFD808 AB39:AC45 I39:K45 E39:G39 E203:K203 M329:M330 M34:P37 AK217:XFD221 M129:N129 M372:Q372 M120:T122 M335:T335 M327:T327 AB224:AC231 AH223:AH231 E224:E225 M191:Q192 G24:G26 AE14 V71:W75 V199:W205 V286:W290 V14:W14 V62:W69 V79:W91 V604:W604 V129:W129 V131:W134 V257:W260 V180:W186 V311:W314 Y121:AC121 Y122:Z122 Y129:Z134 Y257:Z260 Y268:Z277 Y302:AC302 AH335:XFD336 AK29:XFD29 B199:C205 B180:C186 B217:C221 AK233:XFD240 B542:C602 AH316:AH320 AK316:XFD320 AK7:XFD11 AE100:AE122 I519:K520 I522:K602 AK79:XFD91 AK604:XFD604 AK223:XFD231 B188:C197 B456:C540 AK292:XFD309 AI675:XFD675 C760:C765 AH678:XFD678 E810:E821 AB239:AC239 AB374:AC381 AB681:AC686 AB455:AC455 AB729:AC729 AB731:AC744 AB749:AC758 AB760:AC762 AB97:AC98 AB100:AC120 AB192:AC197 AB203:AC203 E55:E56 V292:W309 B207:C210 E313:F314 E795:E808 AH733:AJ744 AH754:AJ766 E824:E892 E9:G9 I604:K604 G261:G267 F40:G40 O39:P40 B311:C314 F41:F45 AE207:AE212 E414:G417 F418:G423 E286:K287 F288:G290 I288:K290 M286:Q287 AH286:AH287 E294:G294 M294:Q295 Y304:AC309 C675:C698 F377:K377 E217:G219 F220:K221 G135:G137 R135:R137 AE130:AE137 F182:F186 M180:M182 M352:T353 V268:W277 M194:Q195 F354:G361 R354:T356 AE344:AE361 T357:T361 AE437:AE447 AH304:AH309 E47:G51 AH364:XFD417 F74:F75 B363:C371 F366:K366 M333:M334 AH333:AH334 M344:P351 R344:T351 H98:K98 H101:K101 V93:W98 V100:W118 AH93:AH98 AH100:AH122 S93:T98 S100:T118 Y93:Z98 B98 AE93:AE98 E771:E779 AB707:AC727 S700:T744 V700:W744 AE700:AE744 Y701:Z744 AK688:XFD744 Q715:Q720 E712:K712 C702:C744 F447:K447 E131:G131 AK163:XFD178 E177:G177 E273:G275 E279:G279 E280:I280 E302:G302 E304:G304 E328:F328 E363:G365 E706:K707 E681:K682 D692:K692 E690:G691 O78:O79 E329:G330 E163:G165 E344:I345 F349:G351 G38 E11:G11 E10:F10 I14:K14 E94:F94 F96 F97:G97 G214 G216 F303:K303 E738:K738 E737:F737 H737:K737 G65 G315 E317:K317 E296:G296 E295:F295 O872 G611 G631 G647 G650:G652 G662 G786 G817 G825 G828 G832 G868 E728:F729 H728:K729 O81 P93:Q93 M96:Q98 M93:M95 P95:Q95 N448 M451:O451 N452:O452 N603:O603 M604:Q604 N605:O637 N639:O639 N641:O642 N644:O647 N650:O652 N674:O675 M677:O678 M700:O717 N744:O745 M746:O748 F765:K765 F763 H763:K763 E372:G375 M373:N378 AI418:XFD423 M217:M221 O217:P221 H66 E335:G336 M338:M340 F439:G445 O245:O246 M100:Q118 S71:T75 F171:G176 F281:I281 H83:K84 AH292:AH302 F297:G301 Y292:Z301 F168:K170 F305:G309 M303:N307 M288:P290 B286:C290 Y286:Z290 F7:G8 I7:K11 I21:K22 I29:K29 I34:K37 E64:G64 I64:K64 I79:K82 I85:K91 I93:K97 I100:K100 H103:K104 I102:K102 F119:G119 I121:K122 F129:G129 I129:K129 I131:K134 F166:G167 I163:K167 O171:O175 I171:K178 E188:G188 I188:K188 E191:K191 E190:G190 I190:K190 E193:K193 E192:G192 I192:K192 F194:G194 I194:K194 E199:G202 I199:K202 I217:K219 I233:K235 E237:G239 I237:K239 E258:G260 I258:K260 I273:K279 F282:G284 I282:I284 I292:K302 I304:K309 E316:G316 I316:K316 E318:G321 I318:K325 I327:K330 I335:K336 E347:I347 E346:G346 I346 E348:G348 I348:I351 I352:K361 I363:K365 F376:G376 F378:G380 I414:K423 I437:K446 F671:G671 I671:K671 E678:G678 I678:K678 I680:K680 E684:K684 E683:G683 I683:K683 E686:K686 E685:G685 I685:K685 E687:G687 I687:K691 D694:K695 D693:G693 I693:K693 I696:K698 E703:G705 I703:K705 D708:G708 I708:K708 D711:K711 D710:G710 I710:K710 E714:K715 E713:G713 I713:K713 E718:K720 E716:G717 I716:K717 E726:K727 E721:G725 I721:K725 E733:K733 E731:G732 I731:K732 E736:K736 E734:G735 I734:K735 E740:K741 E739:G739 I739:K739 E743:K743 E742:G742 I742:K742 E744:G744 I744:K744 I746:K746 F753:K754 F752:G752 I752:K752 F756:K758 F755:G755 I755:K755 I760:K762 F764:G764 I764:K764 M62:P62 F322:G327 F367:G371 E121:G122 G125:G126 M63:Q63 M64:P64 M750:O752 M749 O749 O94:Q94 M450 O450 M753:M754 P164:Q165 P163 O167 M727:O732 M726 O726 O169 M679 O679 M693:O698 M692 M734:O737 M733 M130:M134 N130:N136 O129:P130 O131:T134 O135 M719:O725 M718 O718 O743 M296:M301 O296:Q296 M739:O742 M738 O297:P301 O303 O304:T304 M680:O691 M302:T302 O305:P307 O330 O329:P329 N328:N334 O338:P338 M336 O336:T336 O340:Q340 N336:N340 M755:O765 O373:P373 O374:Q375 N672:O672 O376:P378 N699 O415:Q417 O418:O423 C541 F52:G53 F204:K204 N65:N69 S592:U593 Y62:Z69 Q584:Q602 X592:AC602 S594:V602 D584:G602 E782:E793 AK750:XFD793 M455:O602 I455:K513 D456:G486 B292:C302 C352:C361 AI363:XFD363 B382:C396 AK129:XFD137 F276:G278 G98:G118 Y100:Z120 AB383:AC416 C397:C414 AE163:AE178 Y163:Z178 V163:W178 S163:T178 C166:C176 F384:G413 B437:C447 S363:T423 V363:W423 Y363:Z423 M251:O251 I367:K376 F178:G178 M177:Q178 B177:C178 P24:P26 F205:G205 I205:K205 Y199:Z205 AC204:AC205 O202:P205 M199:M205 AK207:XFD212 M47:P53 B47:C53 I378:K412 M196:P197 AH321:XFD330 AH191:AH197 C455 C671:C673 I105:K119 O363:P371 M363:M371 V437:Z447 M437:T447 M308:P309 B304:C309 AE304:AF309 R305:T309 O84:O90 N30:N33 P30:P33 B39:C45 M415:N423 M163:M176 B93:C97 M39:M44 P41:P44 O282:O284 B279:C284 P341:P343 M341:N343 B100:B118 N137:O137 AK93:XFD122 M379:Q414 M354:O361 V345:Z361 R357:R361 B328:C329 S79:T91 Y79:Z91 M273:P277 S273:T277 AK257:XFD284 A1:G3 AK810:XFD892 AH686:XFD687 AK62:XFD69 AH352:XFD361 AH746:XFD749 Q456:AC583 AH437:XFD447 AK34:XFD53 AI450:XFD450 F487:G513 I326:J326 I413:J413 H514:K514 H518:K518 I515:K517 H521:K521 A893:XFD895 AE688:AF688 AE129:AF129 AE456:AF602 A897:XFD1048576 A896:Y896 AB896:XFD896" name="maria" securityDescriptor="O:WDG:WDD:(A;;CC;;;S-1-5-21-3048853270-2157241324-869001692-3245)(A;;CC;;;S-1-5-21-3048853270-2157241324-869001692-1007)"/>
    <protectedRange sqref="R4:AH4 AA5:AA11 R12:T13 AA14 AB5:AC5 AH70 AH313:AH314 AE12:AE13 AH12:AH13 V12:W13 Y12:AC13 AG5:AG224 AG226:AG892 AD5:AD892" name="maria_1_1_1" securityDescriptor="O:WDG:WDD:(A;;CC;;;S-1-5-21-3048853270-2157241324-869001692-3245)(A;;CC;;;S-1-5-21-3048853270-2157241324-869001692-1007)"/>
    <protectedRange sqref="P5:Q6 Q303 Q78 Q163 Q215:Q216 Q373 Q665 Q721:Q723 Q744 P7:P11 P14 Q345:Q351 P19" name="maria_1_3" securityDescriptor="O:WDG:WDD:(A;;CC;;;S-1-5-21-3048853270-2157241324-869001692-3245)(A;;CC;;;S-1-5-21-3048853270-2157241324-869001692-1007)"/>
    <protectedRange sqref="R5:R11 R14 AF5:AF14 U5:U14 X5:X14 U604 X604 X418:X423 U418:U423 AF20:AF53 U20:U98 U268:U326 X268:X326 X20:X98 X100:X125 U100:U125 U129:U260 X129:X260" name="maria_1_1_2" securityDescriptor="O:WDG:WDD:(A;;CC;;;S-1-5-21-3048853270-2157241324-869001692-3245)(A;;CC;;;S-1-5-21-3048853270-2157241324-869001692-1007)"/>
    <protectedRange sqref="AK20:XFD20 AE20 S20:T20 V20:W20 Y20:AA20 I20:K20 AA21:AA22 I23:K23 B23:C23 N21:O22 E6 E20:G20 AK23:XFD23 AE23 S23:T23 V23:W23 Y23:AA23 M23:O26 E23:G23 M20:O20 B20:C20" name="maria_4" securityDescriptor="O:WDG:WDD:(A;;CC;;;S-1-5-21-3048853270-2157241324-869001692-3245)(A;;CC;;;S-1-5-21-3048853270-2157241324-869001692-1007)"/>
    <protectedRange sqref="P20:Q20 Q21:Q22 P23:Q23 Q29:Q31 Q7:Q11 Q34:Q37 Q14 Q376 Q333:Q334 Q220:Q221 Q297:Q301 Q24:Q26 Q47:Q53 Q305:Q309 Q39:Q44" name="maria_1_4" securityDescriptor="O:WDG:WDD:(A;;CC;;;S-1-5-21-3048853270-2157241324-869001692-3245)(A;;CC;;;S-1-5-21-3048853270-2157241324-869001692-1007)"/>
    <protectedRange sqref="AH20 R20:R23 AH23" name="maria_1_1_3" securityDescriptor="O:WDG:WDD:(A;;CC;;;S-1-5-21-3048853270-2157241324-869001692-3245)(A;;CC;;;S-1-5-21-3048853270-2157241324-869001692-1007)"/>
    <protectedRange sqref="E27 T28 AK28:XFD28 D446:D447 M28:O28 AB28:AC28 Y28:Z28 V28:W28 B27 AE28 AE123:AE125 S123:T125 V123:W125 Y123:Z125 AB124:AC125 AH123:AH128 AK123:XFD128 E123:G124 M123:O125 E125:F125 D604 O128 D195 D7:E8 D22 B28:G28 D35 D63 D79 D94:D95 D119:D120 D129:D130 D163 D180 D189 D191 D199 D207:D208 D216 D233:D234 D257:D258 D286 D293 D311 D317 D327 D344 D352 D374 D382:E382 D415 D427 D437 D620 D635 D644:D647 D737 D770 I123:K125 D449 D453:D455 D687 D690:D691 D703:D704 D706:D707 D714 D729:D730 D734 D742 D759:D760 D781 G27 I28:K28 B123:C125" name="maria_5" securityDescriptor="O:WDG:WDD:(A;;CC;;;S-1-5-21-3048853270-2157241324-869001692-3245)(A;;CC;;;S-1-5-21-3048853270-2157241324-869001692-1007)"/>
    <protectedRange sqref="P28:Q28 P123:Q125" name="maria_1_5" securityDescriptor="O:WDG:WDD:(A;;CC;;;S-1-5-21-3048853270-2157241324-869001692-3245)(A;;CC;;;S-1-5-21-3048853270-2157241324-869001692-1007)"/>
    <protectedRange sqref="AA39:AA45 F27 AA28:AA29 R28:S28 V29 Y29 AH27 I27:K27 AA35:AA37 R35:R37 S47:S53 V47:V53 Y47:Y53 S39:S45 V39:V45 Y39:Y45 M27:T27 R123:R125 AA123:AA125 AF123:AF125 AE27 V27:W27 Y27:AA27 AK27:XFD27 AA47:AA53 C27" name="maria_1_1_4" securityDescriptor="O:WDG:WDD:(A;;CC;;;S-1-5-21-3048853270-2157241324-869001692-3245)(A;;CC;;;S-1-5-21-3048853270-2157241324-869001692-1007)"/>
    <protectedRange sqref="AK54:XFD61 B46:C46 H75 N57:N61 E46:G46 E54:G54 M46:O46 F55:G56 G57:G61 H422 I46:K46 I54:K56 M54:N56 B54:C56" name="maria_6" securityDescriptor="O:WDG:WDD:(A;;CC;;;S-1-5-21-3048853270-2157241324-869001692-3245)(A;;CC;;;S-1-5-21-3048853270-2157241324-869001692-1007)"/>
    <protectedRange sqref="P46:Q46 Q62 Q64 P54:Q56" name="maria_1_6" securityDescriptor="O:WDG:WDD:(A;;CC;;;S-1-5-21-3048853270-2157241324-869001692-3245)(A;;CC;;;S-1-5-21-3048853270-2157241324-869001692-1007)"/>
    <protectedRange sqref="Z47:Z53 R34:T34 R46:T46 AH28 AH34:AH37 W47:W53 T47:T53 Z39:Z45 W39:W45 T39:T45 AE34 AE39:AE53 V34:W34 V46:W46 V54:W56 Y34:AC34 Y46:AA46 Y54:AA55 R54:T56 Y56:AC56 AH46:AH61 AF63:AF69 R63:R69 AA63:AA69 R47:R53 R39:R45 AA57:AC61 R57:R61 AE54:AF61" name="maria_1_1_5" securityDescriptor="O:WDG:WDD:(A;;CC;;;S-1-5-21-3048853270-2157241324-869001692-3245)(A;;CC;;;S-1-5-21-3048853270-2157241324-869001692-1007)"/>
    <protectedRange sqref="AK76:XFD76 M91:O91 E76:G76 M76:O76 O77 O80 O82:O83 I76:K76 N749 N77:N90 B76:C76" name="maria_8" securityDescriptor="O:WDG:WDD:(A;;CC;;;S-1-5-21-3048853270-2157241324-869001692-3245)(A;;CC;;;S-1-5-21-3048853270-2157241324-869001692-1007)"/>
    <protectedRange sqref="P76:Q76 P91:Q91" name="maria_1_8" securityDescriptor="O:WDG:WDD:(A;;CC;;;S-1-5-21-3048853270-2157241324-869001692-3245)(A;;CC;;;S-1-5-21-3048853270-2157241324-869001692-1007)"/>
    <protectedRange sqref="R76:T76 V76:W76 AB76:AC76 AH76 AF303 AF746:AF765 AF450:AF451 AF232:AF239 AF255:AF260 AF455 Y76:Z76 AF795:AF808 AF329:AF336 AF603:AF687 AF767:AF780 AF689:AF744 AF783:AF793 AF130:AF222 AF310:AF327 AF344:AF447 AF268:AF301 AF810:AF892 AF77:AF122 AE76:AF76" name="maria_1_1_7" securityDescriptor="O:WDG:WDD:(A;;CC;;;S-1-5-21-3048853270-2157241324-869001692-3245)(A;;CC;;;S-1-5-21-3048853270-2157241324-869001692-1007)"/>
    <protectedRange sqref="AE77:AE78 S77:T78 V77:W78 Y77:Z78 AB77:AC78 M77:M90 E77:G78 AH77:AH91 AK77:XFD78 G79:G91 I77:K78 B77:C78" name="maria_9" securityDescriptor="O:WDG:WDD:(A;;CC;;;S-1-5-21-3048853270-2157241324-869001692-3245)(A;;CC;;;S-1-5-21-3048853270-2157241324-869001692-1007)"/>
    <protectedRange sqref="P77:Q77 P78:P90" name="maria_1_9" securityDescriptor="O:WDG:WDD:(A;;CC;;;S-1-5-21-3048853270-2157241324-869001692-3245)(A;;CC;;;S-1-5-21-3048853270-2157241324-869001692-1007)"/>
    <protectedRange sqref="R77:R91" name="maria_1_1_8" securityDescriptor="O:WDG:WDD:(A;;CC;;;S-1-5-21-3048853270-2157241324-869001692-3245)(A;;CC;;;S-1-5-21-3048853270-2157241324-869001692-1007)"/>
    <protectedRange sqref="AH92 AE92 S92:T92 V92:W92 Y92:Z92 N753:O754 AB92:AC92 E92:G92 AK92:XFD92 G94 G96 M92:O92 O95 I92:K92 N93:O93 N94:N95 N450 N772:O772 B92:C92" name="maria_10" securityDescriptor="O:WDG:WDD:(A;;CC;;;S-1-5-21-3048853270-2157241324-869001692-3245)(A;;CC;;;S-1-5-21-3048853270-2157241324-869001692-1007)"/>
    <protectedRange sqref="P92:Q92 Q79:Q83" name="maria_1_10" securityDescriptor="O:WDG:WDD:(A;;CC;;;S-1-5-21-3048853270-2157241324-869001692-3245)(A;;CC;;;S-1-5-21-3048853270-2157241324-869001692-1007)"/>
    <protectedRange sqref="R92:R98 R100:R118" name="maria_1_1_9" securityDescriptor="O:WDG:WDD:(A;;CC;;;S-1-5-21-3048853270-2157241324-869001692-3245)(A;;CC;;;S-1-5-21-3048853270-2157241324-869001692-1007)"/>
    <protectedRange sqref="AE138:AE144 S138:T140 V138:W140 Y138:Z140 AH138:AH144 AB138:AC144 AK138:XFD144 E138:K138 I139:K140 M138:O140 F139:G140 G141:G144 O142:O144 C138:C140" name="maria_11" securityDescriptor="O:WDG:WDD:(A;;CC;;;S-1-5-21-3048853270-2157241324-869001692-3245)(A;;CC;;;S-1-5-21-3048853270-2157241324-869001692-1007)"/>
    <protectedRange sqref="Q119 Q129:Q130 Q207:Q209 P138:Q140" name="maria_1_11" securityDescriptor="O:WDG:WDD:(A;;CC;;;S-1-5-21-3048853270-2157241324-869001692-3245)(A;;CC;;;S-1-5-21-3048853270-2157241324-869001692-1007)"/>
    <protectedRange sqref="R138:R161" name="maria_1_1_10" securityDescriptor="O:WDG:WDD:(A;;CC;;;S-1-5-21-3048853270-2157241324-869001692-3245)(A;;CC;;;S-1-5-21-3048853270-2157241324-869001692-1007)"/>
    <protectedRange sqref="I145:K145 V145:W145 AH145 S145:T145 Y145:Z145 AE145 AK145:XFD145 E145:G145 M145:Q145 B145:C145" name="maria_12" securityDescriptor="O:WDG:WDD:(A;;CC;;;S-1-5-21-3048853270-2157241324-869001692-3245)(A;;CC;;;S-1-5-21-3048853270-2157241324-869001692-1007)"/>
    <protectedRange sqref="AH146 AE146 S146:T146 V146:W146 Y146:Z146 I146:K146 M146:O146 E146:G146 AK146:XFD146 O147 O149:O150 O156:O157 B146:C146" name="maria_13" securityDescriptor="O:WDG:WDD:(A;;CC;;;S-1-5-21-3048853270-2157241324-869001692-3245)(A;;CC;;;S-1-5-21-3048853270-2157241324-869001692-1007)"/>
    <protectedRange sqref="P146:Q146" name="maria_1_12" securityDescriptor="O:WDG:WDD:(A;;CC;;;S-1-5-21-3048853270-2157241324-869001692-3245)(A;;CC;;;S-1-5-21-3048853270-2157241324-869001692-1007)"/>
    <protectedRange sqref="S147:T161 V147:W161 Y147:Z161 AB147:AC161 E132:E134 M158:O161 AH147:AH150 E194:E195 E147:G149 E139:E140 AK147:XFD161 AE147:AE161 M148:O148 M147:N147 M151:O155 M149:N150 M156:N157 I147:K155 F150:G155 G156:G161 B147:C155" name="maria_14" securityDescriptor="O:WDG:WDD:(A;;CC;;;S-1-5-21-3048853270-2157241324-869001692-3245)(A;;CC;;;S-1-5-21-3048853270-2157241324-869001692-1007)"/>
    <protectedRange sqref="P147:Q151 P158:Q158" name="maria_1_13" securityDescriptor="O:WDG:WDD:(A;;CC;;;S-1-5-21-3048853270-2157241324-869001692-3245)(A;;CC;;;S-1-5-21-3048853270-2157241324-869001692-1007)"/>
    <protectedRange sqref="AE162 S162:T162 V162:W162 Y162:Z162 O176 AB162:AC162 E162:G162 AK162:XFD162 M162:O162 AH151:AH162 I162:K162 N726 N872 O163:O166 O168 O170 N163:N176 B162:C162" name="maria_15" securityDescriptor="O:WDG:WDD:(A;;CC;;;S-1-5-21-3048853270-2157241324-869001692-3245)(A;;CC;;;S-1-5-21-3048853270-2157241324-869001692-1007)"/>
    <protectedRange sqref="P162:Q162" name="maria_1_14" securityDescriptor="O:WDG:WDD:(A;;CC;;;S-1-5-21-3048853270-2157241324-869001692-3245)(A;;CC;;;S-1-5-21-3048853270-2157241324-869001692-1007)"/>
    <protectedRange sqref="R162:R165 R177:R178" name="maria_1_1_13" securityDescriptor="O:WDG:WDD:(A;;CC;;;S-1-5-21-3048853270-2157241324-869001692-3245)(A;;CC;;;S-1-5-21-3048853270-2157241324-869001692-1007)"/>
    <protectedRange sqref="AE179 M183:R186 V179:W179 E179:G179 K291 K424 AK179:XFD179 AH179:AH180 M179:T179 Y179:Z179 N180:N182 P180:R181 P182 R182 G182:G186 I179:K179 B179:C179" name="maria_16" securityDescriptor="O:WDG:WDD:(A;;CC;;;S-1-5-21-3048853270-2157241324-869001692-3245)(A;;CC;;;S-1-5-21-3048853270-2157241324-869001692-1007)"/>
    <protectedRange sqref="V198:W198 AE198 O199:R200 AH198:AH200 O201 E198:G198 K608 M198:T198 Y198:Z198 AK198:XFD198 I198:K198 N638 N679 N780 Q201:R205 N199:N205 B198:C198" name="maria_17" securityDescriptor="O:WDG:WDD:(A;;CC;;;S-1-5-21-3048853270-2157241324-869001692-3245)(A;;CC;;;S-1-5-21-3048853270-2157241324-869001692-1007)"/>
    <protectedRange sqref="AK187:XFD187 I187:K187 E187:G187 M187:O190 B187:C187" name="maria_18" securityDescriptor="O:WDG:WDD:(A;;CC;;;S-1-5-21-3048853270-2157241324-869001692-3245)(A;;CC;;;S-1-5-21-3048853270-2157241324-869001692-1007)"/>
    <protectedRange sqref="P187:Q190" name="maria_1_16" securityDescriptor="O:WDG:WDD:(A;;CC;;;S-1-5-21-3048853270-2157241324-869001692-3245)(A;;CC;;;S-1-5-21-3048853270-2157241324-869001692-1007)"/>
    <protectedRange sqref="R187:T187 V187:W187 AE187 AH187:AH190 Y187:Z187 R188:R197" name="maria_1_1_14" securityDescriptor="O:WDG:WDD:(A;;CC;;;S-1-5-21-3048853270-2157241324-869001692-3245)(A;;CC;;;S-1-5-21-3048853270-2157241324-869001692-1007)"/>
    <protectedRange sqref="AH213 AE213 S213:T213 V213:W213 Y213:Z213 I213:K213 N214:O216 E213:G213 AK213:XFD213 M213:O213 N217:N221 C213" name="maria_19" securityDescriptor="O:WDG:WDD:(A;;CC;;;S-1-5-21-3048853270-2157241324-869001692-3245)(A;;CC;;;S-1-5-21-3048853270-2157241324-869001692-1007)"/>
    <protectedRange sqref="P213:Q213" name="maria_1_17" securityDescriptor="O:WDG:WDD:(A;;CC;;;S-1-5-21-3048853270-2157241324-869001692-3245)(A;;CC;;;S-1-5-21-3048853270-2157241324-869001692-1007)"/>
    <protectedRange sqref="S217:S221 R213:R221" name="maria_1_1_15" securityDescriptor="O:WDG:WDD:(A;;CC;;;S-1-5-21-3048853270-2157241324-869001692-3245)(A;;CC;;;S-1-5-21-3048853270-2157241324-869001692-1007)"/>
    <protectedRange sqref="AE206 S206:T206 V206:W206 Y206:Z206 N207:O212 B213 E206:G206 M206:O206 AK206:XFD206 G208:G210 AH418:AH423 AH206:AH212 AH288:AH290 I206:K206 B206:C206" name="maria_20" securityDescriptor="O:WDG:WDD:(A;;CC;;;S-1-5-21-3048853270-2157241324-869001692-3245)(A;;CC;;;S-1-5-21-3048853270-2157241324-869001692-1007)"/>
    <protectedRange sqref="P206:Q206 P207:P209" name="maria_1_18" securityDescriptor="O:WDG:WDD:(A;;CC;;;S-1-5-21-3048853270-2157241324-869001692-3245)(A;;CC;;;S-1-5-21-3048853270-2157241324-869001692-1007)"/>
    <protectedRange sqref="Y208:Y210 S208:S210 R206:R212" name="maria_1_1_16" securityDescriptor="O:WDG:WDD:(A;;CC;;;S-1-5-21-3048853270-2157241324-869001692-3245)(A;;CC;;;S-1-5-21-3048853270-2157241324-869001692-1007)"/>
    <protectedRange sqref="AK232:XFD232 I232:K232 B273 B278 B285 B255:B256 E232:G232 G234:G235 O234 M232:O232 B232:C232" name="maria_21" securityDescriptor="O:WDG:WDD:(A;;CC;;;S-1-5-21-3048853270-2157241324-869001692-3245)(A;;CC;;;S-1-5-21-3048853270-2157241324-869001692-1007)"/>
    <protectedRange sqref="P232:Q232 P234:P239 P251 P224:P231" name="maria_1_19" securityDescriptor="O:WDG:WDD:(A;;CC;;;S-1-5-21-3048853270-2157241324-869001692-3245)(A;;CC;;;S-1-5-21-3048853270-2157241324-869001692-1007)"/>
    <protectedRange sqref="R232:T232 V232:W232 AE232 AH232 W234 R233:R234 T234 Z234 R235:T235 V235:W235 AB235:AC235 AH234:AH239 R236:R239 AE234:AE239 Y232:Z232 Y235:Z235" name="maria_1_1_17" securityDescriptor="O:WDG:WDD:(A;;CC;;;S-1-5-21-3048853270-2157241324-869001692-3245)(A;;CC;;;S-1-5-21-3048853270-2157241324-869001692-1007)"/>
    <protectedRange sqref="AK222:XFD222 I222:K222 O222 E222:G222 M222 B222:C222" name="maria_22" securityDescriptor="O:WDG:WDD:(A;;CC;;;S-1-5-21-3048853270-2157241324-869001692-3245)(A;;CC;;;S-1-5-21-3048853270-2157241324-869001692-1007)"/>
    <protectedRange sqref="P222:Q222" name="maria_1_20" securityDescriptor="O:WDG:WDD:(A;;CC;;;S-1-5-21-3048853270-2157241324-869001692-3245)(A;;CC;;;S-1-5-21-3048853270-2157241324-869001692-1007)"/>
    <protectedRange sqref="R222:T222 V222:W222 AH222 Y222:Z222 R223:R231 AE222:AE231" name="maria_1_1_18" securityDescriptor="O:WDG:WDD:(A;;CC;;;S-1-5-21-3048853270-2157241324-869001692-3245)(A;;CC;;;S-1-5-21-3048853270-2157241324-869001692-1007)"/>
    <protectedRange sqref="AE255:AE256 T255:T256 V255:W256 Y255:Z256 AB256:AC256 E257 N256:N267 E255:G256 AH255:AH256 AK255:XFD256 M255:O255 I255:K256 M256 O256 C255:C256" name="maria_23" securityDescriptor="O:WDG:WDD:(A;;CC;;;S-1-5-21-3048853270-2157241324-869001692-3245)(A;;CC;;;S-1-5-21-3048853270-2157241324-869001692-1007)"/>
    <protectedRange sqref="Q268 P255:Q260 Q65:Q69" name="maria_1_21" securityDescriptor="O:WDG:WDD:(A;;CC;;;S-1-5-21-3048853270-2157241324-869001692-3245)(A;;CC;;;S-1-5-21-3048853270-2157241324-869001692-1007)"/>
    <protectedRange sqref="R255:S256 R257:R260 R268:R277 R279:R284" name="maria_1_1_19" securityDescriptor="O:WDG:WDD:(A;;CC;;;S-1-5-21-3048853270-2157241324-869001692-3245)(A;;CC;;;S-1-5-21-3048853270-2157241324-869001692-1007)"/>
    <protectedRange sqref="AH285 AE285 S285:T285 V285:W285 Y285:Z285 N743 N279:N284 AH278 AE278 S278:T278 V278:W278 Y278:Z278 M278:O278 AB278:AC278 AE273 Z279 E278 E285:G285 O279 T279 W279 M285:O285 AK285:XFD285 H290 I285:K285 N718 C285" name="maria_24" securityDescriptor="O:WDG:WDD:(A;;CC;;;S-1-5-21-3048853270-2157241324-869001692-3245)(A;;CC;;;S-1-5-21-3048853270-2157241324-869001692-1007)"/>
    <protectedRange sqref="P285:Q285 P278:Q279 Q273:Q277" name="maria_1_22" securityDescriptor="O:WDG:WDD:(A;;CC;;;S-1-5-21-3048853270-2157241324-869001692-3245)(A;;CC;;;S-1-5-21-3048853270-2157241324-869001692-1007)"/>
    <protectedRange sqref="R278 R294:R301 R285:R290" name="maria_1_1_20" securityDescriptor="O:WDG:WDD:(A;;CC;;;S-1-5-21-3048853270-2157241324-869001692-3245)(A;;CC;;;S-1-5-21-3048853270-2157241324-869001692-1007)"/>
    <protectedRange sqref="S310:T310 V310:W310 Y310:Z310 G313 B315 B327 B344 B352:B362 B372 B414 B381 G311 E311 AE310:AE311 AH310:AH311 E310:G310 E327 B335:B336 AK310:XFD310 G314:H314 M310:O314 I310:K310 B310:C310" name="maria_25" securityDescriptor="O:WDG:WDD:(A;;CC;;;S-1-5-21-3048853270-2157241324-869001692-3245)(A;;CC;;;S-1-5-21-3048853270-2157241324-869001692-1007)"/>
    <protectedRange sqref="P310:Q310 P311:P312 Q312 P313:Q314" name="maria_1_23" securityDescriptor="O:WDG:WDD:(A;;CC;;;S-1-5-21-3048853270-2157241324-869001692-3245)(A;;CC;;;S-1-5-21-3048853270-2157241324-869001692-1007)"/>
    <protectedRange sqref="R310:R314" name="maria_1_1_21" securityDescriptor="O:WDG:WDD:(A;;CC;;;S-1-5-21-3048853270-2157241324-869001692-3245)(A;;CC;;;S-1-5-21-3048853270-2157241324-869001692-1007)"/>
    <protectedRange sqref="AE70 S70:T70 V70:W70 Y70:AA70 AA62 E70:K70 G328 M328 AA122 AK70:XFD70 O328 AA450:AA451 Q328:Q329 AA335:AA336 AA255:AA257 AH71 AA129:AA165 AA273:AA301 AA603:AA612 G71:G75 AA310:AA329 Q70:Q75 AA71:AA98 M70:O75 AA177:AA239 AA344:AA447 AA100:AA120 B70:C70" name="maria_26" securityDescriptor="O:WDG:WDD:(A;;CC;;;S-1-5-21-3048853270-2157241324-869001692-3245)(A;;CC;;;S-1-5-21-3048853270-2157241324-869001692-1007)"/>
    <protectedRange sqref="P328 P70:P75" name="maria_1_24" securityDescriptor="O:WDG:WDD:(A;;CC;;;S-1-5-21-3048853270-2157241324-869001692-3245)(A;;CC;;;S-1-5-21-3048853270-2157241324-869001692-1007)"/>
    <protectedRange sqref="V208:V210 U327:U329 V119 R62 AF62 V344 V130 U450:U451 R328 AF328 X328:X329 U335:U336 AF70:AF75 R70:R75 U344:U417 U424:U447" name="maria_1_1_22" securityDescriptor="O:WDG:WDD:(A;;CC;;;S-1-5-21-3048853270-2157241324-869001692-3245)(A;;CC;;;S-1-5-21-3048853270-2157241324-869001692-1007)"/>
    <protectedRange sqref="R425:R436 V424:Z424 AE424 AH424 M424:T424 AK424:XFD424 E166 E424:G424 I424:J424 X425:X436 B424:C424" name="maria_28" securityDescriptor="O:WDG:WDD:(A;;CC;;;S-1-5-21-3048853270-2157241324-869001692-3245)(A;;CC;;;S-1-5-21-3048853270-2157241324-869001692-1007)"/>
    <protectedRange sqref="AE425:AE436 S425:T436 V425:W436 E79 E129:E130 E425:G427 AB429:AC429 AH425:AH426 AK425:XFD426 E207:E209 E223 AB431:AC436 E604 E115:E120 E95:E98 Y425:Z436 F428:G433 I425:K433 E276 E100:E108 E113 F434:K436 M425:O436 B425:C436 AH427:XFD436" name="maria_29" securityDescriptor="O:WDG:WDD:(A;;CC;;;S-1-5-21-3048853270-2157241324-869001692-3245)(A;;CC;;;S-1-5-21-3048853270-2157241324-869001692-1007)"/>
    <protectedRange sqref="Q217:Q219 P425:Q431 Q233:Q239 Q224:Q225 Q228 Q251 Q230 P432:P436" name="maria_1_25" securityDescriptor="O:WDG:WDD:(A;;CC;;;S-1-5-21-3048853270-2157241324-869001692-3245)(A;;CC;;;S-1-5-21-3048853270-2157241324-869001692-1007)"/>
    <protectedRange sqref="AH362 AE362 S362:T362 V362:W362 Y362:Z362 N363:N371 E362:G362 AK362:XFD362 J344:J351 M362:O362 AH344:AJ351 I362:K362 C362" name="maria_30" securityDescriptor="O:WDG:WDD:(A;;CC;;;S-1-5-21-3048853270-2157241324-869001692-3245)(A;;CC;;;S-1-5-21-3048853270-2157241324-869001692-1007)"/>
    <protectedRange sqref="P362:Q362 Q344 Q363:Q371" name="maria_1_26" securityDescriptor="O:WDG:WDD:(A;;CC;;;S-1-5-21-3048853270-2157241324-869001692-3245)(A;;CC;;;S-1-5-21-3048853270-2157241324-869001692-1007)"/>
    <protectedRange sqref="R372:R413 X362:X417" name="maria_1_1_24" securityDescriptor="O:WDG:WDD:(A;;CC;;;S-1-5-21-3048853270-2157241324-869001692-3245)(A;;CC;;;S-1-5-21-3048853270-2157241324-869001692-1007)"/>
    <protectedRange sqref="AH315 AE315 S315:T315 V315:W315 Y315:Z315 M317:O326 E315:F315 AK315:XFD315 M315:O315 H315:K315 C315" name="maria_31" securityDescriptor="O:WDG:WDD:(A;;CC;;;S-1-5-21-3048853270-2157241324-869001692-3245)(A;;CC;;;S-1-5-21-3048853270-2157241324-869001692-1007)"/>
    <protectedRange sqref="P315:Q315 Q193 P317:Q321 P322:P323 P324:Q325 P326" name="maria_1_27" securityDescriptor="O:WDG:WDD:(A;;CC;;;S-1-5-21-3048853270-2157241324-869001692-3245)(A;;CC;;;S-1-5-21-3048853270-2157241324-869001692-1007)"/>
    <protectedRange sqref="R292 R315:R326" name="maria_1_1_25" securityDescriptor="O:WDG:WDD:(A;;CC;;;S-1-5-21-3048853270-2157241324-869001692-3245)(A;;CC;;;S-1-5-21-3048853270-2157241324-869001692-1007)"/>
    <protectedRange sqref="B291 E291" name="maria_32" securityDescriptor="O:WDG:WDD:(A;;CC;;;S-1-5-21-3048853270-2157241324-869001692-3245)(A;;CC;;;S-1-5-21-3048853270-2157241324-869001692-1007)"/>
    <protectedRange sqref="N738:O738 F291:G291 V291:W291 AE291 AH291 R293 N292:O293 I291:J291 M291:T291 AK291:XFD291 Y291:Z291 G292:G293 G295 N296:N301 C291" name="maria_1_28" securityDescriptor="O:WDG:WDD:(A;;CC;;;S-1-5-21-3048853270-2157241324-869001692-3245)(A;;CC;;;S-1-5-21-3048853270-2157241324-869001692-1007)"/>
    <protectedRange sqref="D648:G648 S606:T652 V622:W652 Y622:Z652 H605:K607 AB613:AC613 V605:Z621 C700:C701 AA303 B303 R303 B760:B766 AK603:XFD603 U746:U765 R746:R765 B746:B758 AA746:AA765 X746:X765 AH603 H611:K611 H608:J608 M603 X99 U99 R99 R782 X782 T268:T272 R785:AC793 AA166:AA176 R455 AA455 X455 U455 B38 AA38 R38 B330:B334 R606:R704 AA613:AA687 X622:X687 U605:U687 AA99 R794 U794 X794 AA794 Y811 AA810:AC811 Y810:Z810 R810:X811 R801:AA801 AB618:AC618 AB640:AC640 R802:AC808 S603:Z603 G785 R812:AC835 AA330:AA334 R330:R334 X330:X334 U330:U334 AE603 AE605:AE652 B605:B698 B455 AA767:AA780 R767:R780 U767:U780 X767:X780 U689:U744 X690:X744 AA689:AA744 B702:B744 R706:R744 AH363 D637:G639 E635:G635 E644:K645 G776:G778 E620:G620 D641:K641 G794 D632:G634 G787 G820 G826 G831 G837 G843 G848 G859 D636:F636 D623:G629 D621:F622 D619:F619 D605:G610 G759 G863:G864 D611:F611 D630:F631 E647:F647 D649:F652 H649 P603:Q603 P605:T605 P606:Q637 M640:Q640 M605:M639 P639:Q639 M643:Q643 M641:M642 P641:Q642 M648:Q649 M644:M647 P644:Q647 M650:M652 P650:Q652 D640:F640 D612:G618 G883 I603:K603 I609:K610 H613:K616 I612:K612 H620:K622 I617:K619 H625:K625 I623:K624 H627:K630 I626:K626 H636:K637 I631:K635 I638:K640 D642:G642 I642:K642 E646:G646 I646:K652 O638:Q638 R795:AC800 D643:K643 R166:R176 R836:R892 AA836:AC892 R783:AA784 U836:X892 B397:B413 B166:B176 B603:G603 C605:C652 AH605:XFD652" name="maria_33" securityDescriptor="O:WDG:WDD:(A;;CC;;;S-1-5-21-3048853270-2157241324-869001692-3245)(A;;CC;;;S-1-5-21-3048853270-2157241324-869001692-1007)"/>
    <protectedRange sqref="AH653 AE653 S653:T653 V653:W653 Y653:Z653 AB653:AC653 M653:O653 D718:D721 AK653:XFD653 I653:K653 C653:G653" name="maria_34" securityDescriptor="O:WDG:WDD:(A;;CC;;;S-1-5-21-3048853270-2157241324-869001692-3245)(A;;CC;;;S-1-5-21-3048853270-2157241324-869001692-1007)"/>
    <protectedRange sqref="P653:Q653" name="maria_1_29" securityDescriptor="O:WDG:WDD:(A;;CC;;;S-1-5-21-3048853270-2157241324-869001692-3245)(A;;CC;;;S-1-5-21-3048853270-2157241324-869001692-1007)"/>
    <protectedRange sqref="E38:F38 Q331:Q332 AE331:AE334 S331:T334 V331:W334 Y332:Z334 Q710:Q711 Q713:Q714 M331:M332 C38 AH331:AH332 AB166:AC176 Q38 AE38 S38:T38 V38:W38 Y38:Z38 M38:O38 AB222:AC223 Z331 AB344:AC344 AB373:AC373 AB382:AC382 AB417:AC427 AB430:AC430 AB437:AC437 AB614:AC617 AB641:AC652 AB675:AC675 AB680:AC680 AB687:AC687 AB706:AC706 AB728:AC728 AB730:AC730 AB745:AC745 AB747:AC748 AB759:AC759 AB801:AC801 AB20:AC20 AB23:AC23 AB27:AC27 AB38:AC38 AB46:AC46 AB54:AC55 AB70:AC70 AB96:AC96 AB123:AC123 AB145:AC146 AB179:AC179 AB187:AC187 AB191:AC191 AB198:AC198 AB202:AC202 AB206:AC206 AB213:AC215 AB232:AC234 AB238:AC238 AB255:AC255 AB285:AC285 AB291:AC291 AB296:AC301 AB303:AC303 AB310:AC311 AB315:AC315 AB331:AC334 AB619:AC639 G41:G45 N39:N41 O41 AH181:AH186 AB603:AC612 H38:K38 F333:G334 E331:G332 I331:K334 AH166:AH176 Q166:Q176 N42:O44 Q45 M45:O45 AH38:AH45 AB783:AC784 C331:C334" name="maria_35" securityDescriptor="O:WDG:WDD:(A;;CC;;;S-1-5-21-3048853270-2157241324-869001692-3245)(A;;CC;;;S-1-5-21-3048853270-2157241324-869001692-1007)"/>
    <protectedRange sqref="P38 P331:P334 P45" name="maria_1_30" securityDescriptor="O:WDG:WDD:(A;;CC;;;S-1-5-21-3048853270-2157241324-869001692-3245)(A;;CC;;;S-1-5-21-3048853270-2157241324-869001692-1007)"/>
    <protectedRange sqref="Y331" name="maria_1_1_27" securityDescriptor="O:WDG:WDD:(A;;CC;;;S-1-5-21-3048853270-2157241324-869001692-3245)(A;;CC;;;S-1-5-21-3048853270-2157241324-869001692-1007)"/>
    <protectedRange sqref="AE654:AE661 S654:T661 V654:W661 Y654:Z661 AB654:AC661 D657:K658 M654:O661 D665 D670:D672 D676:D677 D679 D681:D685 D688 D696:D698 D712:D713 D743:D744 D747:D754 D722:D728 D758 D738:D741 D761:D765 AH654:AH661 AK654:XFD661 D777:D778 D780:E780 D787:D793 D731:D733 D795:D808 D810:D821 D715:D717 D735:D736 D654:G656 I654:K656 D660:K661 D659:G659 I659:K659 D824:D892 C654:C661" name="maria_36" securityDescriptor="O:WDG:WDD:(A;;CC;;;S-1-5-21-3048853270-2157241324-869001692-3245)(A;;CC;;;S-1-5-21-3048853270-2157241324-869001692-1007)"/>
    <protectedRange sqref="P654:Q661" name="maria_1_31" securityDescriptor="O:WDG:WDD:(A;;CC;;;S-1-5-21-3048853270-2157241324-869001692-3245)(A;;CC;;;S-1-5-21-3048853270-2157241324-869001692-1007)"/>
    <protectedRange sqref="AE662:AE663 S662:T663 V662:W663 Y663 Z662:Z663 D663:G663 AB662:AC663 M662:O662 AE674 S674:T674 V674:W674 Z674 AB674:AC674 AH674:XFD674 D673 D675 AH675 D686 D678 AH663 AK663:XFD663 D662:F662 H674:K674 M674:M675 I662:K663 M663 C674:F674 C662:C663 AH662:XFD662" name="maria_37" securityDescriptor="O:WDG:WDD:(A;;CC;;;S-1-5-21-3048853270-2157241324-869001692-3245)(A;;CC;;;S-1-5-21-3048853270-2157241324-869001692-1007)"/>
    <protectedRange sqref="P662:Q663 P674:Q675" name="maria_1_32" securityDescriptor="O:WDG:WDD:(A;;CC;;;S-1-5-21-3048853270-2157241324-869001692-3245)(A;;CC;;;S-1-5-21-3048853270-2157241324-869001692-1007)"/>
    <protectedRange sqref="Y662 Y674" name="maria_1_1_29" securityDescriptor="O:WDG:WDD:(A;;CC;;;S-1-5-21-3048853270-2157241324-869001692-3245)(A;;CC;;;S-1-5-21-3048853270-2157241324-869001692-1007)"/>
    <protectedRange sqref="AE664:AE665 S664:T665 V664:W665 Y665:Z665 AB664:AC665 D664:G664 M664:O665 I664:K665 E665:G665 AH664:AH665 AK664:XFD665 C664:C665" name="maria_38" securityDescriptor="O:WDG:WDD:(A;;CC;;;S-1-5-21-3048853270-2157241324-869001692-3245)(A;;CC;;;S-1-5-21-3048853270-2157241324-869001692-1007)"/>
    <protectedRange sqref="P664:Q664 P665" name="maria_1_33" securityDescriptor="O:WDG:WDD:(A;;CC;;;S-1-5-21-3048853270-2157241324-869001692-3245)(A;;CC;;;S-1-5-21-3048853270-2157241324-869001692-1007)"/>
    <protectedRange sqref="G668:H668 F667:H667 AE666:AE668 S666:T668 V666:W668 Y666:Z668 I666:K668 AB666:AC668 M673:O673 M666:O668 AH666:AH667 AK666:XFD667 F666:G666 C666:E668 AH668:XFD668" name="maria_39" securityDescriptor="O:WDG:WDD:(A;;CC;;;S-1-5-21-3048853270-2157241324-869001692-3245)(A;;CC;;;S-1-5-21-3048853270-2157241324-869001692-1007)"/>
    <protectedRange sqref="P666:Q668 Q673" name="maria_1_34" securityDescriptor="O:WDG:WDD:(A;;CC;;;S-1-5-21-3048853270-2157241324-869001692-3245)(A;;CC;;;S-1-5-21-3048853270-2157241324-869001692-1007)"/>
    <protectedRange sqref="AE669:AE670 S669:T670 V669:W670 D669:G669 AB669:AC670 Y669:Z671 AH671:AJ671 AH676 M676:O676 N271:O272 E670:G670 E671:E672 E676:E677 E688 AH670 AK670:XFD670 AH672 I669:K670 N268:N270 N733:O733 N692:O692 M669:O671 N663:O663 O269 M672 C669:C670 AH669:XFD669" name="maria_40" securityDescriptor="O:WDG:WDD:(A;;CC;;;S-1-5-21-3048853270-2157241324-869001692-3245)(A;;CC;;;S-1-5-21-3048853270-2157241324-869001692-1007)"/>
    <protectedRange sqref="P669:Q672 P676:Q676 Q677:Q679" name="maria_1_35" securityDescriptor="O:WDG:WDD:(A;;CC;;;S-1-5-21-3048853270-2157241324-869001692-3245)(A;;CC;;;S-1-5-21-3048853270-2157241324-869001692-1007)"/>
    <protectedRange sqref="AE214:AE216 S214:T216 V214:W216 Y214:Z216 AB216:AC216 I215:K216 E215:G215 M214:M216 AK214:XFD216 AH214:AH221 E214:F214 H214:K214 E216:F216 C214:C216" name="maria_42" securityDescriptor="O:WDG:WDD:(A;;CC;;;S-1-5-21-3048853270-2157241324-869001692-3245)(A;;CC;;;S-1-5-21-3048853270-2157241324-869001692-1007)"/>
    <protectedRange sqref="P214:Q214 P215:P216" name="maria_1_37" securityDescriptor="O:WDG:WDD:(A;;CC;;;S-1-5-21-3048853270-2157241324-869001692-3245)(A;;CC;;;S-1-5-21-3048853270-2157241324-869001692-1007)"/>
    <protectedRange sqref="S745:T745 V745:W745 AE745 Y745:Z745 AK745:XFD745 M745 AH745 E745:K745 E746 E755:E757 C745" name="maria_7" securityDescriptor="O:WDG:WDD:(A;;CC;;;S-1-5-21-3048853270-2157241324-869001692-3245)(A;;CC;;;S-1-5-21-3048853270-2157241324-869001692-1007)"/>
    <protectedRange sqref="P745" name="maria_1_7" securityDescriptor="O:WDG:WDD:(A;;CC;;;S-1-5-21-3048853270-2157241324-869001692-3245)(A;;CC;;;S-1-5-21-3048853270-2157241324-869001692-1007)"/>
    <protectedRange sqref="AF745" name="maria_1_1_7_1" securityDescriptor="O:WDG:WDD:(A;;CC;;;S-1-5-21-3048853270-2157241324-869001692-3245)(A;;CC;;;S-1-5-21-3048853270-2157241324-869001692-1007)"/>
    <protectedRange sqref="U745 X745 AA745 B745 R745" name="maria_33_1" securityDescriptor="O:WDG:WDD:(A;;CC;;;S-1-5-21-3048853270-2157241324-869001692-3245)(A;;CC;;;S-1-5-21-3048853270-2157241324-869001692-1007)"/>
    <protectedRange sqref="D745:D746 D755:D757" name="maria_36_1" securityDescriptor="O:WDG:WDD:(A;;CC;;;S-1-5-21-3048853270-2157241324-869001692-3245)(A;;CC;;;S-1-5-21-3048853270-2157241324-869001692-1007)"/>
    <protectedRange sqref="S781:T781 V781:W781 AE781 Y781:Z781 AB781:AC781 C781 E781:F781 AH781:AJ781" name="maria_27" securityDescriptor="O:WDG:WDD:(A;;CC;;;S-1-5-21-3048853270-2157241324-869001692-3245)(A;;CC;;;S-1-5-21-3048853270-2157241324-869001692-1007)"/>
    <protectedRange sqref="AF781:AF782" name="maria_1_1_7_2" securityDescriptor="O:WDG:WDD:(A;;CC;;;S-1-5-21-3048853270-2157241324-869001692-3245)(A;;CC;;;S-1-5-21-3048853270-2157241324-869001692-1007)"/>
    <protectedRange sqref="X781 B781 R781 AA781:AA782 U781:U782" name="maria_33_2" securityDescriptor="O:WDG:WDD:(A;;CC;;;S-1-5-21-3048853270-2157241324-869001692-3245)(A;;CC;;;S-1-5-21-3048853270-2157241324-869001692-1007)"/>
    <protectedRange sqref="N781:O781" name="maria_10_1" securityDescriptor="O:WDG:WDD:(A;;CC;;;S-1-5-21-3048853270-2157241324-869001692-3245)(A;;CC;;;S-1-5-21-3048853270-2157241324-869001692-1007)"/>
    <protectedRange sqref="F223:G231 B223:C231" name="maria_41" securityDescriptor="O:WDG:WDD:(A;;CC;;;S-1-5-21-3048853270-2157241324-869001692-3245)(A;;CC;;;S-1-5-21-3048853270-2157241324-869001692-1007)"/>
    <protectedRange sqref="I223:I231" name="maria_43" securityDescriptor="O:WDG:WDD:(A;;CC;;;S-1-5-21-3048853270-2157241324-869001692-3245)(A;;CC;;;S-1-5-21-3048853270-2157241324-869001692-1007)"/>
    <protectedRange sqref="J223:K231" name="maria_44" securityDescriptor="O:WDG:WDD:(A;;CC;;;S-1-5-21-3048853270-2157241324-869001692-3245)(A;;CC;;;S-1-5-21-3048853270-2157241324-869001692-1007)"/>
    <protectedRange sqref="M223:M231" name="maria_22_3" securityDescriptor="O:WDG:WDD:(A;;CC;;;S-1-5-21-3048853270-2157241324-869001692-3245)(A;;CC;;;S-1-5-21-3048853270-2157241324-869001692-1007)"/>
    <protectedRange sqref="P223:Q223" name="maria_1_20_1" securityDescriptor="O:WDG:WDD:(A;;CC;;;S-1-5-21-3048853270-2157241324-869001692-3245)(A;;CC;;;S-1-5-21-3048853270-2157241324-869001692-1007)"/>
    <protectedRange sqref="S223:T231" name="maria_45" securityDescriptor="O:WDG:WDD:(A;;CC;;;S-1-5-21-3048853270-2157241324-869001692-3245)(A;;CC;;;S-1-5-21-3048853270-2157241324-869001692-1007)"/>
    <protectedRange sqref="V223:W231" name="maria_46" securityDescriptor="O:WDG:WDD:(A;;CC;;;S-1-5-21-3048853270-2157241324-869001692-3245)(A;;CC;;;S-1-5-21-3048853270-2157241324-869001692-1007)"/>
    <protectedRange sqref="Y223:Z231" name="maria_47" securityDescriptor="O:WDG:WDD:(A;;CC;;;S-1-5-21-3048853270-2157241324-869001692-3245)(A;;CC;;;S-1-5-21-3048853270-2157241324-869001692-1007)"/>
    <protectedRange sqref="AF223:AF231" name="maria_1_1_7_3" securityDescriptor="O:WDG:WDD:(A;;CC;;;S-1-5-21-3048853270-2157241324-869001692-3245)(A;;CC;;;S-1-5-21-3048853270-2157241324-869001692-1007)"/>
    <protectedRange sqref="V766:W766 AE766 AB766:AC766 N782:O808 S766:T766 Y766:Z766 E766:K766 N770:O770 M766:O769 Q766:Q769 Q771:Q774 M99:O99 N809 O268 M771:O771 N810:O871 M773:O779 M772 M780 O780 O270 O65:O69 N873:O892 C766" name="maria_48" securityDescriptor="O:WDG:WDD:(A;;CC;;;S-1-5-21-3048853270-2157241324-869001692-3245)(A;;CC;;;S-1-5-21-3048853270-2157241324-869001692-1007)"/>
    <protectedRange sqref="P99 P766:P780" name="maria_1_36" securityDescriptor="O:WDG:WDD:(A;;CC;;;S-1-5-21-3048853270-2157241324-869001692-3245)(A;;CC;;;S-1-5-21-3048853270-2157241324-869001692-1007)"/>
    <protectedRange sqref="AF766" name="maria_1_1_7_4" securityDescriptor="O:WDG:WDD:(A;;CC;;;S-1-5-21-3048853270-2157241324-869001692-3245)(A;;CC;;;S-1-5-21-3048853270-2157241324-869001692-1007)"/>
    <protectedRange sqref="X766 AA766 R766 U766" name="maria_33_3" securityDescriptor="O:WDG:WDD:(A;;CC;;;S-1-5-21-3048853270-2157241324-869001692-3245)(A;;CC;;;S-1-5-21-3048853270-2157241324-869001692-1007)"/>
    <protectedRange sqref="D766" name="maria_36_2" securityDescriptor="O:WDG:WDD:(A;;CC;;;S-1-5-21-3048853270-2157241324-869001692-3245)(A;;CC;;;S-1-5-21-3048853270-2157241324-869001692-1007)"/>
    <protectedRange sqref="E770" name="maria_49" securityDescriptor="O:WDG:WDD:(A;;CC;;;S-1-5-21-3048853270-2157241324-869001692-3245)(A;;CC;;;S-1-5-21-3048853270-2157241324-869001692-1007)"/>
    <protectedRange sqref="M770" name="maria_2_1" securityDescriptor="O:WDG:WDD:(A;;CC;;;S-1-5-21-3048853270-2157241324-869001692-3245)(A;;CC;;;S-1-5-21-3048853270-2157241324-869001692-1007)"/>
    <protectedRange sqref="Q770 Q99 Q775:Q780" name="maria_3_1" securityDescriptor="O:WDG:WDD:(A;;CC;;;S-1-5-21-3048853270-2157241324-869001692-3245)(A;;CC;;;S-1-5-21-3048853270-2157241324-869001692-1007)"/>
    <protectedRange sqref="AI653:AJ653" name="maria_34_2" securityDescriptor="O:WDG:WDD:(A;;CC;;;S-1-5-21-3048853270-2157241324-869001692-3245)(A;;CC;;;S-1-5-21-3048853270-2157241324-869001692-1007)"/>
    <protectedRange sqref="AI654:AJ654" name="maria_36_4" securityDescriptor="O:WDG:WDD:(A;;CC;;;S-1-5-21-3048853270-2157241324-869001692-3245)(A;;CC;;;S-1-5-21-3048853270-2157241324-869001692-1007)"/>
    <protectedRange sqref="AI655:AJ655" name="maria_36_6" securityDescriptor="O:WDG:WDD:(A;;CC;;;S-1-5-21-3048853270-2157241324-869001692-3245)(A;;CC;;;S-1-5-21-3048853270-2157241324-869001692-1007)"/>
    <protectedRange sqref="AI656:AJ656" name="maria_36_7" securityDescriptor="O:WDG:WDD:(A;;CC;;;S-1-5-21-3048853270-2157241324-869001692-3245)(A;;CC;;;S-1-5-21-3048853270-2157241324-869001692-1007)"/>
    <protectedRange sqref="AI657:AJ657" name="maria_36_8" securityDescriptor="O:WDG:WDD:(A;;CC;;;S-1-5-21-3048853270-2157241324-869001692-3245)(A;;CC;;;S-1-5-21-3048853270-2157241324-869001692-1007)"/>
    <protectedRange sqref="AI658:AJ658" name="maria_36_9" securityDescriptor="O:WDG:WDD:(A;;CC;;;S-1-5-21-3048853270-2157241324-869001692-3245)(A;;CC;;;S-1-5-21-3048853270-2157241324-869001692-1007)"/>
    <protectedRange sqref="AI659:AJ659" name="maria_36_10" securityDescriptor="O:WDG:WDD:(A;;CC;;;S-1-5-21-3048853270-2157241324-869001692-3245)(A;;CC;;;S-1-5-21-3048853270-2157241324-869001692-1007)"/>
    <protectedRange sqref="AI660:AJ660" name="maria_36_12" securityDescriptor="O:WDG:WDD:(A;;CC;;;S-1-5-21-3048853270-2157241324-869001692-3245)(A;;CC;;;S-1-5-21-3048853270-2157241324-869001692-1007)"/>
    <protectedRange sqref="AI661:AJ661" name="maria_36_14" securityDescriptor="O:WDG:WDD:(A;;CC;;;S-1-5-21-3048853270-2157241324-869001692-3245)(A;;CC;;;S-1-5-21-3048853270-2157241324-869001692-1007)"/>
    <protectedRange sqref="AI663:AJ663" name="maria_37_1" securityDescriptor="O:WDG:WDD:(A;;CC;;;S-1-5-21-3048853270-2157241324-869001692-3245)(A;;CC;;;S-1-5-21-3048853270-2157241324-869001692-1007)"/>
    <protectedRange sqref="AI664:AJ664" name="maria_38_1" securityDescriptor="O:WDG:WDD:(A;;CC;;;S-1-5-21-3048853270-2157241324-869001692-3245)(A;;CC;;;S-1-5-21-3048853270-2157241324-869001692-1007)"/>
    <protectedRange sqref="AI665:AJ665" name="maria_38_3" securityDescriptor="O:WDG:WDD:(A;;CC;;;S-1-5-21-3048853270-2157241324-869001692-3245)(A;;CC;;;S-1-5-21-3048853270-2157241324-869001692-1007)"/>
    <protectedRange sqref="AI666:AJ666" name="maria_39_2" securityDescriptor="O:WDG:WDD:(A;;CC;;;S-1-5-21-3048853270-2157241324-869001692-3245)(A;;CC;;;S-1-5-21-3048853270-2157241324-869001692-1007)"/>
    <protectedRange sqref="AI667:AJ667" name="maria_39_3" securityDescriptor="O:WDG:WDD:(A;;CC;;;S-1-5-21-3048853270-2157241324-869001692-3245)(A;;CC;;;S-1-5-21-3048853270-2157241324-869001692-1007)"/>
    <protectedRange sqref="AI670:AJ670" name="maria_40_1" securityDescriptor="O:WDG:WDD:(A;;CC;;;S-1-5-21-3048853270-2157241324-869001692-3245)(A;;CC;;;S-1-5-21-3048853270-2157241324-869001692-1007)"/>
    <protectedRange sqref="AI672:AJ672" name="maria_40_2" securityDescriptor="O:WDG:WDD:(A;;CC;;;S-1-5-21-3048853270-2157241324-869001692-3245)(A;;CC;;;S-1-5-21-3048853270-2157241324-869001692-1007)"/>
    <protectedRange sqref="AI676:AJ676" name="maria_40_4" securityDescriptor="O:WDG:WDD:(A;;CC;;;S-1-5-21-3048853270-2157241324-869001692-3245)(A;;CC;;;S-1-5-21-3048853270-2157241324-869001692-1007)"/>
    <protectedRange sqref="AI677:AJ677" name="maria_50" securityDescriptor="O:WDG:WDD:(A;;CC;;;S-1-5-21-3048853270-2157241324-869001692-3245)(A;;CC;;;S-1-5-21-3048853270-2157241324-869001692-1007)"/>
    <protectedRange sqref="AI679:AJ679" name="maria_51" securityDescriptor="O:WDG:WDD:(A;;CC;;;S-1-5-21-3048853270-2157241324-869001692-3245)(A;;CC;;;S-1-5-21-3048853270-2157241324-869001692-1007)"/>
    <protectedRange sqref="AI681:AJ681" name="maria_52" securityDescriptor="O:WDG:WDD:(A;;CC;;;S-1-5-21-3048853270-2157241324-869001692-3245)(A;;CC;;;S-1-5-21-3048853270-2157241324-869001692-1007)"/>
    <protectedRange sqref="AI682:AJ682" name="maria_53" securityDescriptor="O:WDG:WDD:(A;;CC;;;S-1-5-21-3048853270-2157241324-869001692-3245)(A;;CC;;;S-1-5-21-3048853270-2157241324-869001692-1007)"/>
    <protectedRange sqref="AI683:AJ683" name="maria_54" securityDescriptor="O:WDG:WDD:(A;;CC;;;S-1-5-21-3048853270-2157241324-869001692-3245)(A;;CC;;;S-1-5-21-3048853270-2157241324-869001692-1007)"/>
    <protectedRange sqref="AI684:AJ684" name="maria_55" securityDescriptor="O:WDG:WDD:(A;;CC;;;S-1-5-21-3048853270-2157241324-869001692-3245)(A;;CC;;;S-1-5-21-3048853270-2157241324-869001692-1007)"/>
    <protectedRange sqref="AI685:AJ685" name="maria_57" securityDescriptor="O:WDG:WDD:(A;;CC;;;S-1-5-21-3048853270-2157241324-869001692-3245)(A;;CC;;;S-1-5-21-3048853270-2157241324-869001692-1007)"/>
    <protectedRange sqref="AI688:AJ688" name="maria_58" securityDescriptor="O:WDG:WDD:(A;;CC;;;S-1-5-21-3048853270-2157241324-869001692-3245)(A;;CC;;;S-1-5-21-3048853270-2157241324-869001692-1007)"/>
    <protectedRange sqref="AI689:AJ689" name="maria_60" securityDescriptor="O:WDG:WDD:(A;;CC;;;S-1-5-21-3048853270-2157241324-869001692-3245)(A;;CC;;;S-1-5-21-3048853270-2157241324-869001692-1007)"/>
    <protectedRange sqref="AI692:AJ692" name="maria_62" securityDescriptor="O:WDG:WDD:(A;;CC;;;S-1-5-21-3048853270-2157241324-869001692-3245)(A;;CC;;;S-1-5-21-3048853270-2157241324-869001692-1007)"/>
    <protectedRange sqref="AI693:AJ693" name="maria_64" securityDescriptor="O:WDG:WDD:(A;;CC;;;S-1-5-21-3048853270-2157241324-869001692-3245)(A;;CC;;;S-1-5-21-3048853270-2157241324-869001692-1007)"/>
    <protectedRange sqref="AI694:AJ694" name="maria_65" securityDescriptor="O:WDG:WDD:(A;;CC;;;S-1-5-21-3048853270-2157241324-869001692-3245)(A;;CC;;;S-1-5-21-3048853270-2157241324-869001692-1007)"/>
    <protectedRange sqref="AI696:AJ696" name="maria_66" securityDescriptor="O:WDG:WDD:(A;;CC;;;S-1-5-21-3048853270-2157241324-869001692-3245)(A;;CC;;;S-1-5-21-3048853270-2157241324-869001692-1007)"/>
    <protectedRange sqref="AI697:AJ697" name="maria_68" securityDescriptor="O:WDG:WDD:(A;;CC;;;S-1-5-21-3048853270-2157241324-869001692-3245)(A;;CC;;;S-1-5-21-3048853270-2157241324-869001692-1007)"/>
    <protectedRange sqref="AI698:AJ698" name="maria_69" securityDescriptor="O:WDG:WDD:(A;;CC;;;S-1-5-21-3048853270-2157241324-869001692-3245)(A;;CC;;;S-1-5-21-3048853270-2157241324-869001692-1007)"/>
    <protectedRange sqref="AI700:AJ700" name="maria_70" securityDescriptor="O:WDG:WDD:(A;;CC;;;S-1-5-21-3048853270-2157241324-869001692-3245)(A;;CC;;;S-1-5-21-3048853270-2157241324-869001692-1007)"/>
    <protectedRange sqref="AI701:AJ701" name="maria_71" securityDescriptor="O:WDG:WDD:(A;;CC;;;S-1-5-21-3048853270-2157241324-869001692-3245)(A;;CC;;;S-1-5-21-3048853270-2157241324-869001692-1007)"/>
    <protectedRange sqref="AI703:AJ703" name="maria_72" securityDescriptor="O:WDG:WDD:(A;;CC;;;S-1-5-21-3048853270-2157241324-869001692-3245)(A;;CC;;;S-1-5-21-3048853270-2157241324-869001692-1007)"/>
    <protectedRange sqref="AI705:AJ705" name="maria_74" securityDescriptor="O:WDG:WDD:(A;;CC;;;S-1-5-21-3048853270-2157241324-869001692-3245)(A;;CC;;;S-1-5-21-3048853270-2157241324-869001692-1007)"/>
    <protectedRange sqref="AI708:AJ708" name="maria_76" securityDescriptor="O:WDG:WDD:(A;;CC;;;S-1-5-21-3048853270-2157241324-869001692-3245)(A;;CC;;;S-1-5-21-3048853270-2157241324-869001692-1007)"/>
    <protectedRange sqref="AI709:AJ709" name="maria_77" securityDescriptor="O:WDG:WDD:(A;;CC;;;S-1-5-21-3048853270-2157241324-869001692-3245)(A;;CC;;;S-1-5-21-3048853270-2157241324-869001692-1007)"/>
    <protectedRange sqref="AI710:AJ710" name="maria_78" securityDescriptor="O:WDG:WDD:(A;;CC;;;S-1-5-21-3048853270-2157241324-869001692-3245)(A;;CC;;;S-1-5-21-3048853270-2157241324-869001692-1007)"/>
    <protectedRange sqref="AI711:AJ711" name="maria_79" securityDescriptor="O:WDG:WDD:(A;;CC;;;S-1-5-21-3048853270-2157241324-869001692-3245)(A;;CC;;;S-1-5-21-3048853270-2157241324-869001692-1007)"/>
    <protectedRange sqref="AI712:AJ712" name="maria_80" securityDescriptor="O:WDG:WDD:(A;;CC;;;S-1-5-21-3048853270-2157241324-869001692-3245)(A;;CC;;;S-1-5-21-3048853270-2157241324-869001692-1007)"/>
    <protectedRange sqref="AI713:AJ713" name="maria_81" securityDescriptor="O:WDG:WDD:(A;;CC;;;S-1-5-21-3048853270-2157241324-869001692-3245)(A;;CC;;;S-1-5-21-3048853270-2157241324-869001692-1007)"/>
    <protectedRange sqref="AI715:AJ715" name="maria_82" securityDescriptor="O:WDG:WDD:(A;;CC;;;S-1-5-21-3048853270-2157241324-869001692-3245)(A;;CC;;;S-1-5-21-3048853270-2157241324-869001692-1007)"/>
    <protectedRange sqref="AI716:AJ716" name="maria_83" securityDescriptor="O:WDG:WDD:(A;;CC;;;S-1-5-21-3048853270-2157241324-869001692-3245)(A;;CC;;;S-1-5-21-3048853270-2157241324-869001692-1007)"/>
    <protectedRange sqref="AI717:AJ717" name="maria_84" securityDescriptor="O:WDG:WDD:(A;;CC;;;S-1-5-21-3048853270-2157241324-869001692-3245)(A;;CC;;;S-1-5-21-3048853270-2157241324-869001692-1007)"/>
    <protectedRange sqref="AI718:AJ718" name="maria_85" securityDescriptor="O:WDG:WDD:(A;;CC;;;S-1-5-21-3048853270-2157241324-869001692-3245)(A;;CC;;;S-1-5-21-3048853270-2157241324-869001692-1007)"/>
    <protectedRange sqref="AI719:AJ719" name="maria_87" securityDescriptor="O:WDG:WDD:(A;;CC;;;S-1-5-21-3048853270-2157241324-869001692-3245)(A;;CC;;;S-1-5-21-3048853270-2157241324-869001692-1007)"/>
    <protectedRange sqref="AI720:AJ720" name="maria_88" securityDescriptor="O:WDG:WDD:(A;;CC;;;S-1-5-21-3048853270-2157241324-869001692-3245)(A;;CC;;;S-1-5-21-3048853270-2157241324-869001692-1007)"/>
    <protectedRange sqref="AI721:AJ721" name="maria_89" securityDescriptor="O:WDG:WDD:(A;;CC;;;S-1-5-21-3048853270-2157241324-869001692-3245)(A;;CC;;;S-1-5-21-3048853270-2157241324-869001692-1007)"/>
    <protectedRange sqref="AI723:AJ723" name="maria_91" securityDescriptor="O:WDG:WDD:(A;;CC;;;S-1-5-21-3048853270-2157241324-869001692-3245)(A;;CC;;;S-1-5-21-3048853270-2157241324-869001692-1007)"/>
    <protectedRange sqref="AI724:AJ724" name="maria_92" securityDescriptor="O:WDG:WDD:(A;;CC;;;S-1-5-21-3048853270-2157241324-869001692-3245)(A;;CC;;;S-1-5-21-3048853270-2157241324-869001692-1007)"/>
    <protectedRange sqref="AI725:AJ725" name="maria_93" securityDescriptor="O:WDG:WDD:(A;;CC;;;S-1-5-21-3048853270-2157241324-869001692-3245)(A;;CC;;;S-1-5-21-3048853270-2157241324-869001692-1007)"/>
    <protectedRange sqref="AI726:AJ726" name="maria_95" securityDescriptor="O:WDG:WDD:(A;;CC;;;S-1-5-21-3048853270-2157241324-869001692-3245)(A;;CC;;;S-1-5-21-3048853270-2157241324-869001692-1007)"/>
    <protectedRange sqref="AI727:AJ727" name="maria_96" securityDescriptor="O:WDG:WDD:(A;;CC;;;S-1-5-21-3048853270-2157241324-869001692-3245)(A;;CC;;;S-1-5-21-3048853270-2157241324-869001692-1007)"/>
    <protectedRange sqref="AI731:AJ731" name="maria_98" securityDescriptor="O:WDG:WDD:(A;;CC;;;S-1-5-21-3048853270-2157241324-869001692-3245)(A;;CC;;;S-1-5-21-3048853270-2157241324-869001692-1007)"/>
    <protectedRange sqref="AI732:AJ732 G852" name="maria_99" securityDescriptor="O:WDG:WDD:(A;;CC;;;S-1-5-21-3048853270-2157241324-869001692-3245)(A;;CC;;;S-1-5-21-3048853270-2157241324-869001692-1007)"/>
    <protectedRange sqref="AI745:AJ745" name="maria_7_1" securityDescriptor="O:WDG:WDD:(A;;CC;;;S-1-5-21-3048853270-2157241324-869001692-3245)(A;;CC;;;S-1-5-21-3048853270-2157241324-869001692-1007)"/>
    <protectedRange sqref="AI362:AJ362" name="maria_30_1" securityDescriptor="O:WDG:WDD:(A;;CC;;;S-1-5-21-3048853270-2157241324-869001692-3245)(A;;CC;;;S-1-5-21-3048853270-2157241324-869001692-1007)"/>
    <protectedRange sqref="AI424:AJ424" name="maria_28_1" securityDescriptor="O:WDG:WDD:(A;;CC;;;S-1-5-21-3048853270-2157241324-869001692-3245)(A;;CC;;;S-1-5-21-3048853270-2157241324-869001692-1007)"/>
    <protectedRange sqref="AI425:AJ425" name="maria_29_1" securityDescriptor="O:WDG:WDD:(A;;CC;;;S-1-5-21-3048853270-2157241324-869001692-3245)(A;;CC;;;S-1-5-21-3048853270-2157241324-869001692-1007)"/>
    <protectedRange sqref="AI426:AJ426" name="maria_29_2" securityDescriptor="O:WDG:WDD:(A;;CC;;;S-1-5-21-3048853270-2157241324-869001692-3245)(A;;CC;;;S-1-5-21-3048853270-2157241324-869001692-1007)"/>
    <protectedRange sqref="AI331:AJ331" name="maria_35_3" securityDescriptor="O:WDG:WDD:(A;;CC;;;S-1-5-21-3048853270-2157241324-869001692-3245)(A;;CC;;;S-1-5-21-3048853270-2157241324-869001692-1007)"/>
    <protectedRange sqref="AI332:AJ334" name="maria_35_4" securityDescriptor="O:WDG:WDD:(A;;CC;;;S-1-5-21-3048853270-2157241324-869001692-3245)(A;;CC;;;S-1-5-21-3048853270-2157241324-869001692-1007)"/>
    <protectedRange sqref="AI603:AJ603" name="maria_33_4" securityDescriptor="O:WDG:WDD:(A;;CC;;;S-1-5-21-3048853270-2157241324-869001692-3245)(A;;CC;;;S-1-5-21-3048853270-2157241324-869001692-1007)"/>
    <protectedRange sqref="AK448:XFD449 E448:E451 P448:Q451" name="maria_56" securityDescriptor="O:WDG:WDD:(A;;CC;;;S-1-5-21-3048853270-2157241324-869001692-3245)(A;;CC;;;S-1-5-21-3048853270-2157241324-869001692-1007)"/>
    <protectedRange sqref="D448 D450:D451" name="maria_5_1" securityDescriptor="O:WDG:WDD:(A;;CC;;;S-1-5-21-3048853270-2157241324-869001692-3245)(A;;CC;;;S-1-5-21-3048853270-2157241324-869001692-1007)"/>
    <protectedRange sqref="AF448:AF449" name="maria_1_1_7_5" securityDescriptor="O:WDG:WDD:(A;;CC;;;S-1-5-21-3048853270-2157241324-869001692-3245)(A;;CC;;;S-1-5-21-3048853270-2157241324-869001692-1007)"/>
    <protectedRange sqref="R448:AC449" name="maria_33_5" securityDescriptor="O:WDG:WDD:(A;;CC;;;S-1-5-21-3048853270-2157241324-869001692-3245)(A;;CC;;;S-1-5-21-3048853270-2157241324-869001692-1007)"/>
    <protectedRange sqref="M449:O449 M448 O448" name="maria_48_1" securityDescriptor="O:WDG:WDD:(A;;CC;;;S-1-5-21-3048853270-2157241324-869001692-3245)(A;;CC;;;S-1-5-21-3048853270-2157241324-869001692-1007)"/>
    <protectedRange sqref="F452:G454 R452:T454 V452:Z454 AB452:AC454 I452:K454 M453:O454 AE452:AE454 M452 B452:C454 AH452:XFD454" name="maria_59" securityDescriptor="O:WDG:WDD:(A;;CC;;;S-1-5-21-3048853270-2157241324-869001692-3245)(A;;CC;;;S-1-5-21-3048853270-2157241324-869001692-1007)"/>
    <protectedRange sqref="AF452:AF454" name="maria_1_1_7_6" securityDescriptor="O:WDG:WDD:(A;;CC;;;S-1-5-21-3048853270-2157241324-869001692-3245)(A;;CC;;;S-1-5-21-3048853270-2157241324-869001692-1007)"/>
    <protectedRange sqref="AA452:AA454" name="maria_26_2" securityDescriptor="O:WDG:WDD:(A;;CC;;;S-1-5-21-3048853270-2157241324-869001692-3245)(A;;CC;;;S-1-5-21-3048853270-2157241324-869001692-1007)"/>
    <protectedRange sqref="U452:U454" name="maria_1_1_22_1" securityDescriptor="O:WDG:WDD:(A;;CC;;;S-1-5-21-3048853270-2157241324-869001692-3245)(A;;CC;;;S-1-5-21-3048853270-2157241324-869001692-1007)"/>
    <protectedRange sqref="P452:Q454 E452:E454" name="maria_56_1" securityDescriptor="O:WDG:WDD:(A;;CC;;;S-1-5-21-3048853270-2157241324-869001692-3245)(A;;CC;;;S-1-5-21-3048853270-2157241324-869001692-1007)"/>
    <protectedRange sqref="D452" name="maria_5_1_1" securityDescriptor="O:WDG:WDD:(A;;CC;;;S-1-5-21-3048853270-2157241324-869001692-3245)(A;;CC;;;S-1-5-21-3048853270-2157241324-869001692-1007)"/>
    <protectedRange sqref="V195"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98" name="Aurelian" securityDescriptor="O:WDG:WDD:(A;;CC;;;S-1-5-21-3048853270-2157241324-869001692-3245)"/>
    <protectedRange algorithmName="SHA-512" hashValue="lGxgJO7OrK4RnR9Q5GyLdphtXSoKHWuU/DeqTwJZs4H1lZxtBvfwyidbkva9W10WZdVConxSMgW/uAS6mxdKPg==" saltValue="rUT2GzIQhp6pti72S74yRQ==" spinCount="100000" sqref="C604 C100" name="Aurelian_1" securityDescriptor="O:WDG:WDD:(A;;CC;;;S-1-5-21-3048853270-2157241324-869001692-3245)"/>
    <protectedRange algorithmName="SHA-512" hashValue="lGxgJO7OrK4RnR9Q5GyLdphtXSoKHWuU/DeqTwJZs4H1lZxtBvfwyidbkva9W10WZdVConxSMgW/uAS6mxdKPg==" saltValue="rUT2GzIQhp6pti72S74yRQ==" spinCount="100000" sqref="C101:C118" name="Aurelian_2" securityDescriptor="O:WDG:WDD:(A;;CC;;;S-1-5-21-3048853270-2157241324-869001692-3245)"/>
    <protectedRange algorithmName="SHA-512" hashValue="lGxgJO7OrK4RnR9Q5GyLdphtXSoKHWuU/DeqTwJZs4H1lZxtBvfwyidbkva9W10WZdVConxSMgW/uAS6mxdKPg==" saltValue="rUT2GzIQhp6pti72S74yRQ==" spinCount="100000" sqref="F98" name="Aurelian_3" securityDescriptor="O:WDG:WDD:(A;;CC;;;S-1-5-21-3048853270-2157241324-869001692-3245)"/>
    <protectedRange algorithmName="SHA-512" hashValue="lGxgJO7OrK4RnR9Q5GyLdphtXSoKHWuU/DeqTwJZs4H1lZxtBvfwyidbkva9W10WZdVConxSMgW/uAS6mxdKPg==" saltValue="rUT2GzIQhp6pti72S74yRQ==" spinCount="100000" sqref="F604 F100" name="Aurelian_4" securityDescriptor="O:WDG:WDD:(A;;CC;;;S-1-5-21-3048853270-2157241324-869001692-3245)"/>
    <protectedRange algorithmName="SHA-512" hashValue="lGxgJO7OrK4RnR9Q5GyLdphtXSoKHWuU/DeqTwJZs4H1lZxtBvfwyidbkva9W10WZdVConxSMgW/uAS6mxdKPg==" saltValue="rUT2GzIQhp6pti72S74yRQ==" spinCount="100000" sqref="F101:F118" name="Aurelian_5" securityDescriptor="O:WDG:WDD:(A;;CC;;;S-1-5-21-3048853270-2157241324-869001692-3245)"/>
    <protectedRange sqref="AK241:XFD254 V240:W254 E240:E241 M240:O244 G240:G254 M245:N247 O247 AH240:AH254 I240:J254 K413 M248:O250 M252:O254 Y240:AC254 R240:T254 K254 K326 B240:C254 AE240:AF254" name="maria_67" securityDescriptor="O:WDG:WDD:(A;;CC;;;S-1-5-21-3048853270-2157241324-869001692-3245)(A;;CC;;;S-1-5-21-3048853270-2157241324-869001692-1007)"/>
    <protectedRange sqref="Q226:Q227 P240:Q250 Q229 P252:Q254 Q231" name="maria_1_2_2" securityDescriptor="O:WDG:WDD:(A;;CC;;;S-1-5-21-3048853270-2157241324-869001692-3245)(A;;CC;;;S-1-5-21-3048853270-2157241324-869001692-1007)"/>
    <protectedRange sqref="G337:G343 M337 I337:K343 O339 E337 R337:AC343 O337 O341:O343 B337:C343 AH337:XFD343 AE337:AF343" name="maria_1" securityDescriptor="O:WDG:WDD:(A;;CC;;;S-1-5-21-3048853270-2157241324-869001692-3245)(A;;CC;;;S-1-5-21-3048853270-2157241324-869001692-1007)"/>
    <protectedRange sqref="P337:Q337" name="maria_1_2_1" securityDescriptor="O:WDG:WDD:(A;;CC;;;S-1-5-21-3048853270-2157241324-869001692-3245)(A;;CC;;;S-1-5-21-3048853270-2157241324-869001692-1007)"/>
    <protectedRange sqref="R809:AC809 O809:P809 AK809:XFD809 AH809 I809:K809 B809:G809 AE809:AF809" name="maria_73" securityDescriptor="O:WDG:WDD:(A;;CC;;;S-1-5-21-3048853270-2157241324-869001692-3245)(A;;CC;;;S-1-5-21-3048853270-2157241324-869001692-1007)"/>
    <protectedRange sqref="Q809" name="maria_1_2_4" securityDescriptor="O:WDG:WDD:(A;;CC;;;S-1-5-21-3048853270-2157241324-869001692-3245)(A;;CC;;;S-1-5-21-3048853270-2157241324-869001692-1007)"/>
    <protectedRange sqref="J280:K284" name="maria_1_38" securityDescriptor="O:WDG:WDD:(A;;CC;;;S-1-5-21-3048853270-2157241324-869001692-3245)(A;;CC;;;S-1-5-21-3048853270-2157241324-869001692-1007)"/>
    <protectedRange sqref="M280:M281 O280:O281 M282:N284" name="maria_3_2" securityDescriptor="O:WDG:WDD:(A;;CC;;;S-1-5-21-3048853270-2157241324-869001692-3245)(A;;CC;;;S-1-5-21-3048853270-2157241324-869001692-1007)"/>
    <protectedRange sqref="P280:P284" name="maria_1_3_1" securityDescriptor="O:WDG:WDD:(A;;CC;;;S-1-5-21-3048853270-2157241324-869001692-3245)(A;;CC;;;S-1-5-21-3048853270-2157241324-869001692-1007)"/>
    <protectedRange sqref="Q280:Q284" name="maria_1_4_2" securityDescriptor="O:WDG:WDD:(A;;CC;;;S-1-5-21-3048853270-2157241324-869001692-3245)(A;;CC;;;S-1-5-21-3048853270-2157241324-869001692-1007)"/>
    <protectedRange sqref="S280:T284" name="maria_1_39" securityDescriptor="O:WDG:WDD:(A;;CC;;;S-1-5-21-3048853270-2157241324-869001692-3245)(A;;CC;;;S-1-5-21-3048853270-2157241324-869001692-1007)"/>
    <protectedRange sqref="V280:W284" name="maria_1_40" securityDescriptor="O:WDG:WDD:(A;;CC;;;S-1-5-21-3048853270-2157241324-869001692-3245)(A;;CC;;;S-1-5-21-3048853270-2157241324-869001692-1007)"/>
    <protectedRange sqref="Y280:Z284" name="maria_1_41" securityDescriptor="O:WDG:WDD:(A;;CC;;;S-1-5-21-3048853270-2157241324-869001692-3245)(A;;CC;;;S-1-5-21-3048853270-2157241324-869001692-1007)"/>
    <protectedRange sqref="E822:E823" name="maria_2" securityDescriptor="O:WDG:WDD:(A;;CC;;;S-1-5-21-3048853270-2157241324-869001692-3245)(A;;CC;;;S-1-5-21-3048853270-2157241324-869001692-1007)"/>
    <protectedRange sqref="D822:D823" name="maria_36_1_1" securityDescriptor="O:WDG:WDD:(A;;CC;;;S-1-5-21-3048853270-2157241324-869001692-3245)(A;;CC;;;S-1-5-21-3048853270-2157241324-869001692-1007)"/>
    <protectedRange sqref="G822" name="maria_1_42" securityDescriptor="O:WDG:WDD:(A;;CC;;;S-1-5-21-3048853270-2157241324-869001692-3245)(A;;CC;;;S-1-5-21-3048853270-2157241324-869001692-1007)"/>
    <protectedRange sqref="J834:K834" name="maria_1_44" securityDescriptor="O:WDG:WDD:(A;;CC;;;S-1-5-21-3048853270-2157241324-869001692-3245)(A;;CC;;;S-1-5-21-3048853270-2157241324-869001692-1007)"/>
    <protectedRange sqref="I834" name="maria_1_48" securityDescriptor="O:WDG:WDD:(A;;CC;;;S-1-5-21-3048853270-2157241324-869001692-3245)(A;;CC;;;S-1-5-21-3048853270-2157241324-869001692-1007)"/>
    <protectedRange sqref="J836:K851" name="maria_1_2" securityDescriptor="O:WDG:WDD:(A;;CC;;;S-1-5-21-3048853270-2157241324-869001692-3245)(A;;CC;;;S-1-5-21-3048853270-2157241324-869001692-1007)"/>
    <protectedRange sqref="S836:T845" name="maria_1_43" securityDescriptor="O:WDG:WDD:(A;;CC;;;S-1-5-21-3048853270-2157241324-869001692-3245)(A;;CC;;;S-1-5-21-3048853270-2157241324-869001692-1007)"/>
    <protectedRange sqref="Y836:Z851 Y853:Z892" name="maria_1_45" securityDescriptor="O:WDG:WDD:(A;;CC;;;S-1-5-21-3048853270-2157241324-869001692-3245)(A;;CC;;;S-1-5-21-3048853270-2157241324-869001692-1007)"/>
    <protectedRange sqref="B853:C892 B840:C851" name="maria_1_46" securityDescriptor="O:WDG:WDD:(A;;CC;;;S-1-5-21-3048853270-2157241324-869001692-3245)(A;;CC;;;S-1-5-21-3048853270-2157241324-869001692-1007)"/>
    <protectedRange sqref="H845:H848 G630 G855:G858 F843 H843:I843 G860:G862 G847 F840:I842 G829 G823 G805 G798 G674 G649 G636 G621:G622 G619 H853:H856 H850:H851 H862 G865:H865 H867:H871 H878:H880 H882:H884 H886" name="maria_1_47" securityDescriptor="O:WDG:WDD:(A;;CC;;;S-1-5-21-3048853270-2157241324-869001692-3245)(A;;CC;;;S-1-5-21-3048853270-2157241324-869001692-1007)"/>
    <protectedRange sqref="F844:G846 F853:G854 F855:F865 F849:G851 F847:F848" name="maria_1_49" securityDescriptor="O:WDG:WDD:(A;;CC;;;S-1-5-21-3048853270-2157241324-869001692-3245)(A;;CC;;;S-1-5-21-3048853270-2157241324-869001692-1007)"/>
    <protectedRange sqref="I844:I851 I853:I865" name="maria_1_50" securityDescriptor="O:WDG:WDD:(A;;CC;;;S-1-5-21-3048853270-2157241324-869001692-3245)(A;;CC;;;S-1-5-21-3048853270-2157241324-869001692-1007)"/>
    <protectedRange sqref="S846:T851 S853:T892" name="maria_1_51" securityDescriptor="O:WDG:WDD:(A;;CC;;;S-1-5-21-3048853270-2157241324-869001692-3245)(A;;CC;;;S-1-5-21-3048853270-2157241324-869001692-1007)"/>
    <protectedRange sqref="G15:G19" name="maria_63" securityDescriptor="O:WDG:WDD:(A;;CC;;;S-1-5-21-3048853270-2157241324-869001692-3245)(A;;CC;;;S-1-5-21-3048853270-2157241324-869001692-1007)"/>
    <protectedRange sqref="M210:M212 E210:F210 I210:K210 E15:F18 I15:K19 M15:O18 F19 B15:C19" name="maria_5_2" securityDescriptor="O:WDG:WDD:(A;;CC;;;S-1-5-21-3048853270-2157241324-869001692-3245)(A;;CC;;;S-1-5-21-3048853270-2157241324-869001692-1007)"/>
    <protectedRange sqref="P210:Q210 P15:Q18 Q288:Q290 Q19 P211:P212 P418:Q423" name="maria_1_5_1" securityDescriptor="O:WDG:WDD:(A;;CC;;;S-1-5-21-3048853270-2157241324-869001692-3245)(A;;CC;;;S-1-5-21-3048853270-2157241324-869001692-1007)"/>
    <protectedRange sqref="X15:X19 U15:U19" name="maria_1_1_2_1" securityDescriptor="O:WDG:WDD:(A;;CC;;;S-1-5-21-3048853270-2157241324-869001692-3245)(A;;CC;;;S-1-5-21-3048853270-2157241324-869001692-1007)"/>
    <protectedRange sqref="AE15:AE19 S15:T19 V15:W19 Y15:Z19 AB15:AC19" name="maria_5_3" securityDescriptor="O:WDG:WDD:(A;;CC;;;S-1-5-21-3048853270-2157241324-869001692-3245)(A;;CC;;;S-1-5-21-3048853270-2157241324-869001692-1007)"/>
    <protectedRange sqref="AA15:AA19 R15:R19 AF15:AF19" name="maria_1_1_4_1" securityDescriptor="O:WDG:WDD:(A;;CC;;;S-1-5-21-3048853270-2157241324-869001692-3245)(A;;CC;;;S-1-5-21-3048853270-2157241324-869001692-1007)"/>
    <protectedRange sqref="G127:G128" name="maria_75" securityDescriptor="O:WDG:WDD:(A;;CC;;;S-1-5-21-3048853270-2157241324-869001692-3245)(A;;CC;;;S-1-5-21-3048853270-2157241324-869001692-1007)"/>
    <protectedRange sqref="X126:X128 U126:U128" name="maria_1_1_2_2" securityDescriptor="O:WDG:WDD:(A;;CC;;;S-1-5-21-3048853270-2157241324-869001692-3245)(A;;CC;;;S-1-5-21-3048853270-2157241324-869001692-1007)"/>
    <protectedRange sqref="AE126:AE128 S126:T128 V126:W128 Y126:Z128 AB126:AC128 I126:K128 E66:E67 E126:F128 M126:O127 M128:N128 B126:C128" name="maria_5_4" securityDescriptor="O:WDG:WDD:(A;;CC;;;S-1-5-21-3048853270-2157241324-869001692-3245)(A;;CC;;;S-1-5-21-3048853270-2157241324-869001692-1007)"/>
    <protectedRange sqref="P126:Q128" name="maria_1_5_3" securityDescriptor="O:WDG:WDD:(A;;CC;;;S-1-5-21-3048853270-2157241324-869001692-3245)(A;;CC;;;S-1-5-21-3048853270-2157241324-869001692-1007)"/>
    <protectedRange sqref="AA126:AA128 R126:R128 AF126:AF128" name="maria_1_1_4_2" securityDescriptor="O:WDG:WDD:(A;;CC;;;S-1-5-21-3048853270-2157241324-869001692-3245)(A;;CC;;;S-1-5-21-3048853270-2157241324-869001692-1007)"/>
    <protectedRange sqref="X261:X267 U261:U267" name="maria_1_1_2_3" securityDescriptor="O:WDG:WDD:(A;;CC;;;S-1-5-21-3048853270-2157241324-869001692-3245)(A;;CC;;;S-1-5-21-3048853270-2157241324-869001692-1007)"/>
    <protectedRange sqref="AE261:AE267 S261:T267 V261:W267 AB261:AC267 O261:O267 E261:F264 I261:K267 F265:F267 Y261:Z267 M261:M267 B261:C267" name="maria_5_5" securityDescriptor="O:WDG:WDD:(A;;CC;;;S-1-5-21-3048853270-2157241324-869001692-3245)(A;;CC;;;S-1-5-21-3048853270-2157241324-869001692-1007)"/>
    <protectedRange sqref="P261:Q267" name="maria_1_5_4" securityDescriptor="O:WDG:WDD:(A;;CC;;;S-1-5-21-3048853270-2157241324-869001692-3245)(A;;CC;;;S-1-5-21-3048853270-2157241324-869001692-1007)"/>
    <protectedRange sqref="AA261:AA267 R261:R267 AF261:AF267" name="maria_1_1_4_3" securityDescriptor="O:WDG:WDD:(A;;CC;;;S-1-5-21-3048853270-2157241324-869001692-3245)(A;;CC;;;S-1-5-21-3048853270-2157241324-869001692-1007)"/>
    <protectedRange sqref="E349:E351" name="maria_5_6" securityDescriptor="O:WDG:WDD:(A;;CC;;;S-1-5-21-3048853270-2157241324-869001692-3245)(A;;CC;;;S-1-5-21-3048853270-2157241324-869001692-1007)"/>
    <protectedRange sqref="E242:E244 E226:E228" name="maria_5_7" securityDescriptor="O:WDG:WDD:(A;;CC;;;S-1-5-21-3048853270-2157241324-869001692-3245)(A;;CC;;;S-1-5-21-3048853270-2157241324-869001692-1007)"/>
    <protectedRange sqref="E376 E220 E288:E289 E281 E305:E306 E40:E42 E297:E300 E333:E334 E418:E422" name="maria_5_8" securityDescriptor="O:WDG:WDD:(A;;CC;;;S-1-5-21-3048853270-2157241324-869001692-3245)(A;;CC;;;S-1-5-21-3048853270-2157241324-869001692-1007)"/>
    <protectedRange sqref="E434 E439:E442" name="maria_5_9" securityDescriptor="O:WDG:WDD:(A;;CC;;;S-1-5-21-3048853270-2157241324-869001692-3245)(A;;CC;;;S-1-5-21-3048853270-2157241324-869001692-1007)"/>
    <protectedRange sqref="M135:M137 E135:F135 H136:K136 F136:F137 I135:K135 O136 I137:K137 B135:C137" name="maria_5_10" securityDescriptor="O:WDG:WDD:(A;;CC;;;S-1-5-21-3048853270-2157241324-869001692-3245)(A;;CC;;;S-1-5-21-3048853270-2157241324-869001692-1007)"/>
    <protectedRange sqref="P135:Q137" name="maria_1_5_5" securityDescriptor="O:WDG:WDD:(A;;CC;;;S-1-5-21-3048853270-2157241324-869001692-3245)(A;;CC;;;S-1-5-21-3048853270-2157241324-869001692-1007)"/>
    <protectedRange sqref="S135:T137" name="maria_5_11" securityDescriptor="O:WDG:WDD:(A;;CC;;;S-1-5-21-3048853270-2157241324-869001692-3245)(A;;CC;;;S-1-5-21-3048853270-2157241324-869001692-1007)"/>
    <protectedRange sqref="V135:W137" name="maria_5_12" securityDescriptor="O:WDG:WDD:(A;;CC;;;S-1-5-21-3048853270-2157241324-869001692-3245)(A;;CC;;;S-1-5-21-3048853270-2157241324-869001692-1007)"/>
    <protectedRange sqref="Y135:Z137" name="maria_5_13" securityDescriptor="O:WDG:WDD:(A;;CC;;;S-1-5-21-3048853270-2157241324-869001692-3245)(A;;CC;;;S-1-5-21-3048853270-2157241324-869001692-1007)"/>
    <protectedRange sqref="AB135:AC137" name="maria_5_14" securityDescriptor="O:WDG:WDD:(A;;CC;;;S-1-5-21-3048853270-2157241324-869001692-3245)(A;;CC;;;S-1-5-21-3048853270-2157241324-869001692-1007)"/>
    <protectedRange sqref="G211:G212" name="maria_86" securityDescriptor="O:WDG:WDD:(A;;CC;;;S-1-5-21-3048853270-2157241324-869001692-3245)(A;;CC;;;S-1-5-21-3048853270-2157241324-869001692-1007)"/>
    <protectedRange sqref="F212 E211:F211 I211:K212 B211:C212" name="maria_5_15" securityDescriptor="O:WDG:WDD:(A;;CC;;;S-1-5-21-3048853270-2157241324-869001692-3245)(A;;CC;;;S-1-5-21-3048853270-2157241324-869001692-1007)"/>
    <protectedRange sqref="Q211:Q212" name="maria_1_5_6" securityDescriptor="O:WDG:WDD:(A;;CC;;;S-1-5-21-3048853270-2157241324-869001692-3245)(A;;CC;;;S-1-5-21-3048853270-2157241324-869001692-1007)"/>
    <protectedRange sqref="S211:T212" name="maria_5_16" securityDescriptor="O:WDG:WDD:(A;;CC;;;S-1-5-21-3048853270-2157241324-869001692-3245)(A;;CC;;;S-1-5-21-3048853270-2157241324-869001692-1007)"/>
    <protectedRange sqref="V211:W212" name="maria_5_17" securityDescriptor="O:WDG:WDD:(A;;CC;;;S-1-5-21-3048853270-2157241324-869001692-3245)(A;;CC;;;S-1-5-21-3048853270-2157241324-869001692-1007)"/>
    <protectedRange sqref="Y211:Z212" name="maria_5_18" securityDescriptor="O:WDG:WDD:(A;;CC;;;S-1-5-21-3048853270-2157241324-869001692-3245)(A;;CC;;;S-1-5-21-3048853270-2157241324-869001692-1007)"/>
    <protectedRange sqref="F144 H141:I141 I142:I144 E141:F143 B141:C144" name="maria_5_19" securityDescriptor="O:WDG:WDD:(A;;CC;;;S-1-5-21-3048853270-2157241324-869001692-3245)(A;;CC;;;S-1-5-21-3048853270-2157241324-869001692-1007)"/>
    <protectedRange sqref="J141:K144" name="maria_5_20" securityDescriptor="O:WDG:WDD:(A;;CC;;;S-1-5-21-3048853270-2157241324-869001692-3245)(A;;CC;;;S-1-5-21-3048853270-2157241324-869001692-1007)"/>
    <protectedRange sqref="O141 M141:M144" name="maria_5_21" securityDescriptor="O:WDG:WDD:(A;;CC;;;S-1-5-21-3048853270-2157241324-869001692-3245)(A;;CC;;;S-1-5-21-3048853270-2157241324-869001692-1007)"/>
    <protectedRange sqref="P141:Q144" name="maria_1_5_7" securityDescriptor="O:WDG:WDD:(A;;CC;;;S-1-5-21-3048853270-2157241324-869001692-3245)(A;;CC;;;S-1-5-21-3048853270-2157241324-869001692-1007)"/>
    <protectedRange sqref="N141:N144" name="maria_11_1" securityDescriptor="O:WDG:WDD:(A;;CC;;;S-1-5-21-3048853270-2157241324-869001692-3245)(A;;CC;;;S-1-5-21-3048853270-2157241324-869001692-1007)"/>
    <protectedRange sqref="S141:T144" name="maria_5_22" securityDescriptor="O:WDG:WDD:(A;;CC;;;S-1-5-21-3048853270-2157241324-869001692-3245)(A;;CC;;;S-1-5-21-3048853270-2157241324-869001692-1007)"/>
    <protectedRange sqref="V141:W144" name="maria_5_23" securityDescriptor="O:WDG:WDD:(A;;CC;;;S-1-5-21-3048853270-2157241324-869001692-3245)(A;;CC;;;S-1-5-21-3048853270-2157241324-869001692-1007)"/>
    <protectedRange sqref="E322:E324 E183 E170:E172" name="maria_5_24" securityDescriptor="O:WDG:WDD:(A;;CC;;;S-1-5-21-3048853270-2157241324-869001692-3245)(A;;CC;;;S-1-5-21-3048853270-2157241324-869001692-1007)"/>
    <protectedRange sqref="Q322:Q323 Q326" name="maria_1_5_8" securityDescriptor="O:WDG:WDD:(A;;CC;;;S-1-5-21-3048853270-2157241324-869001692-3245)(A;;CC;;;S-1-5-21-3048853270-2157241324-869001692-1007)"/>
    <protectedRange sqref="E432:E433" name="maria_5_25" securityDescriptor="O:WDG:WDD:(A;;CC;;;S-1-5-21-3048853270-2157241324-869001692-3245)(A;;CC;;;S-1-5-21-3048853270-2157241324-869001692-1007)"/>
    <protectedRange sqref="Q432:Q436" name="maria_1_5_9" securityDescriptor="O:WDG:WDD:(A;;CC;;;S-1-5-21-3048853270-2157241324-869001692-3245)(A;;CC;;;S-1-5-21-3048853270-2157241324-869001692-1007)"/>
    <protectedRange sqref="E182 E167:E169" name="maria_5_26" securityDescriptor="O:WDG:WDD:(A;;CC;;;S-1-5-21-3048853270-2157241324-869001692-3245)(A;;CC;;;S-1-5-21-3048853270-2157241324-869001692-1007)"/>
    <protectedRange sqref="Q182" name="maria_1_5_10" securityDescriptor="O:WDG:WDD:(A;;CC;;;S-1-5-21-3048853270-2157241324-869001692-3245)(A;;CC;;;S-1-5-21-3048853270-2157241324-869001692-1007)"/>
    <protectedRange sqref="E152:E155" name="maria_5_27" securityDescriptor="O:WDG:WDD:(A;;CC;;;S-1-5-21-3048853270-2157241324-869001692-3245)(A;;CC;;;S-1-5-21-3048853270-2157241324-869001692-1007)"/>
    <protectedRange sqref="P152:Q155 P159:Q161" name="maria_1_5_11" securityDescriptor="O:WDG:WDD:(A;;CC;;;S-1-5-21-3048853270-2157241324-869001692-3245)(A;;CC;;;S-1-5-21-3048853270-2157241324-869001692-1007)"/>
    <protectedRange sqref="E32" name="maria_5_28" securityDescriptor="O:WDG:WDD:(A;;CC;;;S-1-5-21-3048853270-2157241324-869001692-3245)(A;;CC;;;S-1-5-21-3048853270-2157241324-869001692-1007)"/>
    <protectedRange sqref="E57:F57 I57:K61 F58:F61 B57:C61" name="maria_5_29" securityDescriptor="O:WDG:WDD:(A;;CC;;;S-1-5-21-3048853270-2157241324-869001692-3245)(A;;CC;;;S-1-5-21-3048853270-2157241324-869001692-1007)"/>
    <protectedRange sqref="M57:M61 O54:O61" name="maria_5_30" securityDescriptor="O:WDG:WDD:(A;;CC;;;S-1-5-21-3048853270-2157241324-869001692-3245)(A;;CC;;;S-1-5-21-3048853270-2157241324-869001692-1007)"/>
    <protectedRange sqref="P57:Q61" name="maria_1_5_12" securityDescriptor="O:WDG:WDD:(A;;CC;;;S-1-5-21-3048853270-2157241324-869001692-3245)(A;;CC;;;S-1-5-21-3048853270-2157241324-869001692-1007)"/>
    <protectedRange sqref="S57:T61" name="maria_5_31" securityDescriptor="O:WDG:WDD:(A;;CC;;;S-1-5-21-3048853270-2157241324-869001692-3245)(A;;CC;;;S-1-5-21-3048853270-2157241324-869001692-1007)"/>
    <protectedRange sqref="V57:W61" name="maria_5_32" securityDescriptor="O:WDG:WDD:(A;;CC;;;S-1-5-21-3048853270-2157241324-869001692-3245)(A;;CC;;;S-1-5-21-3048853270-2157241324-869001692-1007)"/>
    <protectedRange sqref="Y57:Z61" name="maria_5_33" securityDescriptor="O:WDG:WDD:(A;;CC;;;S-1-5-21-3048853270-2157241324-869001692-3245)(A;;CC;;;S-1-5-21-3048853270-2157241324-869001692-1007)"/>
    <protectedRange sqref="E338:E341" name="maria_5_34" securityDescriptor="O:WDG:WDD:(A;;CC;;;S-1-5-21-3048853270-2157241324-869001692-3245)(A;;CC;;;S-1-5-21-3048853270-2157241324-869001692-1007)"/>
    <protectedRange sqref="Q338:Q339 Q341:Q343" name="maria_1_5_13" securityDescriptor="O:WDG:WDD:(A;;CC;;;S-1-5-21-3048853270-2157241324-869001692-3245)(A;;CC;;;S-1-5-21-3048853270-2157241324-869001692-1007)"/>
    <protectedRange sqref="E74:E75 E157 E43 E136 E19 E25 E52 E58:E59 E84:E88" name="maria_5_35" securityDescriptor="O:WDG:WDD:(A;;CC;;;S-1-5-21-3048853270-2157241324-869001692-3245)(A;;CC;;;S-1-5-21-3048853270-2157241324-869001692-1007)"/>
    <protectedRange sqref="Q84:Q90" name="maria_1_5_14" securityDescriptor="O:WDG:WDD:(A;;CC;;;S-1-5-21-3048853270-2157241324-869001692-3245)(A;;CC;;;S-1-5-21-3048853270-2157241324-869001692-1007)"/>
    <protectedRange sqref="E354:E357 E366" name="maria_5_36" securityDescriptor="O:WDG:WDD:(A;;CC;;;S-1-5-21-3048853270-2157241324-869001692-3245)(A;;CC;;;S-1-5-21-3048853270-2157241324-869001692-1007)"/>
    <protectedRange sqref="P354:Q361" name="maria_1_5_15" securityDescriptor="O:WDG:WDD:(A;;CC;;;S-1-5-21-3048853270-2157241324-869001692-3245)(A;;CC;;;S-1-5-21-3048853270-2157241324-869001692-1007)"/>
    <protectedRange sqref="E269:E270" name="maria_5_38" securityDescriptor="O:WDG:WDD:(A;;CC;;;S-1-5-21-3048853270-2157241324-869001692-3245)(A;;CC;;;S-1-5-21-3048853270-2157241324-869001692-1007)"/>
    <protectedRange sqref="P269:Q272" name="maria_1_5_16" securityDescriptor="O:WDG:WDD:(A;;CC;;;S-1-5-21-3048853270-2157241324-869001692-3245)(A;;CC;;;S-1-5-21-3048853270-2157241324-869001692-1007)"/>
    <protectedRange sqref="E221 E301 E290 E68:E69 E265:E267 E178 E26 E204:E205 E53 E197 E212 E184:E186 E109:E112 E158:E161 E367:E371 E443:E445 E307:E309 E33 E423 E173:E176 E377:E380 E282:E284 E144 E342:E343 E44:E45 E137 E271:E272 E384:E413 E325:E326 E245:E254 E358:E361 E229:E231 E435:E436 E89:E91 E277 E60:E61 E114" name="maria_5_37" securityDescriptor="O:WDG:WDD:(A;;CC;;;S-1-5-21-3048853270-2157241324-869001692-3245)(A;;CC;;;S-1-5-21-3048853270-2157241324-869001692-1007)"/>
    <protectedRange sqref="Q377:Q378" name="maria_1_5_17" securityDescriptor="O:WDG:WDD:(A;;CC;;;S-1-5-21-3048853270-2157241324-869001692-3245)(A;;CC;;;S-1-5-21-3048853270-2157241324-869001692-1007)"/>
    <protectedRange sqref="G196:G197" name="maria_3" securityDescriptor="O:WDG:WDD:(A;;CC;;;S-1-5-21-3048853270-2157241324-869001692-3245)(A;;CC;;;S-1-5-21-3048853270-2157241324-869001692-1007)"/>
    <protectedRange sqref="E196:F196 I196:I197 F197" name="maria_5_39" securityDescriptor="O:WDG:WDD:(A;;CC;;;S-1-5-21-3048853270-2157241324-869001692-3245)(A;;CC;;;S-1-5-21-3048853270-2157241324-869001692-1007)"/>
    <protectedRange sqref="J196:K197" name="maria_5_40" securityDescriptor="O:WDG:WDD:(A;;CC;;;S-1-5-21-3048853270-2157241324-869001692-3245)(A;;CC;;;S-1-5-21-3048853270-2157241324-869001692-1007)"/>
    <protectedRange sqref="Q196:Q197" name="maria_1_5_18" securityDescriptor="O:WDG:WDD:(A;;CC;;;S-1-5-21-3048853270-2157241324-869001692-3245)(A;;CC;;;S-1-5-21-3048853270-2157241324-869001692-1007)"/>
    <protectedRange sqref="S196:T197" name="maria_5_41" securityDescriptor="O:WDG:WDD:(A;;CC;;;S-1-5-21-3048853270-2157241324-869001692-3245)(A;;CC;;;S-1-5-21-3048853270-2157241324-869001692-1007)"/>
    <protectedRange sqref="V196:W197" name="maria_5_42" securityDescriptor="O:WDG:WDD:(A;;CC;;;S-1-5-21-3048853270-2157241324-869001692-3245)(A;;CC;;;S-1-5-21-3048853270-2157241324-869001692-1007)"/>
    <protectedRange sqref="Y196:Z197" name="maria_5_43" securityDescriptor="O:WDG:WDD:(A;;CC;;;S-1-5-21-3048853270-2157241324-869001692-3245)(A;;CC;;;S-1-5-21-3048853270-2157241324-869001692-1007)"/>
    <protectedRange sqref="F156:F161 I156:I161 B156:C161" name="maria_5_44" securityDescriptor="O:WDG:WDD:(A;;CC;;;S-1-5-21-3048853270-2157241324-869001692-3245)(A;;CC;;;S-1-5-21-3048853270-2157241324-869001692-1007)"/>
    <protectedRange sqref="E156" name="maria_5_2_1" securityDescriptor="O:WDG:WDD:(A;;CC;;;S-1-5-21-3048853270-2157241324-869001692-3245)(A;;CC;;;S-1-5-21-3048853270-2157241324-869001692-1007)"/>
    <protectedRange sqref="J156:K161" name="maria_5_45" securityDescriptor="O:WDG:WDD:(A;;CC;;;S-1-5-21-3048853270-2157241324-869001692-3245)(A;;CC;;;S-1-5-21-3048853270-2157241324-869001692-1007)"/>
    <protectedRange sqref="P156:Q157" name="maria_1_5_19" securityDescriptor="O:WDG:WDD:(A;;CC;;;S-1-5-21-3048853270-2157241324-869001692-3245)(A;;CC;;;S-1-5-21-3048853270-2157241324-869001692-1007)"/>
    <protectedRange sqref="B852:C852 F852 I852" name="maria_5_47" securityDescriptor="O:WDG:WDD:(A;;CC;;;S-1-5-21-3048853270-2157241324-869001692-3245)(A;;CC;;;S-1-5-21-3048853270-2157241324-869001692-1007)"/>
    <protectedRange sqref="J852:K892" name="maria_5_48" securityDescriptor="O:WDG:WDD:(A;;CC;;;S-1-5-21-3048853270-2157241324-869001692-3245)(A;;CC;;;S-1-5-21-3048853270-2157241324-869001692-1007)"/>
    <protectedRange sqref="Q852:Q892" name="maria_1_5_20" securityDescriptor="O:WDG:WDD:(A;;CC;;;S-1-5-21-3048853270-2157241324-869001692-3245)(A;;CC;;;S-1-5-21-3048853270-2157241324-869001692-1007)"/>
    <protectedRange sqref="S852:T852" name="maria_5_49" securityDescriptor="O:WDG:WDD:(A;;CC;;;S-1-5-21-3048853270-2157241324-869001692-3245)(A;;CC;;;S-1-5-21-3048853270-2157241324-869001692-1007)"/>
    <protectedRange sqref="Y852:Z852" name="maria_5_50" securityDescriptor="O:WDG:WDD:(A;;CC;;;S-1-5-21-3048853270-2157241324-869001692-3245)(A;;CC;;;S-1-5-21-3048853270-2157241324-869001692-1007)"/>
    <protectedRange sqref="G866:G867 G869:G882 G728 G783 G763 G640 G604 G884:G892" name="maria_90" securityDescriptor="O:WDG:WDD:(A;;CC;;;S-1-5-21-3048853270-2157241324-869001692-3245)(A;;CC;;;S-1-5-21-3048853270-2157241324-869001692-1007)"/>
    <protectedRange sqref="I866:I892 F866:F892" name="maria_5_51" securityDescriptor="O:WDG:WDD:(A;;CC;;;S-1-5-21-3048853270-2157241324-869001692-3245)(A;;CC;;;S-1-5-21-3048853270-2157241324-869001692-1007)"/>
    <protectedRange sqref="AA896" name="maria_94" securityDescriptor="O:WDG:WDD:(A;;CC;;;S-1-5-21-3048853270-2157241324-869001692-3245)(A;;CC;;;S-1-5-21-3048853270-2157241324-869001692-1007)"/>
    <protectedRange sqref="Z896" name="maria_94_1" securityDescriptor="O:WDG:WDD:(A;;CC;;;S-1-5-21-3048853270-2157241324-869001692-3245)(A;;CC;;;S-1-5-21-3048853270-2157241324-869001692-1007)"/>
  </protectedRanges>
  <sortState xmlns:xlrd2="http://schemas.microsoft.com/office/spreadsheetml/2017/richdata2" ref="A4:AJ126">
    <sortCondition descending="1" ref="D4:D51"/>
    <sortCondition ref="C4:C51"/>
  </sortState>
  <customSheetViews>
    <customSheetView guid="{5AAA4DFE-88B1-4674-95ED-5FCD7A50BC22}" scale="70" showPageBreaks="1" fitToPage="1" printArea="1" filter="1" showAutoFilter="1" topLeftCell="C348">
      <selection activeCell="I699" sqref="I699"/>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4:DG679" xr:uid="{212D7E51-CE28-404E-AB0B-168089FFF992}">
        <filterColumn colId="2">
          <filters>
            <filter val="498"/>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1CC91F84-AEF4-4042-AB5F-6C7D03A1F066}" scale="70" showPageBreaks="1" fitToPage="1" printArea="1" showAutoFilter="1" topLeftCell="V437">
      <selection activeCell="AG438" sqref="AG438"/>
      <pageMargins left="0.70866141732283472" right="0.70866141732283472" top="0.74803149606299213" bottom="0.74803149606299213" header="0.31496062992125984" footer="0.31496062992125984"/>
      <pageSetup paperSize="8" scale="13" fitToHeight="0" orientation="landscape" r:id="rId2"/>
      <headerFooter>
        <oddHeader>&amp;CLISTA PROIECTELOR CONTRACTATE - PROGRAMUL OPERATIONAl CAPACITATE ADMINISTRATIVĂ</oddHeader>
        <oddFooter>Page &amp;P of &amp;N</oddFooter>
      </headerFooter>
      <autoFilter ref="A6:XFD679" xr:uid="{A30BFAD3-FD5B-43B4-B14F-9E3EBD302AE6}"/>
    </customSheetView>
    <customSheetView guid="{FE50EAC0-52A5-4C33-B973-65E93D03D3EA}" scale="73" showPageBreaks="1" fitToPage="1" printArea="1" filter="1" showAutoFilter="1" topLeftCell="J1">
      <selection activeCell="K155" sqref="K155"/>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AL658" xr:uid="{73BD8B65-3E89-42B0-9F5F-B7329DF6EE02}">
        <filterColumn colId="2">
          <filters>
            <filter val="576"/>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85" showPageBreaks="1" fitToPage="1" printArea="1" showAutoFilter="1">
      <selection activeCell="A4" sqref="A4:A5"/>
      <pageMargins left="0.70866141732283472" right="0.70866141732283472" top="0.74803149606299213" bottom="0.74803149606299213" header="0.31496062992125984" footer="0.31496062992125984"/>
      <pageSetup paperSize="8" scale="20" fitToHeight="0" orientation="landscape" horizontalDpi="4294967294" verticalDpi="4294967294" r:id="rId4"/>
      <headerFooter>
        <oddHeader>&amp;CLISTA PROIECTELOR CONTRACTATE - PROGRAMUL OPERATIONAl CAPACITATE ADMINISTRATIVĂ</oddHeader>
        <oddFooter>Page &amp;P of &amp;N</oddFooter>
      </headerFooter>
      <autoFilter ref="A1:AL658" xr:uid="{F40C9CE5-8628-4083-91FD-1316A5962A8F}">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617B00B-5C1E-453A-BF77-BE61E91ACD97}" scale="47" showPageBreaks="1" fitToPage="1" printArea="1" showAutoFilter="1" topLeftCell="A578">
      <selection activeCell="G589" sqref="G589"/>
      <pageMargins left="0.26" right="0.17" top="0.74803149606299213" bottom="0.74803149606299213" header="0.31496062992125984" footer="0.31496062992125984"/>
      <pageSetup paperSize="9" scale="10" orientation="landscape" horizontalDpi="4294967294" verticalDpi="4294967294" r:id="rId5"/>
      <headerFooter>
        <oddHeader>&amp;CLISTA PROIECTELOR CONTRACTATE - PROGRAMUL OPERATIONAl CAPACITATE ADMINISTRATIVĂ</oddHeader>
        <oddFooter>Page &amp;P of &amp;N</oddFooter>
      </headerFooter>
      <autoFilter ref="A1:DG715" xr:uid="{83A6019C-2573-49E2-8CBF-F439EC4422AC}">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13" fitToHeight="0" orientation="landscape" r:id="rId6"/>
      <headerFooter>
        <oddHeader>&amp;CLISTA PROIECTELOR CONTRACTATE - PROGRAMUL OPERATIONAl CAPACITATE ADMINISTRATIVĂ</oddHeader>
        <oddFooter>Page &amp;P of &amp;N</oddFooter>
      </headerFooter>
      <autoFilter ref="A6:AL600" xr:uid="{EFB7FFFD-5D4B-4B22-9FB5-8F300D52D45F}"/>
    </customSheetView>
    <customSheetView guid="{EB0F2E6A-FA33-479E-9A47-8E3494FBB4DE}" scale="80" showPageBreaks="1" fitToPage="1" printArea="1" showAutoFilter="1">
      <selection activeCell="C7" sqref="C7"/>
      <pageMargins left="0.70866141732283472" right="0.70866141732283472" top="0.74803149606299213" bottom="0.74803149606299213" header="0.31496062992125984" footer="0.31496062992125984"/>
      <pageSetup paperSize="8" scale="21" fitToHeight="0" orientation="landscape" horizontalDpi="4294967294" verticalDpi="4294967294" r:id="rId7"/>
      <headerFooter>
        <oddHeader>&amp;CLISTA PROIECTELOR CONTRACTATE - PROGRAMUL OPERATIONAl CAPACITATE ADMINISTRATIVĂ</oddHeader>
        <oddFooter>Page &amp;P of &amp;N</oddFooter>
      </headerFooter>
      <autoFilter ref="A6:AL600" xr:uid="{A023F5A6-7FEB-4921-B8D3-7ACD1A789A64}"/>
    </customSheetView>
    <customSheetView guid="{7C1B4D6D-D666-48DD-AB17-E00791B6F0B6}" scale="55" showPageBreaks="1" fitToPage="1" printArea="1" showAutoFilter="1">
      <pane xSplit="4" ySplit="74" topLeftCell="X289" activePane="bottomRight" state="frozen"/>
      <selection pane="bottomRight" activeCell="AI4" sqref="AI4:AI5"/>
      <pageMargins left="0.70866141732283472" right="0.70866141732283472" top="0.74803149606299213" bottom="0.74803149606299213" header="0.31496062992125984" footer="0.31496062992125984"/>
      <pageSetup paperSize="8" scale="21" fitToHeight="0" orientation="landscape" r:id="rId8"/>
      <headerFooter>
        <oddHeader>&amp;CLISTA PROIECTELOR CONTRACTATE - PROGRAMUL OPERATIONAl CAPACITATE ADMINISTRATIVĂ</oddHeader>
        <oddFooter>Page &amp;P of &amp;N</oddFooter>
      </headerFooter>
      <autoFilter ref="A6:XFD525" xr:uid="{B7312B3A-FD04-4D70-A154-870CF5557930}"/>
    </customSheetView>
    <customSheetView guid="{901F9774-8BE7-424D-87C2-1026F3FA2E93}" scale="70" showPageBreaks="1" fitToPage="1" printArea="1" filter="1" showAutoFilter="1">
      <selection activeCell="F121" sqref="F121"/>
      <pageMargins left="0.70866141732283472" right="0.70866141732283472" top="0.74803149606299213" bottom="0.74803149606299213" header="0.31496062992125984" footer="0.31496062992125984"/>
      <pageSetup paperSize="8" scale="20" fitToHeight="0" orientation="landscape" horizontalDpi="4294967294" verticalDpi="4294967294" r:id="rId9"/>
      <headerFooter>
        <oddHeader>&amp;CLISTA PROIECTELOR CONTRACTATE - PROGRAMUL OPERATIONAl CAPACITATE ADMINISTRATIVĂ</oddHeader>
        <oddFooter>Page &amp;P of &amp;N</oddFooter>
      </headerFooter>
      <autoFilter ref="A1:XFD620" xr:uid="{E914114D-35B6-4976-A21A-618277DBAFAA}">
        <filterColumn colId="2">
          <filters>
            <filter val="61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3">
          <filters>
            <filter val="în implementare"/>
          </filters>
        </filterColumn>
        <filterColumn colId="35" showButton="0"/>
      </autoFilter>
    </customSheetView>
    <customSheetView guid="{EEA37434-2D22-478B-B49F-C3E8CD4AC2E1}" scale="60" showPageBreaks="1" fitToPage="1" printArea="1" filter="1" showAutoFilter="1">
      <pane xSplit="9" ySplit="7" topLeftCell="J9" activePane="bottomRight" state="frozen"/>
      <selection pane="bottomRight" activeCell="L14" sqref="L14"/>
      <pageMargins left="0.70866141732283472" right="0.70866141732283472" top="0.74803149606299213" bottom="0.74803149606299213" header="0.31496062992125984" footer="0.31496062992125984"/>
      <pageSetup paperSize="8" scale="21" fitToHeight="0" orientation="landscape" r:id="rId10"/>
      <headerFooter>
        <oddHeader>&amp;CLISTA PROIECTELOR CONTRACTATE - PROGRAMUL OPERATIONAl CAPACITATE ADMINISTRATIVĂ</oddHeader>
        <oddFooter>Page &amp;P of &amp;N</oddFooter>
      </headerFooter>
      <autoFilter ref="A6:DG511" xr:uid="{0915EB1C-8344-4D0F-9605-E833F8857335}">
        <filterColumn colId="2">
          <filters>
            <filter val="550"/>
          </filters>
        </filterColumn>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11"/>
      <headerFooter>
        <oddHeader>&amp;CLISTA PROIECTELOR CONTRACTATE - PROGRAMUL OPERATIONAl CAPACITATE ADMINISTRATIVĂ</oddHeader>
        <oddFooter>Page &amp;P of &amp;N</oddFooter>
      </headerFooter>
      <autoFilter ref="A6:AL523" xr:uid="{493D1735-7E79-4692-80B3-272E5F3BF545}">
        <filterColumn colId="2">
          <filters>
            <filter val="711"/>
            <filter val="714"/>
          </filters>
        </filterColumn>
      </autoFil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12"/>
      <headerFooter>
        <oddHeader>&amp;CLISTA PROIECTELOR CONTRACTATE - PROGRAMUL OPERATIONAl CAPACITATE ADMINISTRATIVĂ</oddHeader>
        <oddFooter>Page &amp;P of &amp;N</oddFooter>
      </headerFooter>
      <autoFilter ref="A1:AL256" xr:uid="{F3CB2BE1-C478-48D8-9F5D-E7AAFBAA4C5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3"/>
      <headerFooter>
        <oddHeader>&amp;CLISTA PROIECTELOR CONTRACTATE - PROGRAMUL OPERATIONAl CAPACITATE ADMINISTRATIVĂ</oddHeader>
        <oddFooter>Page &amp;P of &amp;N</oddFooter>
      </headerFooter>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4"/>
      <headerFooter>
        <oddHeader>&amp;CLISTA PROIECTELOR CONTRACTATE - PROGRAMUL OPERATIONAl CAPACITATE ADMINISTRATIVĂ</oddHeader>
        <oddFooter>Page &amp;P of &amp;N</oddFooter>
      </headerFooter>
      <autoFilter ref="A6:DF305" xr:uid="{DFF5AB15-89B2-4F7D-9EF1-3D41E1B3FF9F}"/>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A2A4A070-68E2-40FD-B960-353DABAE7552}"/>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6"/>
      <headerFooter>
        <oddHeader>&amp;CLISTA PROIECTELOR CONTRACTATE - PROGRAMUL OPERATIONAl CAPACITATE ADMINISTRATIVĂ</oddHeader>
        <oddFooter>Page &amp;P of &amp;N</oddFooter>
      </headerFooter>
      <autoFilter ref="A6:AL349" xr:uid="{3F65D290-8F06-490E-A4DC-883367BB5D82}"/>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7"/>
      <headerFooter>
        <oddHeader>&amp;CLISTA PROIECTELOR CONTRACTATE - PROGRAMUL OPERATIONAl CAPACITATE ADMINISTRATIVĂ</oddHeader>
        <oddFooter>Page &amp;P of &amp;N</oddFooter>
      </headerFooter>
      <autoFilter ref="A1:AK404" xr:uid="{42A94EAC-1B35-4404-8589-E41893C2A67B}">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8"/>
      <headerFooter>
        <oddHeader>&amp;CLISTA PROIECTELOR CONTRACTATE - PROGRAMUL OPERATIONAl CAPACITATE ADMINISTRATIVĂ</oddHeader>
        <oddFooter>Page &amp;P of &amp;N</oddFooter>
      </headerFooter>
      <autoFilter ref="A1:DG422" xr:uid="{FD816725-CC2E-4F93-A223-5DCB68A28D7F}">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9"/>
      <headerFooter>
        <oddHeader>&amp;CLISTA PROIECTELOR CONTRACTATE - PROGRAMUL OPERATIONAl CAPACITATE ADMINISTRATIVĂ</oddHeader>
        <oddFooter>Page &amp;P of &amp;N</oddFooter>
      </headerFooter>
      <autoFilter ref="A1:DG494" xr:uid="{ABE388C0-5C67-443E-84DB-D661ED10AC2B}">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20"/>
      <headerFooter>
        <oddHeader>&amp;CLISTA PROIECTELOR CONTRACTATE - PROGRAMUL OPERATIONAl CAPACITATE ADMINISTRATIVĂ</oddHeader>
        <oddFooter>Page &amp;P of &amp;N</oddFooter>
      </headerFooter>
      <autoFilter ref="A1:AL488" xr:uid="{064999BA-5E4E-488D-B25D-6EA444D2AF54}">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84FB199A-D56E-4FDD-AC4A-70CE86CD87BC}" scale="80" showPageBreaks="1" fitToPage="1" printArea="1" filter="1" showAutoFilter="1">
      <pane xSplit="3" ySplit="4" topLeftCell="G39" activePane="bottomRight" state="frozen"/>
      <selection pane="bottomRight" activeCell="B514" sqref="B514"/>
      <pageMargins left="0.70866141732283472" right="0.70866141732283472" top="0.74803149606299213" bottom="0.74803149606299213" header="0.31496062992125984" footer="0.31496062992125984"/>
      <pageSetup paperSize="8" scale="21" fitToHeight="0" orientation="landscape" r:id="rId21"/>
      <headerFooter>
        <oddHeader>&amp;CLISTA PROIECTELOR CONTRACTATE - PROGRAMUL OPERATIONAl CAPACITATE ADMINISTRATIVĂ</oddHeader>
        <oddFooter>Page &amp;P of &amp;N</oddFooter>
      </headerFooter>
      <autoFilter ref="A1:AM513" xr:uid="{3C6722BE-FB61-4157-8C36-0FDE4DD33CB3}">
        <filterColumn colId="2">
          <filters>
            <filter val="531"/>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D5D71F0-C25E-4A20-AAD9-13707D9E0AED}" scale="70" fitToPage="1" showAutoFilter="1">
      <selection activeCell="AI61" sqref="AI61"/>
      <pageMargins left="0.70866141732283472" right="0.70866141732283472" top="0.74803149606299213" bottom="0.74803149606299213" header="0.31496062992125984" footer="0.31496062992125984"/>
      <pageSetup paperSize="8" scale="20" fitToHeight="0" orientation="landscape" horizontalDpi="4294967294" verticalDpi="4294967294" r:id="rId22"/>
      <headerFooter>
        <oddHeader>&amp;CLISTA PROIECTELOR CONTRACTATE - PROGRAMUL OPERATIONAl CAPACITATE ADMINISTRATIVĂ</oddHeader>
        <oddFooter>Page &amp;P of &amp;N</oddFooter>
      </headerFooter>
      <autoFilter ref="A4:DG525" xr:uid="{AB3880EC-659E-4BB5-951F-B89DF8E50B1E}">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905D93EA-5662-45AB-8995-A9908B3E5D52}" scale="70" showPageBreaks="1" fitToPage="1" printArea="1" showAutoFilter="1">
      <selection activeCell="D226" sqref="D226"/>
      <pageMargins left="0.70866141732283472" right="0.70866141732283472" top="0.74803149606299213" bottom="0.74803149606299213" header="0.31496062992125984" footer="0.31496062992125984"/>
      <pageSetup paperSize="9" scale="14" fitToHeight="0" orientation="landscape" r:id="rId23"/>
      <headerFooter>
        <oddHeader>&amp;CLISTA PROIECTELOR CONTRACTATE - PROGRAMUL OPERATIONAl CAPACITATE ADMINISTRATIVĂ</oddHeader>
        <oddFooter>Page &amp;P of &amp;N</oddFooter>
      </headerFooter>
      <autoFilter ref="B1:B623" xr:uid="{2FB4C891-D9D7-41C0-A402-83E4AD0A7819}"/>
    </customSheetView>
    <customSheetView guid="{1D1B5983-ECDA-4FB5-B5BD-5FCDD6AA2303}" scale="70" showPageBreaks="1" fitToPage="1" printArea="1" showAutoFilter="1" hiddenColumns="1">
      <selection activeCell="D666" sqref="D666"/>
      <pageMargins left="0.26" right="0.17" top="0.74803149606299213" bottom="0.74803149606299213" header="0.31496062992125984" footer="0.31496062992125984"/>
      <pageSetup paperSize="9" scale="10" orientation="landscape" horizontalDpi="4294967294" verticalDpi="4294967294" r:id="rId24"/>
      <headerFooter>
        <oddHeader>&amp;CLISTA PROIECTELOR CONTRACTATE - PROGRAMUL OPERATIONAl CAPACITATE ADMINISTRATIVĂ</oddHeader>
        <oddFooter>Page &amp;P of &amp;N</oddFooter>
      </headerFooter>
      <autoFilter ref="A1:DG663" xr:uid="{DFA131C4-5493-42CE-BE8D-5E61C1690E36}">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filter="1" showAutoFilter="1" topLeftCell="V1">
      <pane ySplit="5" topLeftCell="A6" activePane="bottomLeft" state="frozen"/>
      <selection pane="bottomLeft" activeCell="AM338" sqref="AM338"/>
      <pageMargins left="0.70866141732283472" right="0.70866141732283472" top="0.74803149606299213" bottom="0.74803149606299213" header="0.31496062992125984" footer="0.31496062992125984"/>
      <pageSetup paperSize="8" scale="21" fitToHeight="0" orientation="landscape" horizontalDpi="4294967294" verticalDpi="4294967294" r:id="rId25"/>
      <headerFooter>
        <oddHeader>&amp;CLISTA PROIECTELOR CONTRACTATE - PROGRAMUL OPERATIONAl CAPACITATE ADMINISTRATIVĂ</oddHeader>
        <oddFooter>Page &amp;P of &amp;N</oddFooter>
      </headerFooter>
      <autoFilter ref="A6:DG597" xr:uid="{DFD16FF3-102D-473D-ACEE-34C528A31A3B}">
        <filterColumn colId="2">
          <filters>
            <filter val="20"/>
          </filters>
        </filterColumn>
      </autoFilter>
    </customSheetView>
    <customSheetView guid="{65C35D6D-934F-4431-BA92-90255FC17BA4}" scale="70" showPageBreaks="1" fitToPage="1" printArea="1" showAutoFilter="1">
      <selection activeCell="J183" sqref="J183"/>
      <pageMargins left="0.70866141732283472" right="0.70866141732283472" top="0.74803149606299213" bottom="0.74803149606299213" header="0.31496062992125984" footer="0.31496062992125984"/>
      <pageSetup paperSize="8" scale="21" fitToHeight="0" orientation="landscape" horizontalDpi="4294967294" verticalDpi="4294967294" r:id="rId26"/>
      <headerFooter>
        <oddHeader>&amp;CLISTA PROIECTELOR CONTRACTATE - PROGRAMUL OPERATIONAl CAPACITATE ADMINISTRATIVĂ</oddHeader>
        <oddFooter>Page &amp;P of &amp;N</oddFooter>
      </headerFooter>
      <autoFilter ref="A1:AL658" xr:uid="{EC61DA77-61CD-44B3-9D0D-39C79740C509}">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A64E7D7-BA48-4965-B650-778AE412FE0C}" scale="70" showPageBreaks="1" fitToPage="1" printArea="1" showAutoFilter="1">
      <pane ySplit="676" topLeftCell="A687" activePane="bottomLeft" state="frozen"/>
      <selection pane="bottomLeft" activeCell="AI487" sqref="AI487"/>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DG677" xr:uid="{DFB666C8-4FBD-4268-844E-529367C26519}">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87F3E0E-3A8E-4B82-8170-33752259B7DB}" scale="80" showPageBreaks="1" fitToPage="1" printArea="1" showAutoFilter="1" topLeftCell="A6">
      <pane xSplit="3" topLeftCell="AA1" activePane="topRight" state="frozen"/>
      <selection pane="topRight" activeCell="AJ675" sqref="AJ675:AJ676"/>
      <pageMargins left="0.70866141732283472" right="0.70866141732283472" top="0.74803149606299213" bottom="0.74803149606299213" header="0.31496062992125984" footer="0.31496062992125984"/>
      <pageSetup paperSize="8" fitToHeight="0" orientation="portrait" horizontalDpi="4294967294" verticalDpi="4294967294" r:id="rId28"/>
      <headerFooter>
        <oddHeader>&amp;CLISTA PROIECTELOR CONTRACTATE - PROGRAMUL OPERATIONAl CAPACITATE ADMINISTRATIVĂ</oddHeader>
        <oddFooter>Page &amp;P of &amp;N</oddFooter>
      </headerFooter>
      <autoFilter ref="A6:AL674" xr:uid="{514DB549-A5D7-4DB4-A650-C8301086B96D}"/>
    </customSheetView>
    <customSheetView guid="{36624B2D-80F9-4F79-AC4A-B3547C36F23F}" scale="70" showPageBreaks="1" fitToPage="1" printArea="1" showAutoFilter="1">
      <selection activeCell="G7" sqref="G7"/>
      <pageMargins left="0.70866141732283472" right="0.70866141732283472" top="0.74803149606299213" bottom="0.74803149606299213" header="0.31496062992125984" footer="0.31496062992125984"/>
      <pageSetup paperSize="8" scale="21" fitToHeight="0" orientation="landscape" horizontalDpi="4294967294" verticalDpi="4294967294" r:id="rId29"/>
      <headerFooter>
        <oddHeader>&amp;CLISTA PROIECTELOR CONTRACTATE - PROGRAMUL OPERATIONAl CAPACITATE ADMINISTRATIVĂ</oddHeader>
        <oddFooter>Page &amp;P of &amp;N</oddFooter>
      </headerFooter>
      <autoFilter ref="A4:DG679" xr:uid="{326F89C7-4544-48A2-A392-554149EBFEA6}">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s>
  <mergeCells count="29">
    <mergeCell ref="AI1:AJ1"/>
    <mergeCell ref="AI2:AI3"/>
    <mergeCell ref="AJ2:AJ3"/>
    <mergeCell ref="AA2:AA3"/>
    <mergeCell ref="AF1:AF3"/>
    <mergeCell ref="AG1:AG3"/>
    <mergeCell ref="AH1:AH3"/>
    <mergeCell ref="AE2:AE3"/>
    <mergeCell ref="AD1:AD3"/>
    <mergeCell ref="L1:L3"/>
    <mergeCell ref="H1:H3"/>
    <mergeCell ref="B1:B3"/>
    <mergeCell ref="X2:X3"/>
    <mergeCell ref="O1:O3"/>
    <mergeCell ref="P1:P3"/>
    <mergeCell ref="Q1:Q3"/>
    <mergeCell ref="R1:AA1"/>
    <mergeCell ref="R2:W2"/>
    <mergeCell ref="A1:A3"/>
    <mergeCell ref="F1:F3"/>
    <mergeCell ref="G1:G3"/>
    <mergeCell ref="M1:M3"/>
    <mergeCell ref="N1:N3"/>
    <mergeCell ref="C1:C3"/>
    <mergeCell ref="E1:E3"/>
    <mergeCell ref="D1:D3"/>
    <mergeCell ref="I1:I3"/>
    <mergeCell ref="J1:J3"/>
    <mergeCell ref="K1:K3"/>
  </mergeCells>
  <phoneticPr fontId="11"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30"/>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aura.munteanu</cp:lastModifiedBy>
  <cp:lastPrinted>2019-12-23T12:53:58Z</cp:lastPrinted>
  <dcterms:created xsi:type="dcterms:W3CDTF">2019-05-03T10:06:35Z</dcterms:created>
  <dcterms:modified xsi:type="dcterms:W3CDTF">2022-09-19T10:49:04Z</dcterms:modified>
</cp:coreProperties>
</file>